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15"/>
  <workbookPr defaultThemeVersion="124226"/>
  <mc:AlternateContent xmlns:mc="http://schemas.openxmlformats.org/markup-compatibility/2006">
    <mc:Choice Requires="x15">
      <x15ac:absPath xmlns:x15ac="http://schemas.microsoft.com/office/spreadsheetml/2010/11/ac" url="\\Jn-svrfile\groups\AQ\General\SIP_BACT_2017\BACT Determinations\Information Requests No. 2\UAF\BACT Economic Analyses\"/>
    </mc:Choice>
  </mc:AlternateContent>
  <xr:revisionPtr revIDLastSave="0" documentId="11_435CEF850E599F964B271CAE81A347EF83FC849C" xr6:coauthVersionLast="43" xr6:coauthVersionMax="43" xr10:uidLastSave="{00000000-0000-0000-0000-000000000000}"/>
  <bookViews>
    <workbookView xWindow="0" yWindow="150" windowWidth="15360" windowHeight="8295" xr2:uid="{00000000-000D-0000-FFFF-FFFF00000000}"/>
  </bookViews>
  <sheets>
    <sheet name="Dry Sorbent Injection" sheetId="1" r:id="rId1"/>
    <sheet name="Spray Dry Absorber" sheetId="6" r:id="rId2"/>
    <sheet name="Wet Scrubber" sheetId="7" r:id="rId3"/>
    <sheet name="ESRI_MAPINFO_SHEET" sheetId="5" state="veryHidden" r:id="rId4"/>
  </sheets>
  <calcPr calcId="191028"/>
</workbook>
</file>

<file path=xl/calcChain.xml><?xml version="1.0" encoding="utf-8"?>
<calcChain xmlns="http://schemas.openxmlformats.org/spreadsheetml/2006/main">
  <c r="D12" i="7" l="1"/>
  <c r="D14" i="7"/>
  <c r="B96" i="7"/>
  <c r="D70" i="7"/>
  <c r="D30" i="7"/>
  <c r="D28" i="7"/>
  <c r="D79" i="7"/>
  <c r="D13" i="7"/>
  <c r="D109" i="7"/>
  <c r="D111" i="7"/>
  <c r="D34" i="7"/>
  <c r="D32" i="7"/>
  <c r="D38" i="7"/>
  <c r="D15" i="7"/>
  <c r="D80" i="7"/>
  <c r="D16" i="7"/>
  <c r="D81" i="7"/>
  <c r="D17" i="7"/>
  <c r="D82" i="7"/>
  <c r="D85" i="7"/>
  <c r="D44" i="7"/>
  <c r="D71" i="7"/>
  <c r="D43" i="7"/>
  <c r="D39" i="7"/>
  <c r="D45" i="7"/>
  <c r="D47" i="7"/>
  <c r="D48" i="7"/>
  <c r="D50" i="7"/>
  <c r="D52" i="7"/>
  <c r="D55" i="7"/>
  <c r="D72" i="7"/>
  <c r="D75" i="7"/>
  <c r="D57" i="7"/>
  <c r="D53" i="7"/>
  <c r="D89" i="7"/>
  <c r="D90" i="7"/>
  <c r="D92" i="7"/>
  <c r="D91" i="7"/>
  <c r="D58" i="7"/>
  <c r="D96" i="7"/>
  <c r="D98" i="7"/>
  <c r="D100" i="7"/>
  <c r="D106" i="7"/>
  <c r="D113" i="7"/>
  <c r="B96" i="6"/>
  <c r="D72" i="6"/>
  <c r="D10" i="6"/>
  <c r="D28" i="6"/>
  <c r="D15" i="6"/>
  <c r="D83" i="6"/>
  <c r="D13" i="6"/>
  <c r="D81" i="6"/>
  <c r="D11" i="6"/>
  <c r="D109" i="6"/>
  <c r="D111" i="6"/>
  <c r="D26" i="6"/>
  <c r="D14" i="6"/>
  <c r="D82" i="6"/>
  <c r="D30" i="6"/>
  <c r="D32" i="6"/>
  <c r="D12" i="6"/>
  <c r="D80" i="6"/>
  <c r="D85" i="6"/>
  <c r="D33" i="6"/>
  <c r="D39" i="6"/>
  <c r="D73" i="6"/>
  <c r="D37" i="6"/>
  <c r="D38" i="6"/>
  <c r="D41" i="6"/>
  <c r="D44" i="6"/>
  <c r="D46" i="6"/>
  <c r="D42" i="6"/>
  <c r="D74" i="6"/>
  <c r="D76" i="6"/>
  <c r="D89" i="6"/>
  <c r="D47" i="6"/>
  <c r="D49" i="6"/>
  <c r="D51" i="6"/>
  <c r="D92" i="6"/>
  <c r="D91" i="6"/>
  <c r="D52" i="6"/>
  <c r="D90" i="6"/>
  <c r="D96" i="6"/>
  <c r="D98" i="6"/>
  <c r="D100" i="6"/>
  <c r="D106" i="6"/>
  <c r="D113" i="6"/>
  <c r="D12" i="1"/>
  <c r="D96" i="1"/>
  <c r="B83" i="1"/>
  <c r="D60" i="1"/>
  <c r="D16" i="1"/>
  <c r="D13" i="1"/>
  <c r="D14" i="1"/>
  <c r="D27" i="1"/>
  <c r="D17" i="1"/>
  <c r="D68" i="1"/>
  <c r="D35" i="1"/>
  <c r="D34" i="1"/>
  <c r="D33" i="1"/>
  <c r="D15" i="1"/>
  <c r="D69" i="1"/>
  <c r="D61" i="1"/>
  <c r="D62" i="1"/>
  <c r="D97" i="1"/>
  <c r="D98" i="1"/>
  <c r="D70" i="1"/>
  <c r="D30" i="1"/>
  <c r="D72" i="1"/>
  <c r="D37" i="1"/>
  <c r="D39" i="1"/>
  <c r="D41" i="1"/>
  <c r="D64" i="1"/>
  <c r="D76" i="1"/>
  <c r="D38" i="1"/>
  <c r="D42" i="1"/>
  <c r="D45" i="1"/>
  <c r="D83" i="1"/>
  <c r="D46" i="1"/>
  <c r="D78" i="1"/>
  <c r="D79" i="1"/>
  <c r="D77" i="1"/>
  <c r="D85" i="1"/>
  <c r="D87" i="1"/>
  <c r="D93" i="1"/>
  <c r="D100" i="1"/>
</calcChain>
</file>

<file path=xl/sharedStrings.xml><?xml version="1.0" encoding="utf-8"?>
<sst xmlns="http://schemas.openxmlformats.org/spreadsheetml/2006/main" count="581" uniqueCount="219">
  <si>
    <t>Dry Sorbent Injection System - UAF</t>
  </si>
  <si>
    <t>Variable</t>
  </si>
  <si>
    <t>Designation</t>
  </si>
  <si>
    <t>Units</t>
  </si>
  <si>
    <t>Value</t>
  </si>
  <si>
    <t>Calculation</t>
  </si>
  <si>
    <t>Unit Size (Gross)</t>
  </si>
  <si>
    <t>A</t>
  </si>
  <si>
    <t>(MW)</t>
  </si>
  <si>
    <t>&lt;-- User Input (Conservative assumption based on a total heat input of 296 MMBtu/hour)</t>
  </si>
  <si>
    <t>Retrofit Factor</t>
  </si>
  <si>
    <t>B</t>
  </si>
  <si>
    <r>
      <t xml:space="preserve">&lt;-- User Input (An "average" retrofit has a factor of 1.0. Proposed UAF boiler is not a retrofit, however modifications to existing equipment (e.g., ductwork and stack) and operating conditions (e.g., temperature and flowrate) may need to be modified. Retrofit of scrubbers on existing units can increase the capitical cost up to 30%. Therefore the Department assumed a retrofit factor of 0.7 for the dual fuel-fired boiler at UAF. </t>
    </r>
    <r>
      <rPr>
        <sz val="11"/>
        <color rgb="FF0070C0"/>
        <rFont val="Arial"/>
        <family val="2"/>
      </rPr>
      <t>https://www3.epa.gov/ttncatc1/dir1/ffdg.pdf</t>
    </r>
    <r>
      <rPr>
        <sz val="11"/>
        <color theme="1"/>
        <rFont val="Arial"/>
        <family val="2"/>
      </rPr>
      <t>)</t>
    </r>
  </si>
  <si>
    <t>Gross Heat Rate</t>
  </si>
  <si>
    <t>C</t>
  </si>
  <si>
    <t>(Btu/kWh)</t>
  </si>
  <si>
    <t>&lt;-- User Input</t>
  </si>
  <si>
    <t>SO2 Rate</t>
  </si>
  <si>
    <t>D</t>
  </si>
  <si>
    <t>(lb/MMBtu)</t>
  </si>
  <si>
    <t>Type of Coal</t>
  </si>
  <si>
    <t>E</t>
  </si>
  <si>
    <t>sub-bituminous</t>
  </si>
  <si>
    <t>Particulate Capture</t>
  </si>
  <si>
    <t>F</t>
  </si>
  <si>
    <t>Baghouse</t>
  </si>
  <si>
    <t>Milled Trona</t>
  </si>
  <si>
    <t>G</t>
  </si>
  <si>
    <t>Based on in-line milling equipment</t>
  </si>
  <si>
    <t>Removal Target</t>
  </si>
  <si>
    <t>H</t>
  </si>
  <si>
    <t>(%)</t>
  </si>
  <si>
    <t>Maximum Removal Targets:
Unmilled Trona with an ESP = 65%
Milled Trona with an ESP = 80%
Unmilled Trona with a Baghouse = 80%
Milled Trona with Baghouse = 90%</t>
  </si>
  <si>
    <t>Heat Input</t>
  </si>
  <si>
    <t>J</t>
  </si>
  <si>
    <t>(Btu/hr)</t>
  </si>
  <si>
    <r>
      <rPr>
        <sz val="11"/>
        <color rgb="FF0070C0"/>
        <rFont val="Arial"/>
        <family val="2"/>
      </rPr>
      <t>A</t>
    </r>
    <r>
      <rPr>
        <sz val="11"/>
        <color theme="1"/>
        <rFont val="Arial"/>
        <family val="2"/>
      </rPr>
      <t>*</t>
    </r>
    <r>
      <rPr>
        <sz val="11"/>
        <color rgb="FFFF0000"/>
        <rFont val="Arial"/>
        <family val="2"/>
      </rPr>
      <t>C</t>
    </r>
    <r>
      <rPr>
        <sz val="11"/>
        <color theme="1"/>
        <rFont val="Arial"/>
        <family val="2"/>
      </rPr>
      <t>*1000</t>
    </r>
  </si>
  <si>
    <t>NSR</t>
  </si>
  <si>
    <t>K</t>
  </si>
  <si>
    <r>
      <t>Unmilled Trona with an ESP = if(</t>
    </r>
    <r>
      <rPr>
        <sz val="11"/>
        <color rgb="FF0070C0"/>
        <rFont val="Arial"/>
        <family val="2"/>
      </rPr>
      <t>H</t>
    </r>
    <r>
      <rPr>
        <sz val="11"/>
        <color theme="1"/>
        <rFont val="Arial"/>
        <family val="2"/>
      </rPr>
      <t>&lt;40,0.0350*</t>
    </r>
    <r>
      <rPr>
        <sz val="11"/>
        <color rgb="FF0070C0"/>
        <rFont val="Arial"/>
        <family val="2"/>
      </rPr>
      <t>H</t>
    </r>
    <r>
      <rPr>
        <sz val="11"/>
        <color theme="1"/>
        <rFont val="Arial"/>
        <family val="2"/>
      </rPr>
      <t>,0.352e^(0.0345*</t>
    </r>
    <r>
      <rPr>
        <sz val="11"/>
        <color rgb="FF0070C0"/>
        <rFont val="Arial"/>
        <family val="2"/>
      </rPr>
      <t>H</t>
    </r>
    <r>
      <rPr>
        <sz val="11"/>
        <color theme="1"/>
        <rFont val="Arial"/>
        <family val="2"/>
      </rPr>
      <t>))                                                                                                                      Milled Trona with an ESP =      if(</t>
    </r>
    <r>
      <rPr>
        <sz val="11"/>
        <color rgb="FF0070C0"/>
        <rFont val="Arial"/>
        <family val="2"/>
      </rPr>
      <t>H</t>
    </r>
    <r>
      <rPr>
        <sz val="11"/>
        <color theme="1"/>
        <rFont val="Arial"/>
        <family val="2"/>
      </rPr>
      <t>&lt;40,0.0270*</t>
    </r>
    <r>
      <rPr>
        <sz val="11"/>
        <color rgb="FF0070C0"/>
        <rFont val="Arial"/>
        <family val="2"/>
      </rPr>
      <t>H</t>
    </r>
    <r>
      <rPr>
        <sz val="11"/>
        <color theme="1"/>
        <rFont val="Arial"/>
        <family val="2"/>
      </rPr>
      <t>,0.353e^(0.0280*</t>
    </r>
    <r>
      <rPr>
        <sz val="11"/>
        <color rgb="FF0070C0"/>
        <rFont val="Arial"/>
        <family val="2"/>
      </rPr>
      <t>H</t>
    </r>
    <r>
      <rPr>
        <sz val="11"/>
        <color theme="1"/>
        <rFont val="Arial"/>
        <family val="2"/>
      </rPr>
      <t>))                                                                                                                       Unmilled Trona with an BGH = if(</t>
    </r>
    <r>
      <rPr>
        <sz val="11"/>
        <color rgb="FF0070C0"/>
        <rFont val="Arial"/>
        <family val="2"/>
      </rPr>
      <t>H</t>
    </r>
    <r>
      <rPr>
        <sz val="11"/>
        <color theme="1"/>
        <rFont val="Arial"/>
        <family val="2"/>
      </rPr>
      <t>&lt;40,0.0215*</t>
    </r>
    <r>
      <rPr>
        <sz val="11"/>
        <color rgb="FF0070C0"/>
        <rFont val="Arial"/>
        <family val="2"/>
      </rPr>
      <t>H</t>
    </r>
    <r>
      <rPr>
        <sz val="11"/>
        <color theme="1"/>
        <rFont val="Arial"/>
        <family val="2"/>
      </rPr>
      <t>,0.295e^(0.0267*</t>
    </r>
    <r>
      <rPr>
        <sz val="11"/>
        <color rgb="FF0070C0"/>
        <rFont val="Arial"/>
        <family val="2"/>
      </rPr>
      <t>H</t>
    </r>
    <r>
      <rPr>
        <sz val="11"/>
        <color theme="1"/>
        <rFont val="Arial"/>
        <family val="2"/>
      </rPr>
      <t xml:space="preserve">))                                                                                                                       </t>
    </r>
    <r>
      <rPr>
        <sz val="11"/>
        <rFont val="Arial"/>
        <family val="2"/>
      </rPr>
      <t>Milled Trona with an BGH =      if(</t>
    </r>
    <r>
      <rPr>
        <sz val="11"/>
        <color rgb="FF0070C0"/>
        <rFont val="Arial"/>
        <family val="2"/>
      </rPr>
      <t>H</t>
    </r>
    <r>
      <rPr>
        <sz val="11"/>
        <rFont val="Arial"/>
        <family val="2"/>
      </rPr>
      <t>&lt;40,0.0160*</t>
    </r>
    <r>
      <rPr>
        <sz val="11"/>
        <color rgb="FF0070C0"/>
        <rFont val="Arial"/>
        <family val="2"/>
      </rPr>
      <t>H</t>
    </r>
    <r>
      <rPr>
        <sz val="11"/>
        <rFont val="Arial"/>
        <family val="2"/>
      </rPr>
      <t>,0.208e^(0.0281*</t>
    </r>
    <r>
      <rPr>
        <sz val="11"/>
        <color rgb="FF0070C0"/>
        <rFont val="Arial"/>
        <family val="2"/>
      </rPr>
      <t>H</t>
    </r>
    <r>
      <rPr>
        <sz val="11"/>
        <rFont val="Arial"/>
        <family val="2"/>
      </rPr>
      <t>))</t>
    </r>
  </si>
  <si>
    <t>Trona Feed Rate</t>
  </si>
  <si>
    <t>M</t>
  </si>
  <si>
    <t>(ton/hr)</t>
  </si>
  <si>
    <r>
      <t>(1.2011x10^-06)*</t>
    </r>
    <r>
      <rPr>
        <sz val="11"/>
        <color rgb="FF0070C0"/>
        <rFont val="Arial"/>
        <family val="2"/>
      </rPr>
      <t>K</t>
    </r>
    <r>
      <rPr>
        <sz val="11"/>
        <color theme="1"/>
        <rFont val="Arial"/>
        <family val="2"/>
      </rPr>
      <t>*</t>
    </r>
    <r>
      <rPr>
        <sz val="11"/>
        <color rgb="FFFF0000"/>
        <rFont val="Arial"/>
        <family val="2"/>
      </rPr>
      <t>A</t>
    </r>
    <r>
      <rPr>
        <sz val="11"/>
        <color theme="1"/>
        <rFont val="Arial"/>
        <family val="2"/>
      </rPr>
      <t>*</t>
    </r>
    <r>
      <rPr>
        <sz val="11"/>
        <color rgb="FF7030A0"/>
        <rFont val="Arial"/>
        <family val="2"/>
      </rPr>
      <t>C</t>
    </r>
    <r>
      <rPr>
        <sz val="11"/>
        <color theme="1"/>
        <rFont val="Arial"/>
        <family val="2"/>
      </rPr>
      <t>*</t>
    </r>
    <r>
      <rPr>
        <sz val="11"/>
        <color rgb="FF00B050"/>
        <rFont val="Arial"/>
        <family val="2"/>
      </rPr>
      <t>D</t>
    </r>
    <r>
      <rPr>
        <sz val="11"/>
        <color theme="1"/>
        <rFont val="Arial"/>
        <family val="2"/>
      </rPr>
      <t/>
    </r>
  </si>
  <si>
    <t>Sorbent Waste Rate</t>
  </si>
  <si>
    <t>N</t>
  </si>
  <si>
    <r>
      <t>(0.7035-0.00073696*</t>
    </r>
    <r>
      <rPr>
        <sz val="11"/>
        <color rgb="FF0070C0"/>
        <rFont val="Arial"/>
        <family val="2"/>
      </rPr>
      <t>H</t>
    </r>
    <r>
      <rPr>
        <sz val="11"/>
        <color theme="1"/>
        <rFont val="Arial"/>
        <family val="2"/>
      </rPr>
      <t>/</t>
    </r>
    <r>
      <rPr>
        <sz val="11"/>
        <color rgb="FFFF0000"/>
        <rFont val="Arial"/>
        <family val="2"/>
      </rPr>
      <t>K</t>
    </r>
    <r>
      <rPr>
        <sz val="11"/>
        <color theme="1"/>
        <rFont val="Arial"/>
        <family val="2"/>
      </rPr>
      <t>)*</t>
    </r>
    <r>
      <rPr>
        <sz val="11"/>
        <color rgb="FF7030A0"/>
        <rFont val="Arial"/>
        <family val="2"/>
      </rPr>
      <t>M</t>
    </r>
    <r>
      <rPr>
        <sz val="11"/>
        <color theme="1"/>
        <rFont val="Arial"/>
        <family val="2"/>
      </rPr>
      <t xml:space="preserve">  Based on a final reaction product of Na2SO4 and unreacted dry sorbent as Na2CO3. </t>
    </r>
  </si>
  <si>
    <t xml:space="preserve">Fly Ash Waste Rate </t>
  </si>
  <si>
    <t>P</t>
  </si>
  <si>
    <r>
      <t>(</t>
    </r>
    <r>
      <rPr>
        <sz val="11"/>
        <color rgb="FF0070C0"/>
        <rFont val="Arial"/>
        <family val="2"/>
      </rPr>
      <t>A</t>
    </r>
    <r>
      <rPr>
        <sz val="11"/>
        <color theme="1"/>
        <rFont val="Arial"/>
        <family val="2"/>
      </rPr>
      <t>*</t>
    </r>
    <r>
      <rPr>
        <sz val="11"/>
        <color rgb="FFFF0000"/>
        <rFont val="Arial"/>
        <family val="2"/>
      </rPr>
      <t>C</t>
    </r>
    <r>
      <rPr>
        <sz val="11"/>
        <color theme="1"/>
        <rFont val="Arial"/>
        <family val="2"/>
      </rPr>
      <t xml:space="preserve">)*Ash incoal*(1-Boiler Ash Removal)/(2*HHV)
For Bituminous Coal: Ash in Coal = 0.12; Boiler Ash Removal = 0.2, HHV = 11,000
For PRB Coal: Ash in Coal = 0.06; Boiler Ash Removal = 0.2, HHV = 8,400
For Lignite Coal: Ash in Coal = 0.08; Boiler Ash Removal = 0.2, HHV = 7,200
&lt;-- </t>
    </r>
    <r>
      <rPr>
        <sz val="11"/>
        <rFont val="Arial"/>
        <family val="2"/>
      </rPr>
      <t>User Input (Usibelli Coal: Ash in Coal = 0.07; Boiler Ash Removal = 0.6; HHV = 7,560)</t>
    </r>
  </si>
  <si>
    <t>Aux Power</t>
  </si>
  <si>
    <t>Q</t>
  </si>
  <si>
    <t>=if Milled Trona M*20/A else M*18/A</t>
  </si>
  <si>
    <t>Trona Cost</t>
  </si>
  <si>
    <t>R</t>
  </si>
  <si>
    <t>($/ton)</t>
  </si>
  <si>
    <t>&lt;-- User Input (based on delivered price paid by Healy)</t>
  </si>
  <si>
    <t>Waste Disposal Cost</t>
  </si>
  <si>
    <t>S</t>
  </si>
  <si>
    <t>Aux Power Cost</t>
  </si>
  <si>
    <t>T</t>
  </si>
  <si>
    <t>($/kWh)</t>
  </si>
  <si>
    <r>
      <t>&lt;-- User Input (</t>
    </r>
    <r>
      <rPr>
        <sz val="11"/>
        <color rgb="FF0070C0"/>
        <rFont val="Arial"/>
        <family val="2"/>
      </rPr>
      <t>http://www.gvea.com/rates/rates</t>
    </r>
    <r>
      <rPr>
        <sz val="11"/>
        <rFont val="Arial"/>
        <family val="2"/>
      </rPr>
      <t xml:space="preserve">) </t>
    </r>
  </si>
  <si>
    <t>Operating Labor Rate</t>
  </si>
  <si>
    <t>U</t>
  </si>
  <si>
    <t>($/hr)</t>
  </si>
  <si>
    <t>&lt;-- User Input (Labor cost including all benefits)</t>
  </si>
  <si>
    <r>
      <t xml:space="preserve">IPM Model - Updates to Cost and Performance for APC Technologies - Dry Sorbent Injection for SO2 Control Cost Development Methodology, March 2013, prepared by Sargent &amp; Lundy LLC for USEPA. </t>
    </r>
    <r>
      <rPr>
        <sz val="11"/>
        <color rgb="FF0070C0"/>
        <rFont val="Arial"/>
        <family val="2"/>
      </rPr>
      <t xml:space="preserve">https://www.epa.gov/sites/production/files/2015-07/documents/append5_4.pdf </t>
    </r>
  </si>
  <si>
    <t>Capital Cost Calculation (2012 dollars)</t>
  </si>
  <si>
    <t>Comments</t>
  </si>
  <si>
    <t>Includes - Equipment, installation, building, foundations, electrical, and retrofit difficulty factor of 0.7</t>
  </si>
  <si>
    <t>Base Module (BM) ($)</t>
  </si>
  <si>
    <t>=</t>
  </si>
  <si>
    <t>Base DSI module includes all equipment from unloading to injection</t>
  </si>
  <si>
    <r>
      <t>Unmilled Trona = if(</t>
    </r>
    <r>
      <rPr>
        <sz val="11"/>
        <color rgb="FF0070C0"/>
        <rFont val="Arial"/>
        <family val="2"/>
      </rPr>
      <t>M</t>
    </r>
    <r>
      <rPr>
        <sz val="11"/>
        <color theme="1"/>
        <rFont val="Arial"/>
        <family val="2"/>
      </rPr>
      <t>&gt;25 then (682,000*</t>
    </r>
    <r>
      <rPr>
        <sz val="11"/>
        <color rgb="FFFF0000"/>
        <rFont val="Arial"/>
        <family val="2"/>
      </rPr>
      <t>B</t>
    </r>
    <r>
      <rPr>
        <sz val="11"/>
        <color theme="1"/>
        <rFont val="Arial"/>
        <family val="2"/>
      </rPr>
      <t>*</t>
    </r>
    <r>
      <rPr>
        <sz val="11"/>
        <color rgb="FF0070C0"/>
        <rFont val="Arial"/>
        <family val="2"/>
      </rPr>
      <t>M</t>
    </r>
    <r>
      <rPr>
        <sz val="11"/>
        <color theme="1"/>
        <rFont val="Arial"/>
        <family val="2"/>
      </rPr>
      <t>) else 6,833,000*</t>
    </r>
    <r>
      <rPr>
        <sz val="11"/>
        <color rgb="FFFF0000"/>
        <rFont val="Arial"/>
        <family val="2"/>
      </rPr>
      <t>B</t>
    </r>
    <r>
      <rPr>
        <sz val="11"/>
        <color theme="1"/>
        <rFont val="Arial"/>
        <family val="2"/>
      </rPr>
      <t>*(</t>
    </r>
    <r>
      <rPr>
        <sz val="11"/>
        <color rgb="FF0070C0"/>
        <rFont val="Arial"/>
        <family val="2"/>
      </rPr>
      <t>M</t>
    </r>
    <r>
      <rPr>
        <sz val="11"/>
        <color theme="1"/>
        <rFont val="Arial"/>
        <family val="2"/>
      </rPr>
      <t>^0.284)</t>
    </r>
  </si>
  <si>
    <r>
      <t>Milled Trona = if(</t>
    </r>
    <r>
      <rPr>
        <sz val="11"/>
        <color rgb="FF0070C0"/>
        <rFont val="Arial"/>
        <family val="2"/>
      </rPr>
      <t>M</t>
    </r>
    <r>
      <rPr>
        <sz val="11"/>
        <color theme="1"/>
        <rFont val="Arial"/>
        <family val="2"/>
      </rPr>
      <t>&gt;25 then (750,000*</t>
    </r>
    <r>
      <rPr>
        <sz val="11"/>
        <color rgb="FFFF0000"/>
        <rFont val="Arial"/>
        <family val="2"/>
      </rPr>
      <t>B</t>
    </r>
    <r>
      <rPr>
        <sz val="11"/>
        <color theme="1"/>
        <rFont val="Arial"/>
        <family val="2"/>
      </rPr>
      <t>*</t>
    </r>
    <r>
      <rPr>
        <sz val="11"/>
        <color rgb="FF0070C0"/>
        <rFont val="Arial"/>
        <family val="2"/>
      </rPr>
      <t>M</t>
    </r>
    <r>
      <rPr>
        <sz val="11"/>
        <color theme="1"/>
        <rFont val="Arial"/>
        <family val="2"/>
      </rPr>
      <t>) else 7,516,000*</t>
    </r>
    <r>
      <rPr>
        <sz val="11"/>
        <color rgb="FFFF0000"/>
        <rFont val="Arial"/>
        <family val="2"/>
      </rPr>
      <t>B</t>
    </r>
    <r>
      <rPr>
        <sz val="11"/>
        <color theme="1"/>
        <rFont val="Arial"/>
        <family val="2"/>
      </rPr>
      <t>*(</t>
    </r>
    <r>
      <rPr>
        <sz val="11"/>
        <color rgb="FF0070C0"/>
        <rFont val="Arial"/>
        <family val="2"/>
      </rPr>
      <t>M</t>
    </r>
    <r>
      <rPr>
        <sz val="11"/>
        <color theme="1"/>
        <rFont val="Arial"/>
        <family val="2"/>
      </rPr>
      <t>^0.284)</t>
    </r>
  </si>
  <si>
    <t>BM ($/kW)</t>
  </si>
  <si>
    <t>Base module cost per kW</t>
  </si>
  <si>
    <t>Total Project Cost</t>
  </si>
  <si>
    <t>A1 = 10% of BM</t>
  </si>
  <si>
    <t>Engineering and construction management costs (CC Manual)</t>
  </si>
  <si>
    <t>A2 = 10% of BM</t>
  </si>
  <si>
    <t>Labor adjustment for 6 x 10 hour shift premium, per diem, etc. (CC Manual)</t>
  </si>
  <si>
    <t>A3 = 10% of BM</t>
  </si>
  <si>
    <t>Contractor profit and fees (CC Manual)</t>
  </si>
  <si>
    <t>CECC ($) - Excludes Owner's Costs = BM + A1 + A2 + A3</t>
  </si>
  <si>
    <t>Capital, engineering, and construction costs subtotal</t>
  </si>
  <si>
    <t>CECC ($/kW) - Excludes Owner's Costs</t>
  </si>
  <si>
    <t>Capital, engineering, and construction costst subtotal per kW</t>
  </si>
  <si>
    <t>B1 = 5% of CECC</t>
  </si>
  <si>
    <t>Owner's costs including all "home office" costs (owner's engineering, management, and procurement activities)</t>
  </si>
  <si>
    <t>TPC ($) - Includes Owners Costs = CECC + B1</t>
  </si>
  <si>
    <t>Total project cost without Allowance for Funds Used During Construction (AFUDC)</t>
  </si>
  <si>
    <t>TPC ($/kW) - Include Owner's Costs</t>
  </si>
  <si>
    <t>Total project cost per kW without AFUDC</t>
  </si>
  <si>
    <t>B2 = 0% of (CECC + B1)</t>
  </si>
  <si>
    <t>AFUDC (Zero for less than 1 year engineering and construction cycle)</t>
  </si>
  <si>
    <t>TPC ($) = CECC + B1 + B2</t>
  </si>
  <si>
    <t>Total project cost</t>
  </si>
  <si>
    <t>TPC ($/kW)</t>
  </si>
  <si>
    <t>Total project cost per kW</t>
  </si>
  <si>
    <t>Direct Annual Costs</t>
  </si>
  <si>
    <t>Fixed Operating and Maintenance (O&amp;M) Cost</t>
  </si>
  <si>
    <r>
      <t>FOMO ($/kW yr) = (1 additional operators)*(2080)*</t>
    </r>
    <r>
      <rPr>
        <sz val="11"/>
        <color rgb="FF0070C0"/>
        <rFont val="Arial"/>
        <family val="2"/>
      </rPr>
      <t>U</t>
    </r>
    <r>
      <rPr>
        <sz val="11"/>
        <color theme="1"/>
        <rFont val="Arial"/>
        <family val="2"/>
      </rPr>
      <t>/(</t>
    </r>
    <r>
      <rPr>
        <sz val="11"/>
        <color rgb="FFFF0000"/>
        <rFont val="Arial"/>
        <family val="2"/>
      </rPr>
      <t>A</t>
    </r>
    <r>
      <rPr>
        <sz val="11"/>
        <color theme="1"/>
        <rFont val="Arial"/>
        <family val="2"/>
      </rPr>
      <t>*1000)</t>
    </r>
  </si>
  <si>
    <t>Fixed O&amp;M additional operating labor costs</t>
  </si>
  <si>
    <r>
      <t xml:space="preserve">FOMM ($/kW yr) = </t>
    </r>
    <r>
      <rPr>
        <sz val="11"/>
        <color rgb="FF0070C0"/>
        <rFont val="Arial"/>
        <family val="2"/>
      </rPr>
      <t>BM</t>
    </r>
    <r>
      <rPr>
        <sz val="11"/>
        <color theme="1"/>
        <rFont val="Arial"/>
        <family val="2"/>
      </rPr>
      <t>*0.01/(</t>
    </r>
    <r>
      <rPr>
        <sz val="11"/>
        <color rgb="FFFF0000"/>
        <rFont val="Arial"/>
        <family val="2"/>
      </rPr>
      <t>B</t>
    </r>
    <r>
      <rPr>
        <sz val="11"/>
        <color theme="1"/>
        <rFont val="Arial"/>
        <family val="2"/>
      </rPr>
      <t>*</t>
    </r>
    <r>
      <rPr>
        <sz val="11"/>
        <color rgb="FF7030A0"/>
        <rFont val="Arial"/>
        <family val="2"/>
      </rPr>
      <t>A</t>
    </r>
    <r>
      <rPr>
        <sz val="11"/>
        <color theme="1"/>
        <rFont val="Arial"/>
        <family val="2"/>
      </rPr>
      <t>*1000)</t>
    </r>
  </si>
  <si>
    <t>Fixed O&amp;M additional maintenance material and labor costs</t>
  </si>
  <si>
    <r>
      <t>FOMA ($/kW yr) = 0.03*(</t>
    </r>
    <r>
      <rPr>
        <sz val="11"/>
        <color rgb="FF0070C0"/>
        <rFont val="Arial"/>
        <family val="2"/>
      </rPr>
      <t>FOMO</t>
    </r>
    <r>
      <rPr>
        <sz val="11"/>
        <color theme="1"/>
        <rFont val="Arial"/>
        <family val="2"/>
      </rPr>
      <t>+0.4*</t>
    </r>
    <r>
      <rPr>
        <sz val="11"/>
        <color rgb="FFFF0000"/>
        <rFont val="Arial"/>
        <family val="2"/>
      </rPr>
      <t>FOMM</t>
    </r>
    <r>
      <rPr>
        <sz val="11"/>
        <color theme="1"/>
        <rFont val="Arial"/>
        <family val="2"/>
      </rPr>
      <t>)</t>
    </r>
  </si>
  <si>
    <t>Fixed O&amp;M additional administrative labor costs</t>
  </si>
  <si>
    <r>
      <t xml:space="preserve">FOM ($/kW yr) = </t>
    </r>
    <r>
      <rPr>
        <b/>
        <sz val="11"/>
        <color rgb="FF0070C0"/>
        <rFont val="Arial"/>
        <family val="2"/>
      </rPr>
      <t>FOMO</t>
    </r>
    <r>
      <rPr>
        <b/>
        <sz val="11"/>
        <color theme="1"/>
        <rFont val="Arial"/>
        <family val="2"/>
      </rPr>
      <t xml:space="preserve"> + </t>
    </r>
    <r>
      <rPr>
        <b/>
        <sz val="11"/>
        <color rgb="FFFF0000"/>
        <rFont val="Arial"/>
        <family val="2"/>
      </rPr>
      <t>FOMM</t>
    </r>
    <r>
      <rPr>
        <b/>
        <sz val="11"/>
        <color theme="1"/>
        <rFont val="Arial"/>
        <family val="2"/>
      </rPr>
      <t xml:space="preserve"> + </t>
    </r>
    <r>
      <rPr>
        <b/>
        <sz val="11"/>
        <color rgb="FF7030A0"/>
        <rFont val="Arial"/>
        <family val="2"/>
      </rPr>
      <t>FOMA</t>
    </r>
  </si>
  <si>
    <t>Total Fixed O&amp;M costs ($/kW yr)</t>
  </si>
  <si>
    <t>Variable O&amp;M Cost</t>
  </si>
  <si>
    <r>
      <t xml:space="preserve">VOMR ($/MWh) = </t>
    </r>
    <r>
      <rPr>
        <sz val="11"/>
        <color rgb="FF0070C0"/>
        <rFont val="Arial"/>
        <family val="2"/>
      </rPr>
      <t>M</t>
    </r>
    <r>
      <rPr>
        <sz val="11"/>
        <color theme="1"/>
        <rFont val="Arial"/>
        <family val="2"/>
      </rPr>
      <t>*</t>
    </r>
    <r>
      <rPr>
        <sz val="11"/>
        <color rgb="FFFF0000"/>
        <rFont val="Arial"/>
        <family val="2"/>
      </rPr>
      <t>R</t>
    </r>
    <r>
      <rPr>
        <sz val="11"/>
        <color theme="1"/>
        <rFont val="Arial"/>
        <family val="2"/>
      </rPr>
      <t>/</t>
    </r>
    <r>
      <rPr>
        <sz val="11"/>
        <color rgb="FF7030A0"/>
        <rFont val="Arial"/>
        <family val="2"/>
      </rPr>
      <t>A</t>
    </r>
  </si>
  <si>
    <t>Variable O&amp;M costs for Trona reagent</t>
  </si>
  <si>
    <r>
      <t>VOMW ($/MWh) = (</t>
    </r>
    <r>
      <rPr>
        <sz val="11"/>
        <color rgb="FF0070C0"/>
        <rFont val="Arial"/>
        <family val="2"/>
      </rPr>
      <t>N</t>
    </r>
    <r>
      <rPr>
        <sz val="11"/>
        <color theme="1"/>
        <rFont val="Arial"/>
        <family val="2"/>
      </rPr>
      <t>+</t>
    </r>
    <r>
      <rPr>
        <sz val="11"/>
        <color rgb="FFFF0000"/>
        <rFont val="Arial"/>
        <family val="2"/>
      </rPr>
      <t>P</t>
    </r>
    <r>
      <rPr>
        <sz val="11"/>
        <color theme="1"/>
        <rFont val="Arial"/>
        <family val="2"/>
      </rPr>
      <t>)*</t>
    </r>
    <r>
      <rPr>
        <sz val="11"/>
        <color rgb="FF7030A0"/>
        <rFont val="Arial"/>
        <family val="2"/>
      </rPr>
      <t>S</t>
    </r>
    <r>
      <rPr>
        <sz val="11"/>
        <color theme="1"/>
        <rFont val="Arial"/>
        <family val="2"/>
      </rPr>
      <t>/</t>
    </r>
    <r>
      <rPr>
        <sz val="11"/>
        <color rgb="FF00B050"/>
        <rFont val="Arial"/>
        <family val="2"/>
      </rPr>
      <t>A</t>
    </r>
  </si>
  <si>
    <t>Variable O&amp;M costs for waste disposal that includes both the sorbent and the fly ash waste not removed prior to the sorbent injection</t>
  </si>
  <si>
    <r>
      <t xml:space="preserve">VOMP ($/MWh) = </t>
    </r>
    <r>
      <rPr>
        <sz val="11"/>
        <color rgb="FF0070C0"/>
        <rFont val="Arial"/>
        <family val="2"/>
      </rPr>
      <t>Q</t>
    </r>
    <r>
      <rPr>
        <sz val="11"/>
        <color theme="1"/>
        <rFont val="Arial"/>
        <family val="2"/>
      </rPr>
      <t>*</t>
    </r>
    <r>
      <rPr>
        <sz val="11"/>
        <color rgb="FFFF0000"/>
        <rFont val="Arial"/>
        <family val="2"/>
      </rPr>
      <t>T</t>
    </r>
    <r>
      <rPr>
        <sz val="11"/>
        <color theme="1"/>
        <rFont val="Arial"/>
        <family val="2"/>
      </rPr>
      <t>*10</t>
    </r>
  </si>
  <si>
    <t>Variable O&amp;M costs for additional auxiliary power required (Refer to Aux Power % above)</t>
  </si>
  <si>
    <r>
      <t xml:space="preserve">VOM ($/MWh) = </t>
    </r>
    <r>
      <rPr>
        <b/>
        <sz val="11"/>
        <color rgb="FF0070C0"/>
        <rFont val="Arial"/>
        <family val="2"/>
      </rPr>
      <t>VOMR</t>
    </r>
    <r>
      <rPr>
        <b/>
        <sz val="11"/>
        <color theme="1"/>
        <rFont val="Arial"/>
        <family val="2"/>
      </rPr>
      <t xml:space="preserve"> + </t>
    </r>
    <r>
      <rPr>
        <b/>
        <sz val="11"/>
        <color rgb="FFFF0000"/>
        <rFont val="Arial"/>
        <family val="2"/>
      </rPr>
      <t>VOMW</t>
    </r>
    <r>
      <rPr>
        <b/>
        <sz val="11"/>
        <color theme="1"/>
        <rFont val="Arial"/>
        <family val="2"/>
      </rPr>
      <t xml:space="preserve"> + </t>
    </r>
    <r>
      <rPr>
        <b/>
        <sz val="11"/>
        <color rgb="FF7030A0"/>
        <rFont val="Arial"/>
        <family val="2"/>
      </rPr>
      <t>VOMP</t>
    </r>
  </si>
  <si>
    <t>Total Variable O&amp;M Costs ($/MW yr)</t>
  </si>
  <si>
    <t>Indirect Annual Costs</t>
  </si>
  <si>
    <t>Overhead (60% of total labor and material costs)</t>
  </si>
  <si>
    <t>CC Manual</t>
  </si>
  <si>
    <t>Administrative charges (2% of total capital investment)</t>
  </si>
  <si>
    <t>Property tax (1% of total capital investment)</t>
  </si>
  <si>
    <t>Insurance (1% of total capital investment)</t>
  </si>
  <si>
    <r>
      <t>Capital Recovery Factor (CRF) = [ i (1+i)</t>
    </r>
    <r>
      <rPr>
        <vertAlign val="superscript"/>
        <sz val="11"/>
        <rFont val="Arial"/>
        <family val="2"/>
      </rPr>
      <t xml:space="preserve">n </t>
    </r>
    <r>
      <rPr>
        <sz val="11"/>
        <rFont val="Arial"/>
        <family val="2"/>
      </rPr>
      <t>] / [ (1+i)</t>
    </r>
    <r>
      <rPr>
        <vertAlign val="superscript"/>
        <sz val="11"/>
        <rFont val="Arial"/>
        <family val="2"/>
      </rPr>
      <t>n</t>
    </r>
    <r>
      <rPr>
        <sz val="11"/>
        <rFont val="Arial"/>
        <family val="2"/>
      </rPr>
      <t xml:space="preserve"> - 1 ]</t>
    </r>
  </si>
  <si>
    <t xml:space="preserve">i  = Interest rate (%)                               </t>
  </si>
  <si>
    <t>n = Equipment life (years)</t>
  </si>
  <si>
    <t>CRF =</t>
  </si>
  <si>
    <t>TOTAL INDIRECT ANNUAL OPERATING COSTS</t>
  </si>
  <si>
    <t>TOTAL ANNUALIZED OPERATING COSTS (2012 $)</t>
  </si>
  <si>
    <t>Composite CE Index for 2012 (cost year of equation)</t>
  </si>
  <si>
    <t>Composite CE Index for 2016 (cost year of review)</t>
  </si>
  <si>
    <t>TOTAL ANNUALIZED OPERATING COSTS (2016 $)</t>
  </si>
  <si>
    <r>
      <t>TOTAL UNCONTROLLED SO</t>
    </r>
    <r>
      <rPr>
        <vertAlign val="subscript"/>
        <sz val="11"/>
        <rFont val="Arial"/>
        <family val="2"/>
      </rPr>
      <t>2</t>
    </r>
    <r>
      <rPr>
        <sz val="11"/>
        <rFont val="Arial"/>
        <family val="2"/>
      </rPr>
      <t xml:space="preserve"> EMISSIONS, tons</t>
    </r>
  </si>
  <si>
    <r>
      <t>SO</t>
    </r>
    <r>
      <rPr>
        <vertAlign val="subscript"/>
        <sz val="11"/>
        <rFont val="Arial"/>
        <family val="2"/>
      </rPr>
      <t>2</t>
    </r>
    <r>
      <rPr>
        <sz val="11"/>
        <rFont val="Arial"/>
        <family val="2"/>
      </rPr>
      <t xml:space="preserve"> REMOVAL EFFICIENCY, %</t>
    </r>
  </si>
  <si>
    <r>
      <t>TOTAL SO</t>
    </r>
    <r>
      <rPr>
        <vertAlign val="subscript"/>
        <sz val="11"/>
        <rFont val="Arial"/>
        <family val="2"/>
      </rPr>
      <t>2</t>
    </r>
    <r>
      <rPr>
        <sz val="11"/>
        <rFont val="Arial"/>
        <family val="2"/>
      </rPr>
      <t xml:space="preserve"> REMOVED, tons</t>
    </r>
  </si>
  <si>
    <r>
      <t>SO</t>
    </r>
    <r>
      <rPr>
        <b/>
        <vertAlign val="subscript"/>
        <sz val="11"/>
        <rFont val="Arial"/>
        <family val="2"/>
      </rPr>
      <t>2</t>
    </r>
    <r>
      <rPr>
        <b/>
        <sz val="11"/>
        <rFont val="Arial"/>
        <family val="2"/>
      </rPr>
      <t xml:space="preserve"> COST-EFFECTIVENESS, $/ton removed</t>
    </r>
  </si>
  <si>
    <t>Spray Dry Absorber - UAF</t>
  </si>
  <si>
    <t>&lt;-- User Input (SDA FGD Estimation only valid up to 3lb/MMBtu SO2 Rate)</t>
  </si>
  <si>
    <t>Coal Factor</t>
  </si>
  <si>
    <t>Bituminous = 1, Sub-Bituminous = 1.05, Lignite = 1.07</t>
  </si>
  <si>
    <t>Heat Rate Factor</t>
  </si>
  <si>
    <r>
      <rPr>
        <sz val="11"/>
        <color rgb="FF0070C0"/>
        <rFont val="Arial"/>
        <family val="2"/>
      </rPr>
      <t>C</t>
    </r>
    <r>
      <rPr>
        <sz val="11"/>
        <color theme="1"/>
        <rFont val="Arial"/>
        <family val="2"/>
      </rPr>
      <t>/10000</t>
    </r>
  </si>
  <si>
    <t>Lime Rate</t>
  </si>
  <si>
    <r>
      <t>(0.6702*(</t>
    </r>
    <r>
      <rPr>
        <sz val="11"/>
        <color rgb="FF0070C0"/>
        <rFont val="Arial"/>
        <family val="2"/>
      </rPr>
      <t>D^2</t>
    </r>
    <r>
      <rPr>
        <sz val="11"/>
        <color theme="1"/>
        <rFont val="Arial"/>
        <family val="2"/>
      </rPr>
      <t>)+13.42*</t>
    </r>
    <r>
      <rPr>
        <sz val="11"/>
        <color rgb="FF0070C0"/>
        <rFont val="Arial"/>
        <family val="2"/>
      </rPr>
      <t>D</t>
    </r>
    <r>
      <rPr>
        <sz val="11"/>
        <color theme="1"/>
        <rFont val="Arial"/>
        <family val="2"/>
      </rPr>
      <t>)*</t>
    </r>
    <r>
      <rPr>
        <sz val="11"/>
        <color rgb="FFFF0000"/>
        <rFont val="Arial"/>
        <family val="2"/>
      </rPr>
      <t>A</t>
    </r>
    <r>
      <rPr>
        <sz val="11"/>
        <color theme="1"/>
        <rFont val="Arial"/>
        <family val="2"/>
      </rPr>
      <t>*</t>
    </r>
    <r>
      <rPr>
        <sz val="11"/>
        <color rgb="FF7030A0"/>
        <rFont val="Arial"/>
        <family val="2"/>
      </rPr>
      <t>G</t>
    </r>
    <r>
      <rPr>
        <sz val="11"/>
        <color theme="1"/>
        <rFont val="Arial"/>
        <family val="2"/>
      </rPr>
      <t>/2000 (Based on 95% SO2 Removal)</t>
    </r>
  </si>
  <si>
    <t>Waste Rate</t>
  </si>
  <si>
    <t>L</t>
  </si>
  <si>
    <r>
      <t>(0.8016*(</t>
    </r>
    <r>
      <rPr>
        <sz val="11"/>
        <color rgb="FF0070C0"/>
        <rFont val="Arial"/>
        <family val="2"/>
      </rPr>
      <t>D^2</t>
    </r>
    <r>
      <rPr>
        <sz val="11"/>
        <color theme="1"/>
        <rFont val="Arial"/>
        <family val="2"/>
      </rPr>
      <t>)+31.1917*</t>
    </r>
    <r>
      <rPr>
        <sz val="11"/>
        <color rgb="FF0070C0"/>
        <rFont val="Arial"/>
        <family val="2"/>
      </rPr>
      <t>D</t>
    </r>
    <r>
      <rPr>
        <sz val="11"/>
        <color theme="1"/>
        <rFont val="Arial"/>
        <family val="2"/>
      </rPr>
      <t>)*</t>
    </r>
    <r>
      <rPr>
        <sz val="11"/>
        <color rgb="FFFF0000"/>
        <rFont val="Arial"/>
        <family val="2"/>
      </rPr>
      <t>A</t>
    </r>
    <r>
      <rPr>
        <sz val="11"/>
        <color theme="1"/>
        <rFont val="Arial"/>
        <family val="2"/>
      </rPr>
      <t>*</t>
    </r>
    <r>
      <rPr>
        <sz val="11"/>
        <color rgb="FF7030A0"/>
        <rFont val="Arial"/>
        <family val="2"/>
      </rPr>
      <t>G</t>
    </r>
    <r>
      <rPr>
        <sz val="11"/>
        <color theme="1"/>
        <rFont val="Arial"/>
        <family val="2"/>
      </rPr>
      <t xml:space="preserve">/2000 </t>
    </r>
  </si>
  <si>
    <r>
      <t>(0.000547*(</t>
    </r>
    <r>
      <rPr>
        <sz val="11"/>
        <color rgb="FF0070C0"/>
        <rFont val="Arial"/>
        <family val="2"/>
      </rPr>
      <t>D^2)</t>
    </r>
    <r>
      <rPr>
        <sz val="11"/>
        <color theme="1"/>
        <rFont val="Arial"/>
        <family val="2"/>
      </rPr>
      <t>+0.00649*</t>
    </r>
    <r>
      <rPr>
        <sz val="11"/>
        <color rgb="FF0070C0"/>
        <rFont val="Arial"/>
        <family val="2"/>
      </rPr>
      <t>D</t>
    </r>
    <r>
      <rPr>
        <sz val="11"/>
        <color theme="1"/>
        <rFont val="Arial"/>
        <family val="2"/>
      </rPr>
      <t>+1.3)*</t>
    </r>
    <r>
      <rPr>
        <sz val="11"/>
        <color rgb="FFFF0000"/>
        <rFont val="Arial"/>
        <family val="2"/>
      </rPr>
      <t>F</t>
    </r>
    <r>
      <rPr>
        <sz val="11"/>
        <color theme="1"/>
        <rFont val="Arial"/>
        <family val="2"/>
      </rPr>
      <t>*</t>
    </r>
    <r>
      <rPr>
        <sz val="11"/>
        <color rgb="FF7030A0"/>
        <rFont val="Arial"/>
        <family val="2"/>
      </rPr>
      <t>G</t>
    </r>
    <r>
      <rPr>
        <sz val="11"/>
        <color theme="1"/>
        <rFont val="Arial"/>
        <family val="2"/>
      </rPr>
      <t xml:space="preserve"> </t>
    </r>
  </si>
  <si>
    <t>Makeup Water Rate</t>
  </si>
  <si>
    <t>(1000 gph)</t>
  </si>
  <si>
    <r>
      <t>(0.04898*(</t>
    </r>
    <r>
      <rPr>
        <sz val="11"/>
        <color rgb="FF0070C0"/>
        <rFont val="Arial"/>
        <family val="2"/>
      </rPr>
      <t>D^2</t>
    </r>
    <r>
      <rPr>
        <sz val="11"/>
        <color theme="1"/>
        <rFont val="Arial"/>
        <family val="2"/>
      </rPr>
      <t>)+0.5925*</t>
    </r>
    <r>
      <rPr>
        <sz val="11"/>
        <color rgb="FF0070C0"/>
        <rFont val="Arial"/>
        <family val="2"/>
      </rPr>
      <t>D</t>
    </r>
    <r>
      <rPr>
        <sz val="11"/>
        <color theme="1"/>
        <rFont val="Arial"/>
        <family val="2"/>
      </rPr>
      <t>+55.11)*</t>
    </r>
    <r>
      <rPr>
        <sz val="11"/>
        <color rgb="FFFF0000"/>
        <rFont val="Arial"/>
        <family val="2"/>
      </rPr>
      <t>A</t>
    </r>
    <r>
      <rPr>
        <sz val="11"/>
        <color theme="1"/>
        <rFont val="Arial"/>
        <family val="2"/>
      </rPr>
      <t>*</t>
    </r>
    <r>
      <rPr>
        <sz val="11"/>
        <color rgb="FF7030A0"/>
        <rFont val="Arial"/>
        <family val="2"/>
      </rPr>
      <t>F</t>
    </r>
    <r>
      <rPr>
        <sz val="11"/>
        <color theme="1"/>
        <rFont val="Arial"/>
        <family val="2"/>
      </rPr>
      <t>*</t>
    </r>
    <r>
      <rPr>
        <sz val="11"/>
        <color rgb="FF00B050"/>
        <rFont val="Arial"/>
        <family val="2"/>
      </rPr>
      <t>G</t>
    </r>
    <r>
      <rPr>
        <sz val="11"/>
        <color theme="1"/>
        <rFont val="Arial"/>
        <family val="2"/>
      </rPr>
      <t>/1000</t>
    </r>
  </si>
  <si>
    <t>Lime Cost</t>
  </si>
  <si>
    <r>
      <t>&lt;-- User Input (</t>
    </r>
    <r>
      <rPr>
        <sz val="11"/>
        <color rgb="FF0070C0"/>
        <rFont val="Arial"/>
        <family val="2"/>
      </rPr>
      <t>https://www3.epa.gov/ttncatc1/dir1/ffdg.pdf</t>
    </r>
    <r>
      <rPr>
        <sz val="11"/>
        <rFont val="Arial"/>
        <family val="2"/>
      </rPr>
      <t>)</t>
    </r>
  </si>
  <si>
    <t>Makeup Water Cost</t>
  </si>
  <si>
    <t>($/1000 gal)</t>
  </si>
  <si>
    <r>
      <t>&lt;-- User Input (</t>
    </r>
    <r>
      <rPr>
        <sz val="11"/>
        <color rgb="FF0070C0"/>
        <rFont val="Arial"/>
        <family val="2"/>
      </rPr>
      <t>http://www.newsminer.com/water-rates/article_11a2ba10-c211-562e-8da9-87dd16a7b104.html</t>
    </r>
    <r>
      <rPr>
        <sz val="11"/>
        <rFont val="Arial"/>
        <family val="2"/>
      </rPr>
      <t>)</t>
    </r>
  </si>
  <si>
    <t>Labor cost including all benefits</t>
  </si>
  <si>
    <r>
      <t xml:space="preserve">IPM Model - Updates to Cost and Performance for APC Technologies - SDA FGD for SO2 Control Cost Development Methodology, March 2013, prepared by Sargent &amp; Lundy LLC for US EPA.                                                           </t>
    </r>
    <r>
      <rPr>
        <sz val="11"/>
        <color rgb="FF0070C0"/>
        <rFont val="Arial"/>
        <family val="2"/>
      </rPr>
      <t>https://www.epa.gov/sites/production/files/2015-07/documents/chapter_5_appendix_5-1b_sda_fgd.pdf</t>
    </r>
    <r>
      <rPr>
        <sz val="11"/>
        <color theme="1"/>
        <rFont val="Arial"/>
        <family val="2"/>
      </rPr>
      <t xml:space="preserve">  </t>
    </r>
  </si>
  <si>
    <t>Includes - Equipment, installation, building, foundations, electrical, and a retrofit difficulty factor of 0.7</t>
  </si>
  <si>
    <r>
      <t>BMR ($) = if(A&gt;600 then (</t>
    </r>
    <r>
      <rPr>
        <sz val="11"/>
        <color rgb="FF0070C0"/>
        <rFont val="Arial"/>
        <family val="2"/>
      </rPr>
      <t>A</t>
    </r>
    <r>
      <rPr>
        <sz val="11"/>
        <color theme="1"/>
        <rFont val="Arial"/>
        <family val="2"/>
      </rPr>
      <t>*92,000) else 566,000*(</t>
    </r>
    <r>
      <rPr>
        <sz val="11"/>
        <color rgb="FF0070C0"/>
        <rFont val="Arial"/>
        <family val="2"/>
      </rPr>
      <t>A</t>
    </r>
    <r>
      <rPr>
        <sz val="11"/>
        <color theme="1"/>
        <rFont val="Arial"/>
        <family val="2"/>
      </rPr>
      <t>^0.716))*</t>
    </r>
    <r>
      <rPr>
        <sz val="11"/>
        <color rgb="FFFF0000"/>
        <rFont val="Arial"/>
        <family val="2"/>
      </rPr>
      <t>B</t>
    </r>
    <r>
      <rPr>
        <sz val="11"/>
        <color theme="1"/>
        <rFont val="Arial"/>
        <family val="2"/>
      </rPr>
      <t>*(</t>
    </r>
    <r>
      <rPr>
        <sz val="11"/>
        <color rgb="FF7030A0"/>
        <rFont val="Arial"/>
        <family val="2"/>
      </rPr>
      <t>F</t>
    </r>
    <r>
      <rPr>
        <sz val="11"/>
        <color theme="1"/>
        <rFont val="Arial"/>
        <family val="2"/>
      </rPr>
      <t>*</t>
    </r>
    <r>
      <rPr>
        <sz val="11"/>
        <color rgb="FF00B050"/>
        <rFont val="Arial"/>
        <family val="2"/>
      </rPr>
      <t>G</t>
    </r>
    <r>
      <rPr>
        <sz val="11"/>
        <color theme="1"/>
        <rFont val="Arial"/>
        <family val="2"/>
      </rPr>
      <t>)^0.6*(</t>
    </r>
    <r>
      <rPr>
        <sz val="11"/>
        <color rgb="FFC00000"/>
        <rFont val="Arial"/>
        <family val="2"/>
      </rPr>
      <t>D</t>
    </r>
    <r>
      <rPr>
        <sz val="11"/>
        <color theme="1"/>
        <rFont val="Arial"/>
        <family val="2"/>
      </rPr>
      <t>/4)^0.01</t>
    </r>
  </si>
  <si>
    <t>Base module absorber island cost</t>
  </si>
  <si>
    <r>
      <t>BMF ($) = if(A&gt;600 then (</t>
    </r>
    <r>
      <rPr>
        <sz val="11"/>
        <color rgb="FF0070C0"/>
        <rFont val="Arial"/>
        <family val="2"/>
      </rPr>
      <t>A</t>
    </r>
    <r>
      <rPr>
        <sz val="11"/>
        <color theme="1"/>
        <rFont val="Arial"/>
        <family val="2"/>
      </rPr>
      <t>*48,700) else 300,000*(</t>
    </r>
    <r>
      <rPr>
        <sz val="11"/>
        <color rgb="FF0070C0"/>
        <rFont val="Arial"/>
        <family val="2"/>
      </rPr>
      <t>A</t>
    </r>
    <r>
      <rPr>
        <sz val="11"/>
        <color theme="1"/>
        <rFont val="Arial"/>
        <family val="2"/>
      </rPr>
      <t>^0.716))*</t>
    </r>
    <r>
      <rPr>
        <sz val="11"/>
        <color rgb="FFFF0000"/>
        <rFont val="Arial"/>
        <family val="2"/>
      </rPr>
      <t>B</t>
    </r>
    <r>
      <rPr>
        <sz val="11"/>
        <color theme="1"/>
        <rFont val="Arial"/>
        <family val="2"/>
      </rPr>
      <t>*(</t>
    </r>
    <r>
      <rPr>
        <sz val="11"/>
        <color rgb="FF7030A0"/>
        <rFont val="Arial"/>
        <family val="2"/>
      </rPr>
      <t>D</t>
    </r>
    <r>
      <rPr>
        <sz val="11"/>
        <color theme="1"/>
        <rFont val="Arial"/>
        <family val="2"/>
      </rPr>
      <t>*</t>
    </r>
    <r>
      <rPr>
        <sz val="11"/>
        <color rgb="FF00B050"/>
        <rFont val="Arial"/>
        <family val="2"/>
      </rPr>
      <t>G</t>
    </r>
    <r>
      <rPr>
        <sz val="11"/>
        <color theme="1"/>
        <rFont val="Arial"/>
        <family val="2"/>
      </rPr>
      <t>)^0.2</t>
    </r>
  </si>
  <si>
    <t>Base module reagent preparation and waste recycle/handling cost</t>
  </si>
  <si>
    <r>
      <t>BMB ($) = if(A&gt;600 then (</t>
    </r>
    <r>
      <rPr>
        <sz val="11"/>
        <color rgb="FF0070C0"/>
        <rFont val="Arial"/>
        <family val="2"/>
      </rPr>
      <t>A</t>
    </r>
    <r>
      <rPr>
        <sz val="11"/>
        <color theme="1"/>
        <rFont val="Arial"/>
        <family val="2"/>
      </rPr>
      <t>*129,900) else 799,000*(</t>
    </r>
    <r>
      <rPr>
        <sz val="11"/>
        <color rgb="FF0070C0"/>
        <rFont val="Arial"/>
        <family val="2"/>
      </rPr>
      <t>A</t>
    </r>
    <r>
      <rPr>
        <sz val="11"/>
        <color theme="1"/>
        <rFont val="Arial"/>
        <family val="2"/>
      </rPr>
      <t>^0.716))*</t>
    </r>
    <r>
      <rPr>
        <sz val="11"/>
        <color rgb="FFFF0000"/>
        <rFont val="Arial"/>
        <family val="2"/>
      </rPr>
      <t>B</t>
    </r>
    <r>
      <rPr>
        <sz val="11"/>
        <color theme="1"/>
        <rFont val="Arial"/>
        <family val="2"/>
      </rPr>
      <t>*(</t>
    </r>
    <r>
      <rPr>
        <sz val="11"/>
        <color rgb="FF7030A0"/>
        <rFont val="Arial"/>
        <family val="2"/>
      </rPr>
      <t>F</t>
    </r>
    <r>
      <rPr>
        <sz val="11"/>
        <color theme="1"/>
        <rFont val="Arial"/>
        <family val="2"/>
      </rPr>
      <t>*</t>
    </r>
    <r>
      <rPr>
        <sz val="11"/>
        <color rgb="FF00B050"/>
        <rFont val="Arial"/>
        <family val="2"/>
      </rPr>
      <t>G</t>
    </r>
    <r>
      <rPr>
        <sz val="11"/>
        <color theme="1"/>
        <rFont val="Arial"/>
        <family val="2"/>
      </rPr>
      <t>)^0.4</t>
    </r>
  </si>
  <si>
    <t>Base module balance of plan cost including: ID or booster fans, piping, ductwork, electrical, etc…</t>
  </si>
  <si>
    <t>B2 = 10% of (CECC + B1)</t>
  </si>
  <si>
    <t>Fixed O&amp;M Cost</t>
  </si>
  <si>
    <r>
      <t>FOMO ($/kW yr) = (4 additional operators)*(2080)*</t>
    </r>
    <r>
      <rPr>
        <sz val="11"/>
        <color rgb="FF0070C0"/>
        <rFont val="Arial"/>
        <family val="2"/>
      </rPr>
      <t>T</t>
    </r>
    <r>
      <rPr>
        <sz val="11"/>
        <color theme="1"/>
        <rFont val="Arial"/>
        <family val="2"/>
      </rPr>
      <t>/(</t>
    </r>
    <r>
      <rPr>
        <sz val="11"/>
        <color rgb="FFFF0000"/>
        <rFont val="Arial"/>
        <family val="2"/>
      </rPr>
      <t>A</t>
    </r>
    <r>
      <rPr>
        <sz val="11"/>
        <color theme="1"/>
        <rFont val="Arial"/>
        <family val="2"/>
      </rPr>
      <t>*1000)</t>
    </r>
  </si>
  <si>
    <r>
      <t xml:space="preserve">FOMM ($/kW yr) = </t>
    </r>
    <r>
      <rPr>
        <sz val="11"/>
        <color rgb="FF0070C0"/>
        <rFont val="Arial"/>
        <family val="2"/>
      </rPr>
      <t>BM</t>
    </r>
    <r>
      <rPr>
        <sz val="11"/>
        <color theme="1"/>
        <rFont val="Arial"/>
        <family val="2"/>
      </rPr>
      <t>*0.015/(</t>
    </r>
    <r>
      <rPr>
        <sz val="11"/>
        <color rgb="FFFF0000"/>
        <rFont val="Arial"/>
        <family val="2"/>
      </rPr>
      <t>B</t>
    </r>
    <r>
      <rPr>
        <sz val="11"/>
        <color theme="1"/>
        <rFont val="Arial"/>
        <family val="2"/>
      </rPr>
      <t>*</t>
    </r>
    <r>
      <rPr>
        <sz val="11"/>
        <color rgb="FF7030A0"/>
        <rFont val="Arial"/>
        <family val="2"/>
      </rPr>
      <t>A</t>
    </r>
    <r>
      <rPr>
        <sz val="11"/>
        <color theme="1"/>
        <rFont val="Arial"/>
        <family val="2"/>
      </rPr>
      <t>*1000)</t>
    </r>
  </si>
  <si>
    <r>
      <t xml:space="preserve">VOMR ($/MWh) = </t>
    </r>
    <r>
      <rPr>
        <sz val="11"/>
        <color rgb="FF0070C0"/>
        <rFont val="Arial"/>
        <family val="2"/>
      </rPr>
      <t>K</t>
    </r>
    <r>
      <rPr>
        <sz val="11"/>
        <color theme="1"/>
        <rFont val="Arial"/>
        <family val="2"/>
      </rPr>
      <t>*</t>
    </r>
    <r>
      <rPr>
        <sz val="11"/>
        <color rgb="FFFF0000"/>
        <rFont val="Arial"/>
        <family val="2"/>
      </rPr>
      <t>P</t>
    </r>
    <r>
      <rPr>
        <sz val="11"/>
        <color theme="1"/>
        <rFont val="Arial"/>
        <family val="2"/>
      </rPr>
      <t>/</t>
    </r>
    <r>
      <rPr>
        <sz val="11"/>
        <color rgb="FF7030A0"/>
        <rFont val="Arial"/>
        <family val="2"/>
      </rPr>
      <t>A</t>
    </r>
  </si>
  <si>
    <t>Variable O&amp;M costs for lime reagent</t>
  </si>
  <si>
    <r>
      <t xml:space="preserve">VOMW ($/MWh) = </t>
    </r>
    <r>
      <rPr>
        <sz val="11"/>
        <color rgb="FF0070C0"/>
        <rFont val="Arial"/>
        <family val="2"/>
      </rPr>
      <t>L</t>
    </r>
    <r>
      <rPr>
        <sz val="11"/>
        <color theme="1"/>
        <rFont val="Arial"/>
        <family val="2"/>
      </rPr>
      <t>*</t>
    </r>
    <r>
      <rPr>
        <sz val="11"/>
        <color rgb="FFFF0000"/>
        <rFont val="Arial"/>
        <family val="2"/>
      </rPr>
      <t>Q</t>
    </r>
    <r>
      <rPr>
        <sz val="11"/>
        <color theme="1"/>
        <rFont val="Arial"/>
        <family val="2"/>
      </rPr>
      <t>/</t>
    </r>
    <r>
      <rPr>
        <sz val="11"/>
        <color rgb="FF7030A0"/>
        <rFont val="Arial"/>
        <family val="2"/>
      </rPr>
      <t>A</t>
    </r>
  </si>
  <si>
    <t xml:space="preserve">Variable O&amp;M costs for waste disposal </t>
  </si>
  <si>
    <r>
      <t xml:space="preserve">VOMP ($/MWh) = </t>
    </r>
    <r>
      <rPr>
        <sz val="11"/>
        <color rgb="FF0070C0"/>
        <rFont val="Arial"/>
        <family val="2"/>
      </rPr>
      <t>M</t>
    </r>
    <r>
      <rPr>
        <sz val="11"/>
        <color theme="1"/>
        <rFont val="Arial"/>
        <family val="2"/>
      </rPr>
      <t>*</t>
    </r>
    <r>
      <rPr>
        <sz val="11"/>
        <color rgb="FFFF0000"/>
        <rFont val="Arial"/>
        <family val="2"/>
      </rPr>
      <t>R</t>
    </r>
    <r>
      <rPr>
        <sz val="11"/>
        <color theme="1"/>
        <rFont val="Arial"/>
        <family val="2"/>
      </rPr>
      <t>*10</t>
    </r>
  </si>
  <si>
    <r>
      <t xml:space="preserve">VOMM ($/MWh) = </t>
    </r>
    <r>
      <rPr>
        <sz val="11"/>
        <color rgb="FF0070C0"/>
        <rFont val="Arial"/>
        <family val="2"/>
      </rPr>
      <t>N</t>
    </r>
    <r>
      <rPr>
        <sz val="11"/>
        <color theme="1"/>
        <rFont val="Arial"/>
        <family val="2"/>
      </rPr>
      <t>*</t>
    </r>
    <r>
      <rPr>
        <sz val="11"/>
        <color rgb="FFFF0000"/>
        <rFont val="Arial"/>
        <family val="2"/>
      </rPr>
      <t>S</t>
    </r>
    <r>
      <rPr>
        <sz val="11"/>
        <color theme="1"/>
        <rFont val="Arial"/>
        <family val="2"/>
      </rPr>
      <t>/</t>
    </r>
    <r>
      <rPr>
        <sz val="11"/>
        <color rgb="FF7030A0"/>
        <rFont val="Arial"/>
        <family val="2"/>
      </rPr>
      <t>A</t>
    </r>
  </si>
  <si>
    <t>Variable O&amp;M costs for makeup water</t>
  </si>
  <si>
    <r>
      <t xml:space="preserve">VOM ($/MWh) = </t>
    </r>
    <r>
      <rPr>
        <b/>
        <sz val="11"/>
        <color rgb="FF0070C0"/>
        <rFont val="Arial"/>
        <family val="2"/>
      </rPr>
      <t>VOMR</t>
    </r>
    <r>
      <rPr>
        <b/>
        <sz val="11"/>
        <color theme="1"/>
        <rFont val="Arial"/>
        <family val="2"/>
      </rPr>
      <t xml:space="preserve"> + </t>
    </r>
    <r>
      <rPr>
        <b/>
        <sz val="11"/>
        <color rgb="FFFF0000"/>
        <rFont val="Arial"/>
        <family val="2"/>
      </rPr>
      <t>VOMW</t>
    </r>
    <r>
      <rPr>
        <b/>
        <sz val="11"/>
        <color theme="1"/>
        <rFont val="Arial"/>
        <family val="2"/>
      </rPr>
      <t xml:space="preserve"> + </t>
    </r>
    <r>
      <rPr>
        <b/>
        <sz val="11"/>
        <color rgb="FF7030A0"/>
        <rFont val="Arial"/>
        <family val="2"/>
      </rPr>
      <t>VOMP</t>
    </r>
    <r>
      <rPr>
        <b/>
        <sz val="11"/>
        <color theme="1"/>
        <rFont val="Arial"/>
        <family val="2"/>
      </rPr>
      <t xml:space="preserve"> + </t>
    </r>
    <r>
      <rPr>
        <b/>
        <sz val="11"/>
        <color rgb="FF00B050"/>
        <rFont val="Arial"/>
        <family val="2"/>
      </rPr>
      <t>VOMM</t>
    </r>
  </si>
  <si>
    <t>Wet Scrubber - UAF</t>
  </si>
  <si>
    <t>&lt;-- User Input (Conservative assumption based on a total heat input of 296 MMBtu/hr)</t>
  </si>
  <si>
    <r>
      <t xml:space="preserve">&lt;-- User Input (An "average" retrofit has a factor of 1.0 Proposed UAF boiler is not a retrofit, however modifications to existing equipment (e.g., ductwork and stack) and operating conditions (e.g., temperature and flowrate) may need to be modified. Retrofit of scrubbers on existing units can increase the capital cost up to 30%. Therefore the Department assumed a retrofit factor of 0.7 for the dual fuel-fired boiler at UAF. </t>
    </r>
    <r>
      <rPr>
        <sz val="11"/>
        <color rgb="FF0070C0"/>
        <rFont val="Arial"/>
        <family val="2"/>
      </rPr>
      <t>https://www3.epa.gov/ttncatc1/dir1/ffdg.pdf</t>
    </r>
    <r>
      <rPr>
        <sz val="11"/>
        <color theme="1"/>
        <rFont val="Arial"/>
        <family val="2"/>
      </rPr>
      <t>) Sargent and Lundy has a drop down menu for selection of an additional waste water treatment plant facility, but no capital or operational cost are implemented so it is not reproduced here.</t>
    </r>
  </si>
  <si>
    <t>Limestone Rate</t>
  </si>
  <si>
    <r>
      <t>17.52*</t>
    </r>
    <r>
      <rPr>
        <sz val="11"/>
        <color rgb="FF0070C0"/>
        <rFont val="Arial"/>
        <family val="2"/>
      </rPr>
      <t>A</t>
    </r>
    <r>
      <rPr>
        <sz val="11"/>
        <color theme="1"/>
        <rFont val="Arial"/>
        <family val="2"/>
      </rPr>
      <t>*</t>
    </r>
    <r>
      <rPr>
        <sz val="11"/>
        <color rgb="FFFF0000"/>
        <rFont val="Arial"/>
        <family val="2"/>
      </rPr>
      <t>D</t>
    </r>
    <r>
      <rPr>
        <sz val="11"/>
        <color theme="1"/>
        <rFont val="Arial"/>
        <family val="2"/>
      </rPr>
      <t>*</t>
    </r>
    <r>
      <rPr>
        <sz val="11"/>
        <color rgb="FF7030A0"/>
        <rFont val="Arial"/>
        <family val="2"/>
      </rPr>
      <t>G</t>
    </r>
    <r>
      <rPr>
        <sz val="11"/>
        <color theme="1"/>
        <rFont val="Arial"/>
        <family val="2"/>
      </rPr>
      <t>/2000</t>
    </r>
  </si>
  <si>
    <r>
      <t>1.811*</t>
    </r>
    <r>
      <rPr>
        <sz val="11"/>
        <color rgb="FF0070C0"/>
        <rFont val="Arial"/>
        <family val="2"/>
      </rPr>
      <t>K</t>
    </r>
  </si>
  <si>
    <r>
      <t>(1.05e^(0.155*</t>
    </r>
    <r>
      <rPr>
        <sz val="11"/>
        <color rgb="FF0070C0"/>
        <rFont val="Arial"/>
        <family val="2"/>
      </rPr>
      <t>D</t>
    </r>
    <r>
      <rPr>
        <sz val="11"/>
        <color theme="1"/>
        <rFont val="Arial"/>
        <family val="2"/>
      </rPr>
      <t>))*</t>
    </r>
    <r>
      <rPr>
        <sz val="11"/>
        <color rgb="FFFF0000"/>
        <rFont val="Arial"/>
        <family val="2"/>
      </rPr>
      <t>F</t>
    </r>
    <r>
      <rPr>
        <sz val="11"/>
        <color theme="1"/>
        <rFont val="Arial"/>
        <family val="2"/>
      </rPr>
      <t>*</t>
    </r>
    <r>
      <rPr>
        <sz val="11"/>
        <color rgb="FF7030A0"/>
        <rFont val="Arial"/>
        <family val="2"/>
      </rPr>
      <t xml:space="preserve">G </t>
    </r>
  </si>
  <si>
    <r>
      <t>(1.674*</t>
    </r>
    <r>
      <rPr>
        <sz val="11"/>
        <color rgb="FF0070C0"/>
        <rFont val="Arial"/>
        <family val="2"/>
      </rPr>
      <t>D</t>
    </r>
    <r>
      <rPr>
        <sz val="11"/>
        <color theme="1"/>
        <rFont val="Arial"/>
        <family val="2"/>
      </rPr>
      <t>+74.68)*</t>
    </r>
    <r>
      <rPr>
        <sz val="11"/>
        <color rgb="FFFF0000"/>
        <rFont val="Arial"/>
        <family val="2"/>
      </rPr>
      <t>A</t>
    </r>
    <r>
      <rPr>
        <sz val="11"/>
        <color theme="1"/>
        <rFont val="Arial"/>
        <family val="2"/>
      </rPr>
      <t>*</t>
    </r>
    <r>
      <rPr>
        <sz val="11"/>
        <color rgb="FF7030A0"/>
        <rFont val="Arial"/>
        <family val="2"/>
      </rPr>
      <t>F</t>
    </r>
    <r>
      <rPr>
        <sz val="11"/>
        <color theme="1"/>
        <rFont val="Arial"/>
        <family val="2"/>
      </rPr>
      <t>*</t>
    </r>
    <r>
      <rPr>
        <sz val="11"/>
        <color rgb="FF00B050"/>
        <rFont val="Arial"/>
        <family val="2"/>
      </rPr>
      <t>G</t>
    </r>
    <r>
      <rPr>
        <sz val="11"/>
        <color theme="1"/>
        <rFont val="Arial"/>
        <family val="2"/>
      </rPr>
      <t>/1000</t>
    </r>
  </si>
  <si>
    <t>Limestone Cost</t>
  </si>
  <si>
    <r>
      <t xml:space="preserve">IPM Model - Updates to Cost and Performance for APC Technologies - Wet FGD for SO2 Control Cost Development Methodology, August 2010, prepared by Sargent &amp; Lundy LLC for US EPA.                                                          </t>
    </r>
    <r>
      <rPr>
        <sz val="11"/>
        <color rgb="FF0070C0"/>
        <rFont val="Arial"/>
        <family val="2"/>
      </rPr>
      <t>https://www.epa.gov/sites/production/files/2015-07/documents/chapter_5_appendix_5-1a_wet_fgd.pdf</t>
    </r>
  </si>
  <si>
    <t>Includes - Equipment, installation, building, foundations, electrical, minor physical/chemical waste water treatment, and a retrofit difficulty factor of 0.7</t>
  </si>
  <si>
    <r>
      <t>BMR ($) = 550,000*(</t>
    </r>
    <r>
      <rPr>
        <sz val="11"/>
        <color rgb="FF0070C0"/>
        <rFont val="Arial"/>
        <family val="2"/>
      </rPr>
      <t>B)</t>
    </r>
    <r>
      <rPr>
        <sz val="11"/>
        <color theme="1"/>
        <rFont val="Arial"/>
        <family val="2"/>
      </rPr>
      <t>*((</t>
    </r>
    <r>
      <rPr>
        <sz val="11"/>
        <color rgb="FFFF0000"/>
        <rFont val="Arial"/>
        <family val="2"/>
      </rPr>
      <t>F</t>
    </r>
    <r>
      <rPr>
        <sz val="11"/>
        <color theme="1"/>
        <rFont val="Arial"/>
        <family val="2"/>
      </rPr>
      <t>*</t>
    </r>
    <r>
      <rPr>
        <sz val="11"/>
        <color rgb="FF7030A0"/>
        <rFont val="Arial"/>
        <family val="2"/>
      </rPr>
      <t>G</t>
    </r>
    <r>
      <rPr>
        <sz val="11"/>
        <color theme="1"/>
        <rFont val="Arial"/>
        <family val="2"/>
      </rPr>
      <t>)^0.6)*((</t>
    </r>
    <r>
      <rPr>
        <sz val="11"/>
        <color rgb="FF00B050"/>
        <rFont val="Arial"/>
        <family val="2"/>
      </rPr>
      <t>D</t>
    </r>
    <r>
      <rPr>
        <sz val="11"/>
        <color theme="1"/>
        <rFont val="Arial"/>
        <family val="2"/>
      </rPr>
      <t>/2)^0.02)*(</t>
    </r>
    <r>
      <rPr>
        <sz val="11"/>
        <color rgb="FFD576DC"/>
        <rFont val="Arial"/>
        <family val="2"/>
      </rPr>
      <t>A</t>
    </r>
    <r>
      <rPr>
        <sz val="11"/>
        <color theme="1"/>
        <rFont val="Arial"/>
        <family val="2"/>
      </rPr>
      <t>^0.716)</t>
    </r>
  </si>
  <si>
    <t>Base absorber island cost</t>
  </si>
  <si>
    <r>
      <t>BMF ($) = 190,000*(</t>
    </r>
    <r>
      <rPr>
        <sz val="11"/>
        <color rgb="FF0070C0"/>
        <rFont val="Arial"/>
        <family val="2"/>
      </rPr>
      <t>B</t>
    </r>
    <r>
      <rPr>
        <sz val="11"/>
        <color theme="1"/>
        <rFont val="Arial"/>
        <family val="2"/>
      </rPr>
      <t>)*((</t>
    </r>
    <r>
      <rPr>
        <sz val="11"/>
        <color rgb="FFFF0000"/>
        <rFont val="Arial"/>
        <family val="2"/>
      </rPr>
      <t>D</t>
    </r>
    <r>
      <rPr>
        <sz val="11"/>
        <color theme="1"/>
        <rFont val="Arial"/>
        <family val="2"/>
      </rPr>
      <t>*</t>
    </r>
    <r>
      <rPr>
        <sz val="11"/>
        <color rgb="FF7030A0"/>
        <rFont val="Arial"/>
        <family val="2"/>
      </rPr>
      <t>G</t>
    </r>
    <r>
      <rPr>
        <sz val="11"/>
        <color theme="1"/>
        <rFont val="Arial"/>
        <family val="2"/>
      </rPr>
      <t>)^0.3)*(</t>
    </r>
    <r>
      <rPr>
        <sz val="11"/>
        <color rgb="FF00B050"/>
        <rFont val="Arial"/>
        <family val="2"/>
      </rPr>
      <t>A</t>
    </r>
    <r>
      <rPr>
        <sz val="11"/>
        <color theme="1"/>
        <rFont val="Arial"/>
        <family val="2"/>
      </rPr>
      <t>^0.716)</t>
    </r>
  </si>
  <si>
    <t>Base reagent preparation cost</t>
  </si>
  <si>
    <r>
      <t>BMW ($) = 100,000*(</t>
    </r>
    <r>
      <rPr>
        <sz val="11"/>
        <color rgb="FF0070C0"/>
        <rFont val="Arial"/>
        <family val="2"/>
      </rPr>
      <t>B</t>
    </r>
    <r>
      <rPr>
        <sz val="11"/>
        <color theme="1"/>
        <rFont val="Arial"/>
        <family val="2"/>
      </rPr>
      <t>)*((</t>
    </r>
    <r>
      <rPr>
        <sz val="11"/>
        <color rgb="FFFF0000"/>
        <rFont val="Arial"/>
        <family val="2"/>
      </rPr>
      <t>D</t>
    </r>
    <r>
      <rPr>
        <sz val="11"/>
        <color theme="1"/>
        <rFont val="Arial"/>
        <family val="2"/>
      </rPr>
      <t>*</t>
    </r>
    <r>
      <rPr>
        <sz val="11"/>
        <color rgb="FF7030A0"/>
        <rFont val="Arial"/>
        <family val="2"/>
      </rPr>
      <t>G</t>
    </r>
    <r>
      <rPr>
        <sz val="11"/>
        <color theme="1"/>
        <rFont val="Arial"/>
        <family val="2"/>
      </rPr>
      <t>)^0.45)*(</t>
    </r>
    <r>
      <rPr>
        <sz val="11"/>
        <color rgb="FF00B050"/>
        <rFont val="Arial"/>
        <family val="2"/>
      </rPr>
      <t>A</t>
    </r>
    <r>
      <rPr>
        <sz val="11"/>
        <color theme="1"/>
        <rFont val="Arial"/>
        <family val="2"/>
      </rPr>
      <t>^0.716)</t>
    </r>
  </si>
  <si>
    <t>Base waste handling cost</t>
  </si>
  <si>
    <r>
      <t>BMB ($) = 1,010,000*(</t>
    </r>
    <r>
      <rPr>
        <sz val="11"/>
        <color rgb="FF0070C0"/>
        <rFont val="Arial"/>
        <family val="2"/>
      </rPr>
      <t>B</t>
    </r>
    <r>
      <rPr>
        <sz val="11"/>
        <color theme="1"/>
        <rFont val="Arial"/>
        <family val="2"/>
      </rPr>
      <t>)*((</t>
    </r>
    <r>
      <rPr>
        <sz val="11"/>
        <color rgb="FFFF0000"/>
        <rFont val="Arial"/>
        <family val="2"/>
      </rPr>
      <t>F</t>
    </r>
    <r>
      <rPr>
        <sz val="11"/>
        <color theme="1"/>
        <rFont val="Arial"/>
        <family val="2"/>
      </rPr>
      <t>*</t>
    </r>
    <r>
      <rPr>
        <sz val="11"/>
        <color rgb="FF7030A0"/>
        <rFont val="Arial"/>
        <family val="2"/>
      </rPr>
      <t>G</t>
    </r>
    <r>
      <rPr>
        <sz val="11"/>
        <color theme="1"/>
        <rFont val="Arial"/>
        <family val="2"/>
      </rPr>
      <t>)^0.4)*(</t>
    </r>
    <r>
      <rPr>
        <sz val="11"/>
        <color rgb="FF00B050"/>
        <rFont val="Arial"/>
        <family val="2"/>
      </rPr>
      <t>A</t>
    </r>
    <r>
      <rPr>
        <sz val="11"/>
        <color theme="1"/>
        <rFont val="Arial"/>
        <family val="2"/>
      </rPr>
      <t>^0.716)</t>
    </r>
  </si>
  <si>
    <t>Base balance of plan cost including: ID or booster fans, new wet chimney, piping, ductwork, minor waste water treatment, etc…</t>
  </si>
  <si>
    <t xml:space="preserve">BMWW ($) = </t>
  </si>
  <si>
    <t>Base wastewater treatment facility, beyond minor physical/chemcial treatment</t>
  </si>
  <si>
    <r>
      <t xml:space="preserve">Base Module (BM) ($) = </t>
    </r>
    <r>
      <rPr>
        <sz val="11"/>
        <color rgb="FF0070C0"/>
        <rFont val="Arial"/>
        <family val="2"/>
      </rPr>
      <t>BMR</t>
    </r>
    <r>
      <rPr>
        <sz val="11"/>
        <color theme="1"/>
        <rFont val="Arial"/>
        <family val="2"/>
      </rPr>
      <t xml:space="preserve"> + </t>
    </r>
    <r>
      <rPr>
        <sz val="11"/>
        <color rgb="FFFF0000"/>
        <rFont val="Arial"/>
        <family val="2"/>
      </rPr>
      <t>BMF</t>
    </r>
    <r>
      <rPr>
        <sz val="11"/>
        <color theme="1"/>
        <rFont val="Arial"/>
        <family val="2"/>
      </rPr>
      <t xml:space="preserve"> + </t>
    </r>
    <r>
      <rPr>
        <sz val="11"/>
        <color rgb="FF7030A0"/>
        <rFont val="Arial"/>
        <family val="2"/>
      </rPr>
      <t>BMW</t>
    </r>
    <r>
      <rPr>
        <sz val="11"/>
        <color theme="1"/>
        <rFont val="Arial"/>
        <family val="2"/>
      </rPr>
      <t xml:space="preserve"> + </t>
    </r>
    <r>
      <rPr>
        <sz val="11"/>
        <color rgb="FF00B050"/>
        <rFont val="Arial"/>
        <family val="2"/>
      </rPr>
      <t>BMB</t>
    </r>
    <r>
      <rPr>
        <sz val="11"/>
        <color theme="1"/>
        <rFont val="Arial"/>
        <family val="2"/>
      </rPr>
      <t xml:space="preserve"> + </t>
    </r>
    <r>
      <rPr>
        <sz val="11"/>
        <color rgb="FFD576DC"/>
        <rFont val="Arial"/>
        <family val="2"/>
      </rPr>
      <t>BMWW</t>
    </r>
  </si>
  <si>
    <t>Total base cost including retrofit factor</t>
  </si>
  <si>
    <t>Base cost per kW</t>
  </si>
  <si>
    <t>CECC ($/kW) - Excludes Owner's Costs =</t>
  </si>
  <si>
    <t>TPC ($/kW) - Include Owner's Costs =</t>
  </si>
  <si>
    <t>AFUDC (based on a 3 year engineering and construction cycle)</t>
  </si>
  <si>
    <t>TPC ($) - Includes Owner's Costs and AFUDC = CECC + B1 + B2</t>
  </si>
  <si>
    <t xml:space="preserve">TPC ($/kW) - Includes Owner's Costs and AFUDC = </t>
  </si>
  <si>
    <r>
      <t>FOMO ($/kW yr) = (6 additional operators)*(2080)*</t>
    </r>
    <r>
      <rPr>
        <sz val="11"/>
        <color rgb="FF0070C0"/>
        <rFont val="Arial"/>
        <family val="2"/>
      </rPr>
      <t>T</t>
    </r>
    <r>
      <rPr>
        <sz val="11"/>
        <color theme="1"/>
        <rFont val="Arial"/>
        <family val="2"/>
      </rPr>
      <t>/(</t>
    </r>
    <r>
      <rPr>
        <sz val="11"/>
        <color rgb="FFFF0000"/>
        <rFont val="Arial"/>
        <family val="2"/>
      </rPr>
      <t>A</t>
    </r>
    <r>
      <rPr>
        <sz val="11"/>
        <color theme="1"/>
        <rFont val="Arial"/>
        <family val="2"/>
      </rPr>
      <t>*1000)</t>
    </r>
  </si>
  <si>
    <t>FOMWW ($/kW yr) =</t>
  </si>
  <si>
    <t>Fixed O&amp;M costs for wastewater treatment facility</t>
  </si>
  <si>
    <r>
      <rPr>
        <b/>
        <sz val="11"/>
        <rFont val="Arial"/>
        <family val="2"/>
      </rPr>
      <t xml:space="preserve">FOM ($/kW yr) = </t>
    </r>
    <r>
      <rPr>
        <b/>
        <sz val="11"/>
        <color rgb="FF0070C0"/>
        <rFont val="Arial"/>
        <family val="2"/>
      </rPr>
      <t>FOMO</t>
    </r>
    <r>
      <rPr>
        <b/>
        <sz val="11"/>
        <color theme="1"/>
        <rFont val="Arial"/>
        <family val="2"/>
      </rPr>
      <t xml:space="preserve"> + </t>
    </r>
    <r>
      <rPr>
        <b/>
        <sz val="11"/>
        <color rgb="FFFF0000"/>
        <rFont val="Arial"/>
        <family val="2"/>
      </rPr>
      <t>FOMM</t>
    </r>
    <r>
      <rPr>
        <b/>
        <sz val="11"/>
        <color theme="1"/>
        <rFont val="Arial"/>
        <family val="2"/>
      </rPr>
      <t xml:space="preserve"> + </t>
    </r>
    <r>
      <rPr>
        <b/>
        <sz val="11"/>
        <color rgb="FF7030A0"/>
        <rFont val="Arial"/>
        <family val="2"/>
      </rPr>
      <t xml:space="preserve">FOMA + </t>
    </r>
    <r>
      <rPr>
        <b/>
        <sz val="11"/>
        <color rgb="FF00B050"/>
        <rFont val="Arial"/>
        <family val="2"/>
      </rPr>
      <t>FOMWW</t>
    </r>
  </si>
  <si>
    <t>Variable O&amp;M costs for limestone reagent</t>
  </si>
  <si>
    <t>Variable O&amp;M costs for additional auxiliary power required including additional fan power (Refer to Aux Power % above)</t>
  </si>
  <si>
    <t>VOMWW ($/MWh) =</t>
  </si>
  <si>
    <t>Variable O&amp;M costs for wastewater treatment facility</t>
  </si>
  <si>
    <r>
      <t xml:space="preserve">VOM ($/MWh) = </t>
    </r>
    <r>
      <rPr>
        <b/>
        <sz val="11"/>
        <color rgb="FF0070C0"/>
        <rFont val="Arial"/>
        <family val="2"/>
      </rPr>
      <t>VOMR</t>
    </r>
    <r>
      <rPr>
        <b/>
        <sz val="11"/>
        <color theme="1"/>
        <rFont val="Arial"/>
        <family val="2"/>
      </rPr>
      <t xml:space="preserve"> + </t>
    </r>
    <r>
      <rPr>
        <b/>
        <sz val="11"/>
        <color rgb="FFFF0000"/>
        <rFont val="Arial"/>
        <family val="2"/>
      </rPr>
      <t>VOMW</t>
    </r>
    <r>
      <rPr>
        <b/>
        <sz val="11"/>
        <color theme="1"/>
        <rFont val="Arial"/>
        <family val="2"/>
      </rPr>
      <t xml:space="preserve"> + </t>
    </r>
    <r>
      <rPr>
        <b/>
        <sz val="11"/>
        <color rgb="FF7030A0"/>
        <rFont val="Arial"/>
        <family val="2"/>
      </rPr>
      <t>VOMP</t>
    </r>
    <r>
      <rPr>
        <b/>
        <sz val="11"/>
        <color theme="1"/>
        <rFont val="Arial"/>
        <family val="2"/>
      </rPr>
      <t xml:space="preserve"> + </t>
    </r>
    <r>
      <rPr>
        <b/>
        <sz val="11"/>
        <color rgb="FF00B050"/>
        <rFont val="Arial"/>
        <family val="2"/>
      </rPr>
      <t xml:space="preserve">VOMM </t>
    </r>
    <r>
      <rPr>
        <b/>
        <sz val="11"/>
        <rFont val="Arial"/>
        <family val="2"/>
      </rPr>
      <t>+</t>
    </r>
    <r>
      <rPr>
        <b/>
        <sz val="11"/>
        <color rgb="FF00B050"/>
        <rFont val="Arial"/>
        <family val="2"/>
      </rPr>
      <t xml:space="preserve"> </t>
    </r>
    <r>
      <rPr>
        <b/>
        <sz val="11"/>
        <color rgb="FFD576DC"/>
        <rFont val="Arial"/>
        <family val="2"/>
      </rPr>
      <t>VOMWW</t>
    </r>
  </si>
  <si>
    <t>Does not include costs associated with building and maintaining a wastewater treatment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</si>
</sst>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0.0"/>
    <numFmt numFmtId="166" formatCode="0.000"/>
    <numFmt numFmtId="167" formatCode="_(&quot;$&quot;* #,##0.000_);_(&quot;$&quot;* \(#,##0.000\);_(&quot;$&quot;* &quot;-&quot;??_);_(@_)"/>
    <numFmt numFmtId="168" formatCode="0.0000"/>
  </numFmts>
  <fonts count="21">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theme="1"/>
      <name val="Calibri"/>
      <family val="2"/>
      <scheme val="minor"/>
    </font>
    <font>
      <b/>
      <sz val="12"/>
      <color theme="1"/>
      <name val="Arial"/>
      <family val="2"/>
    </font>
    <font>
      <sz val="11"/>
      <name val="Arial"/>
      <family val="2"/>
    </font>
    <font>
      <b/>
      <sz val="11"/>
      <name val="Arial"/>
      <family val="2"/>
    </font>
    <font>
      <vertAlign val="subscript"/>
      <sz val="11"/>
      <name val="Arial"/>
      <family val="2"/>
    </font>
    <font>
      <b/>
      <vertAlign val="subscript"/>
      <sz val="11"/>
      <name val="Arial"/>
      <family val="2"/>
    </font>
    <font>
      <b/>
      <sz val="11"/>
      <color rgb="FF0070C0"/>
      <name val="Arial"/>
      <family val="2"/>
    </font>
    <font>
      <vertAlign val="superscript"/>
      <sz val="11"/>
      <name val="Arial"/>
      <family val="2"/>
    </font>
    <font>
      <sz val="11"/>
      <color rgb="FFFF0000"/>
      <name val="Arial"/>
      <family val="2"/>
    </font>
    <font>
      <sz val="11"/>
      <color rgb="FF0070C0"/>
      <name val="Arial"/>
      <family val="2"/>
    </font>
    <font>
      <sz val="11"/>
      <color rgb="FF7030A0"/>
      <name val="Arial"/>
      <family val="2"/>
    </font>
    <font>
      <sz val="11"/>
      <color rgb="FF00B050"/>
      <name val="Arial"/>
      <family val="2"/>
    </font>
    <font>
      <b/>
      <sz val="11"/>
      <color rgb="FF7030A0"/>
      <name val="Arial"/>
      <family val="2"/>
    </font>
    <font>
      <sz val="11"/>
      <color rgb="FFC00000"/>
      <name val="Arial"/>
      <family val="2"/>
    </font>
    <font>
      <b/>
      <sz val="11"/>
      <color rgb="FF00B050"/>
      <name val="Arial"/>
      <family val="2"/>
    </font>
    <font>
      <sz val="11"/>
      <color rgb="FFD576DC"/>
      <name val="Arial"/>
      <family val="2"/>
    </font>
    <font>
      <b/>
      <sz val="11"/>
      <color rgb="FFD576DC"/>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59">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9" xfId="0" applyFont="1" applyBorder="1" applyAlignment="1">
      <alignment vertical="center"/>
    </xf>
    <xf numFmtId="164" fontId="1" fillId="0" borderId="0" xfId="1" applyNumberFormat="1" applyFont="1" applyBorder="1" applyAlignment="1">
      <alignment horizontal="center" vertical="center"/>
    </xf>
    <xf numFmtId="0" fontId="2" fillId="0" borderId="8" xfId="0" applyFont="1" applyBorder="1" applyAlignment="1">
      <alignment vertical="center"/>
    </xf>
    <xf numFmtId="164" fontId="1" fillId="0" borderId="0" xfId="0" applyNumberFormat="1" applyFont="1" applyBorder="1" applyAlignment="1">
      <alignment horizontal="center" vertical="center"/>
    </xf>
    <xf numFmtId="0" fontId="2" fillId="2" borderId="8"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9" xfId="0" applyFont="1" applyFill="1" applyBorder="1" applyAlignment="1">
      <alignment vertical="center"/>
    </xf>
    <xf numFmtId="0" fontId="1" fillId="0" borderId="8" xfId="0" applyFont="1" applyBorder="1" applyAlignment="1">
      <alignment horizontal="left" vertical="center" indent="2"/>
    </xf>
    <xf numFmtId="0" fontId="1" fillId="0" borderId="1" xfId="0" applyFont="1" applyBorder="1" applyAlignment="1">
      <alignment horizontal="left" vertical="center" indent="1"/>
    </xf>
    <xf numFmtId="0" fontId="2"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vertical="center"/>
    </xf>
    <xf numFmtId="0" fontId="2" fillId="0" borderId="0" xfId="0" quotePrefix="1"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vertical="center"/>
    </xf>
    <xf numFmtId="0" fontId="1" fillId="2" borderId="0" xfId="0" applyFont="1" applyFill="1" applyBorder="1" applyAlignment="1">
      <alignment horizontal="left" vertical="center"/>
    </xf>
    <xf numFmtId="0" fontId="2" fillId="0" borderId="0" xfId="0" applyFont="1" applyBorder="1" applyAlignment="1">
      <alignment vertical="center"/>
    </xf>
    <xf numFmtId="44" fontId="2" fillId="0" borderId="0" xfId="1" applyFont="1" applyBorder="1" applyAlignment="1">
      <alignment horizontal="center" vertical="center"/>
    </xf>
    <xf numFmtId="0" fontId="2" fillId="0" borderId="0" xfId="0" applyFont="1" applyBorder="1" applyAlignment="1">
      <alignment horizontal="left" vertical="center"/>
    </xf>
    <xf numFmtId="0" fontId="2" fillId="0" borderId="9" xfId="0" applyFont="1" applyBorder="1" applyAlignment="1">
      <alignment vertical="center"/>
    </xf>
    <xf numFmtId="0" fontId="2" fillId="0" borderId="0" xfId="0" applyFont="1" applyBorder="1" applyAlignment="1">
      <alignment horizontal="center"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4" xfId="0" applyFont="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center" vertical="center"/>
    </xf>
    <xf numFmtId="0" fontId="1" fillId="4" borderId="9" xfId="0" applyFont="1" applyFill="1" applyBorder="1" applyAlignment="1">
      <alignment vertical="center"/>
    </xf>
    <xf numFmtId="0" fontId="2" fillId="4" borderId="8" xfId="0" applyFont="1" applyFill="1" applyBorder="1" applyAlignment="1">
      <alignment vertical="center"/>
    </xf>
    <xf numFmtId="0" fontId="2" fillId="4" borderId="5" xfId="0" applyFont="1" applyFill="1" applyBorder="1" applyAlignment="1">
      <alignment vertical="center"/>
    </xf>
    <xf numFmtId="0" fontId="1" fillId="4" borderId="6" xfId="0" applyFont="1" applyFill="1" applyBorder="1" applyAlignment="1">
      <alignment vertical="center"/>
    </xf>
    <xf numFmtId="0" fontId="1" fillId="4" borderId="6" xfId="0" applyFont="1" applyFill="1" applyBorder="1" applyAlignment="1">
      <alignment horizontal="center" vertical="center"/>
    </xf>
    <xf numFmtId="0" fontId="1" fillId="4" borderId="6" xfId="0" applyFont="1" applyFill="1" applyBorder="1" applyAlignment="1">
      <alignment horizontal="left" vertical="center"/>
    </xf>
    <xf numFmtId="0" fontId="1" fillId="4" borderId="7" xfId="0" applyFont="1" applyFill="1" applyBorder="1" applyAlignment="1">
      <alignment vertical="center"/>
    </xf>
    <xf numFmtId="0" fontId="6" fillId="0" borderId="8" xfId="0" applyFont="1" applyFill="1" applyBorder="1" applyAlignment="1">
      <alignment horizontal="left" vertical="top" wrapText="1"/>
    </xf>
    <xf numFmtId="0" fontId="6" fillId="0" borderId="0" xfId="0" applyFont="1" applyFill="1" applyBorder="1" applyAlignment="1">
      <alignment horizontal="right" vertical="top" wrapText="1"/>
    </xf>
    <xf numFmtId="44" fontId="6" fillId="0" borderId="0" xfId="1" applyFont="1" applyFill="1" applyBorder="1" applyAlignment="1">
      <alignment horizontal="right" vertical="top" wrapText="1"/>
    </xf>
    <xf numFmtId="0" fontId="7" fillId="0" borderId="11" xfId="0" applyFont="1" applyFill="1" applyBorder="1" applyAlignment="1">
      <alignment horizontal="justify" vertical="top" wrapText="1"/>
    </xf>
    <xf numFmtId="38" fontId="7" fillId="0" borderId="12" xfId="0" applyNumberFormat="1" applyFont="1" applyFill="1" applyBorder="1" applyAlignment="1">
      <alignment horizontal="right" vertical="top" wrapText="1"/>
    </xf>
    <xf numFmtId="164" fontId="7" fillId="0" borderId="0" xfId="1" applyNumberFormat="1" applyFont="1" applyFill="1" applyBorder="1" applyAlignment="1">
      <alignment horizontal="right" vertical="top" wrapText="1"/>
    </xf>
    <xf numFmtId="0" fontId="6" fillId="0" borderId="12" xfId="0" applyFont="1" applyBorder="1" applyAlignment="1">
      <alignment vertical="top"/>
    </xf>
    <xf numFmtId="0" fontId="1" fillId="0" borderId="6" xfId="0" applyFont="1" applyBorder="1" applyAlignment="1">
      <alignment vertical="center"/>
    </xf>
    <xf numFmtId="165" fontId="6" fillId="0" borderId="0" xfId="0" applyNumberFormat="1" applyFont="1" applyBorder="1" applyAlignment="1">
      <alignment horizontal="right"/>
    </xf>
    <xf numFmtId="165" fontId="6" fillId="0" borderId="0" xfId="0" applyNumberFormat="1" applyFont="1" applyFill="1" applyBorder="1" applyAlignment="1">
      <alignment horizontal="right"/>
    </xf>
    <xf numFmtId="0" fontId="6" fillId="0" borderId="8" xfId="0" applyFont="1" applyFill="1" applyBorder="1" applyAlignment="1">
      <alignment horizontal="justify" vertical="top" wrapText="1"/>
    </xf>
    <xf numFmtId="38" fontId="6" fillId="0" borderId="0" xfId="0" applyNumberFormat="1" applyFont="1" applyFill="1" applyBorder="1" applyAlignment="1">
      <alignment horizontal="right" vertical="top" wrapText="1"/>
    </xf>
    <xf numFmtId="3" fontId="6" fillId="0" borderId="0" xfId="0" applyNumberFormat="1" applyFont="1" applyFill="1" applyBorder="1" applyAlignment="1">
      <alignment horizontal="right" vertical="top" wrapText="1"/>
    </xf>
    <xf numFmtId="3" fontId="6" fillId="0" borderId="0" xfId="0" applyNumberFormat="1" applyFont="1" applyBorder="1" applyAlignment="1">
      <alignment horizontal="right" vertical="top" wrapText="1"/>
    </xf>
    <xf numFmtId="0" fontId="6" fillId="0" borderId="11" xfId="0" applyFont="1" applyBorder="1" applyAlignment="1">
      <alignment vertical="top"/>
    </xf>
    <xf numFmtId="0" fontId="6" fillId="0" borderId="0" xfId="0" applyFont="1" applyBorder="1" applyAlignment="1">
      <alignment vertical="top"/>
    </xf>
    <xf numFmtId="0" fontId="7" fillId="0" borderId="0" xfId="0" applyFont="1" applyBorder="1" applyAlignment="1">
      <alignment vertical="top"/>
    </xf>
    <xf numFmtId="164" fontId="6" fillId="0" borderId="0" xfId="1" applyNumberFormat="1" applyFont="1" applyFill="1" applyBorder="1" applyAlignment="1">
      <alignment horizontal="right" vertical="top" wrapText="1"/>
    </xf>
    <xf numFmtId="164" fontId="7" fillId="0" borderId="0" xfId="1" applyNumberFormat="1" applyFont="1" applyBorder="1" applyAlignment="1">
      <alignment horizontal="right" vertical="top" wrapText="1"/>
    </xf>
    <xf numFmtId="164" fontId="2" fillId="0" borderId="0" xfId="0" applyNumberFormat="1" applyFont="1" applyBorder="1" applyAlignment="1">
      <alignment horizontal="center" vertical="center"/>
    </xf>
    <xf numFmtId="166" fontId="1" fillId="0" borderId="1" xfId="0" applyNumberFormat="1" applyFont="1" applyBorder="1" applyAlignment="1">
      <alignment horizontal="center" vertical="center"/>
    </xf>
    <xf numFmtId="167" fontId="1" fillId="0" borderId="0" xfId="1" applyNumberFormat="1" applyFont="1" applyBorder="1" applyAlignment="1">
      <alignment horizontal="center" vertical="center"/>
    </xf>
    <xf numFmtId="44" fontId="1" fillId="0" borderId="0" xfId="0" applyNumberFormat="1" applyFont="1" applyAlignment="1">
      <alignment vertical="center"/>
    </xf>
    <xf numFmtId="44" fontId="2" fillId="0" borderId="0" xfId="1" applyNumberFormat="1" applyFont="1" applyBorder="1" applyAlignment="1">
      <alignment horizontal="center" vertical="center"/>
    </xf>
    <xf numFmtId="1" fontId="6" fillId="0" borderId="0" xfId="2" applyNumberFormat="1" applyFont="1" applyBorder="1" applyAlignment="1">
      <alignment horizontal="right" vertical="center" wrapText="1"/>
    </xf>
    <xf numFmtId="0" fontId="10" fillId="5" borderId="1" xfId="0" applyFont="1" applyFill="1" applyBorder="1" applyAlignment="1">
      <alignment horizontal="center" vertical="center"/>
    </xf>
    <xf numFmtId="3" fontId="10" fillId="5" borderId="1" xfId="0" applyNumberFormat="1" applyFont="1" applyFill="1" applyBorder="1" applyAlignment="1">
      <alignment horizontal="center" vertical="center"/>
    </xf>
    <xf numFmtId="2" fontId="10" fillId="5" borderId="1" xfId="0" applyNumberFormat="1" applyFont="1" applyFill="1" applyBorder="1" applyAlignment="1">
      <alignment horizontal="center" vertical="center"/>
    </xf>
    <xf numFmtId="164" fontId="2" fillId="0" borderId="0" xfId="1" applyNumberFormat="1" applyFont="1" applyBorder="1" applyAlignment="1">
      <alignment horizontal="center" vertical="center"/>
    </xf>
    <xf numFmtId="0" fontId="6" fillId="6" borderId="1" xfId="0" applyFont="1" applyFill="1" applyBorder="1" applyAlignment="1">
      <alignment horizontal="center" vertical="center"/>
    </xf>
    <xf numFmtId="0" fontId="1" fillId="0" borderId="0" xfId="0" applyFont="1" applyBorder="1" applyAlignment="1">
      <alignment horizontal="left" vertical="center"/>
    </xf>
    <xf numFmtId="44" fontId="1" fillId="0" borderId="0" xfId="1" applyFont="1" applyBorder="1" applyAlignment="1">
      <alignment horizontal="center" vertical="center"/>
    </xf>
    <xf numFmtId="165" fontId="10" fillId="5" borderId="1" xfId="0" applyNumberFormat="1" applyFont="1" applyFill="1" applyBorder="1" applyAlignment="1">
      <alignment horizontal="center" vertical="center"/>
    </xf>
    <xf numFmtId="0" fontId="6" fillId="0" borderId="0" xfId="0" applyFont="1" applyBorder="1" applyAlignment="1">
      <alignment horizontal="left" vertical="center"/>
    </xf>
    <xf numFmtId="0" fontId="2" fillId="0" borderId="14" xfId="0" applyFont="1" applyBorder="1" applyAlignment="1">
      <alignment vertical="center" wrapText="1"/>
    </xf>
    <xf numFmtId="0" fontId="6" fillId="0" borderId="9" xfId="0" applyFont="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horizontal="center"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1" fillId="3" borderId="6" xfId="0" applyFont="1" applyFill="1" applyBorder="1" applyAlignment="1">
      <alignment horizontal="center" vertical="center"/>
    </xf>
    <xf numFmtId="0" fontId="1" fillId="3" borderId="6" xfId="0" applyFont="1" applyFill="1" applyBorder="1" applyAlignment="1">
      <alignment horizontal="left" vertical="center"/>
    </xf>
    <xf numFmtId="0" fontId="1" fillId="3" borderId="7" xfId="0" applyFont="1" applyFill="1" applyBorder="1" applyAlignment="1">
      <alignment vertical="center"/>
    </xf>
    <xf numFmtId="168" fontId="1" fillId="0" borderId="0" xfId="0" applyNumberFormat="1" applyFont="1" applyBorder="1" applyAlignment="1">
      <alignment horizontal="left" vertical="center"/>
    </xf>
    <xf numFmtId="0" fontId="1" fillId="0" borderId="0" xfId="0" quotePrefix="1" applyFont="1" applyBorder="1" applyAlignment="1">
      <alignment horizontal="center" vertical="center"/>
    </xf>
    <xf numFmtId="0" fontId="2" fillId="2" borderId="3" xfId="0" applyFont="1" applyFill="1" applyBorder="1" applyAlignment="1">
      <alignment horizontal="left" vertical="center"/>
    </xf>
    <xf numFmtId="0" fontId="2" fillId="4" borderId="0" xfId="0" applyFont="1" applyFill="1" applyBorder="1" applyAlignment="1">
      <alignment horizontal="left" vertical="center"/>
    </xf>
    <xf numFmtId="0" fontId="1" fillId="0" borderId="20" xfId="0" applyFont="1" applyBorder="1" applyAlignment="1">
      <alignment vertical="center"/>
    </xf>
    <xf numFmtId="0" fontId="1" fillId="0" borderId="21" xfId="0" applyFont="1" applyBorder="1" applyAlignment="1">
      <alignment horizontal="center" vertical="center"/>
    </xf>
    <xf numFmtId="0" fontId="6" fillId="6" borderId="21" xfId="0" applyFont="1" applyFill="1" applyBorder="1" applyAlignment="1">
      <alignment horizontal="center" vertical="center"/>
    </xf>
    <xf numFmtId="0" fontId="1" fillId="0" borderId="8" xfId="0" applyFont="1" applyBorder="1" applyAlignment="1">
      <alignment horizontal="left" vertical="center" indent="3"/>
    </xf>
    <xf numFmtId="0" fontId="1" fillId="0" borderId="8" xfId="0" applyFont="1" applyBorder="1" applyAlignment="1">
      <alignment horizontal="left" vertical="center" indent="4"/>
    </xf>
    <xf numFmtId="0" fontId="2" fillId="0" borderId="8" xfId="0" applyFont="1" applyBorder="1" applyAlignment="1">
      <alignment horizontal="left" vertical="center" indent="2"/>
    </xf>
    <xf numFmtId="0" fontId="1" fillId="0" borderId="0" xfId="0" applyFont="1" applyFill="1" applyAlignment="1">
      <alignment vertical="center"/>
    </xf>
    <xf numFmtId="2" fontId="7" fillId="0" borderId="1" xfId="0" applyNumberFormat="1" applyFont="1" applyFill="1" applyBorder="1" applyAlignment="1">
      <alignment horizontal="center" vertical="center"/>
    </xf>
    <xf numFmtId="0" fontId="2" fillId="0" borderId="11" xfId="0" applyFont="1" applyBorder="1" applyAlignment="1">
      <alignment vertical="center"/>
    </xf>
    <xf numFmtId="0" fontId="1" fillId="0" borderId="12" xfId="0" quotePrefix="1" applyFont="1" applyBorder="1" applyAlignment="1">
      <alignment horizontal="center" vertical="center"/>
    </xf>
    <xf numFmtId="164" fontId="2" fillId="0" borderId="12" xfId="1" applyNumberFormat="1" applyFont="1" applyBorder="1" applyAlignment="1">
      <alignment horizontal="center" vertical="center"/>
    </xf>
    <xf numFmtId="0" fontId="2" fillId="0" borderId="12" xfId="0" applyFont="1" applyBorder="1" applyAlignment="1">
      <alignment horizontal="left" vertical="center"/>
    </xf>
    <xf numFmtId="0" fontId="2" fillId="0" borderId="5" xfId="0" applyFont="1" applyFill="1" applyBorder="1" applyAlignment="1">
      <alignment vertical="center"/>
    </xf>
    <xf numFmtId="0" fontId="1" fillId="0" borderId="6" xfId="0" applyFont="1" applyFill="1" applyBorder="1" applyAlignment="1">
      <alignment vertical="center"/>
    </xf>
    <xf numFmtId="0" fontId="1" fillId="0" borderId="6" xfId="0" applyFont="1" applyFill="1" applyBorder="1" applyAlignment="1">
      <alignment horizontal="center" vertical="center"/>
    </xf>
    <xf numFmtId="0" fontId="2"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9" xfId="0" applyFont="1" applyBorder="1" applyAlignment="1">
      <alignment horizontal="left" vertical="center"/>
    </xf>
    <xf numFmtId="3" fontId="1"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2" fontId="10" fillId="5" borderId="21" xfId="0" applyNumberFormat="1" applyFont="1" applyFill="1"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horizontal="center" vertical="center"/>
    </xf>
    <xf numFmtId="1" fontId="1" fillId="0" borderId="24" xfId="0" applyNumberFormat="1" applyFont="1" applyBorder="1" applyAlignment="1">
      <alignment horizontal="center" vertical="center"/>
    </xf>
    <xf numFmtId="0" fontId="2" fillId="2" borderId="3"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8" xfId="0" applyFont="1" applyFill="1" applyBorder="1" applyAlignment="1">
      <alignment horizontal="left" vertical="top" indent="2"/>
    </xf>
    <xf numFmtId="44" fontId="1" fillId="0" borderId="0" xfId="0" applyNumberFormat="1" applyFont="1" applyBorder="1" applyAlignment="1">
      <alignment horizontal="center" vertical="center"/>
    </xf>
    <xf numFmtId="0" fontId="1" fillId="0" borderId="12" xfId="0" applyFont="1" applyBorder="1" applyAlignment="1">
      <alignment horizontal="left" vertical="center"/>
    </xf>
    <xf numFmtId="44" fontId="1" fillId="0" borderId="0" xfId="1" applyFont="1" applyBorder="1" applyAlignment="1">
      <alignment vertical="center"/>
    </xf>
    <xf numFmtId="0" fontId="1" fillId="0" borderId="0" xfId="0" applyFont="1" applyBorder="1" applyAlignment="1">
      <alignment vertical="center" wrapText="1"/>
    </xf>
    <xf numFmtId="0" fontId="1" fillId="0" borderId="9" xfId="0" applyFont="1" applyBorder="1" applyAlignment="1">
      <alignment vertical="center" wrapText="1"/>
    </xf>
    <xf numFmtId="0" fontId="6" fillId="0" borderId="8" xfId="0" applyFont="1" applyFill="1" applyBorder="1" applyAlignment="1">
      <alignment horizontal="left" vertical="top" indent="4"/>
    </xf>
    <xf numFmtId="0" fontId="7" fillId="0" borderId="8" xfId="0" applyFont="1" applyFill="1" applyBorder="1" applyAlignment="1">
      <alignment horizontal="left" vertical="top" indent="2"/>
    </xf>
    <xf numFmtId="0" fontId="1" fillId="4" borderId="0" xfId="0" applyFont="1" applyFill="1" applyBorder="1" applyAlignment="1">
      <alignment horizontal="left" vertical="center"/>
    </xf>
    <xf numFmtId="164" fontId="7" fillId="0" borderId="0" xfId="1" applyNumberFormat="1" applyFont="1" applyBorder="1" applyAlignment="1">
      <alignment horizontal="right" vertical="center" wrapText="1"/>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5" fillId="0" borderId="0" xfId="0" applyFont="1" applyBorder="1" applyAlignment="1">
      <alignment horizontal="center" vertical="center"/>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1"/>
  <sheetViews>
    <sheetView tabSelected="1" view="pageLayout" zoomScale="85" zoomScaleNormal="100" zoomScalePageLayoutView="85" workbookViewId="0" xr3:uid="{AEA406A1-0E4B-5B11-9CD5-51D6E497D94C}">
      <selection activeCell="F84" sqref="F84"/>
    </sheetView>
  </sheetViews>
  <sheetFormatPr defaultColWidth="8.85546875" defaultRowHeight="14.25"/>
  <cols>
    <col min="1" max="1" width="38.140625" style="1" customWidth="1"/>
    <col min="2" max="2" width="24.7109375" style="1" customWidth="1"/>
    <col min="3" max="3" width="13.28515625" style="3" customWidth="1"/>
    <col min="4" max="4" width="15.7109375" style="3" bestFit="1" customWidth="1"/>
    <col min="5" max="5" width="16.42578125" style="3" customWidth="1"/>
    <col min="6" max="6" width="100.140625" style="1" customWidth="1"/>
    <col min="7" max="7" width="11" style="1" bestFit="1" customWidth="1"/>
    <col min="8" max="8" width="14.28515625" style="1" bestFit="1" customWidth="1"/>
    <col min="9" max="16384" width="8.85546875" style="1"/>
  </cols>
  <sheetData>
    <row r="1" spans="1:7" ht="15.75">
      <c r="A1" s="134" t="s">
        <v>0</v>
      </c>
      <c r="B1" s="134"/>
      <c r="C1" s="134"/>
      <c r="D1" s="134"/>
      <c r="E1" s="134"/>
      <c r="F1" s="134"/>
      <c r="G1" s="8"/>
    </row>
    <row r="2" spans="1:7" ht="15" thickBot="1">
      <c r="A2" s="8"/>
      <c r="B2" s="8"/>
      <c r="C2" s="9"/>
      <c r="D2" s="9"/>
      <c r="E2" s="9"/>
      <c r="F2" s="8"/>
      <c r="G2" s="8"/>
    </row>
    <row r="3" spans="1:7" s="2" customFormat="1" ht="15">
      <c r="A3" s="85" t="s">
        <v>1</v>
      </c>
      <c r="B3" s="86" t="s">
        <v>2</v>
      </c>
      <c r="C3" s="86" t="s">
        <v>3</v>
      </c>
      <c r="D3" s="86" t="s">
        <v>4</v>
      </c>
      <c r="E3" s="148" t="s">
        <v>5</v>
      </c>
      <c r="F3" s="149"/>
    </row>
    <row r="4" spans="1:7" ht="15">
      <c r="A4" s="38" t="s">
        <v>6</v>
      </c>
      <c r="B4" s="5" t="s">
        <v>7</v>
      </c>
      <c r="C4" s="5" t="s">
        <v>8</v>
      </c>
      <c r="D4" s="74">
        <v>29.6</v>
      </c>
      <c r="E4" s="137" t="s">
        <v>9</v>
      </c>
      <c r="F4" s="138"/>
    </row>
    <row r="5" spans="1:7" ht="61.5" customHeight="1">
      <c r="A5" s="38" t="s">
        <v>10</v>
      </c>
      <c r="B5" s="5" t="s">
        <v>11</v>
      </c>
      <c r="C5" s="5"/>
      <c r="D5" s="81">
        <v>1</v>
      </c>
      <c r="E5" s="150" t="s">
        <v>12</v>
      </c>
      <c r="F5" s="151"/>
    </row>
    <row r="6" spans="1:7" ht="15">
      <c r="A6" s="38" t="s">
        <v>13</v>
      </c>
      <c r="B6" s="5" t="s">
        <v>14</v>
      </c>
      <c r="C6" s="5" t="s">
        <v>15</v>
      </c>
      <c r="D6" s="75">
        <v>10000</v>
      </c>
      <c r="E6" s="137" t="s">
        <v>16</v>
      </c>
      <c r="F6" s="138"/>
    </row>
    <row r="7" spans="1:7" ht="15">
      <c r="A7" s="38" t="s">
        <v>17</v>
      </c>
      <c r="B7" s="5" t="s">
        <v>18</v>
      </c>
      <c r="C7" s="5" t="s">
        <v>19</v>
      </c>
      <c r="D7" s="74">
        <v>0.2</v>
      </c>
      <c r="E7" s="137" t="s">
        <v>16</v>
      </c>
      <c r="F7" s="138"/>
    </row>
    <row r="8" spans="1:7">
      <c r="A8" s="38" t="s">
        <v>20</v>
      </c>
      <c r="B8" s="5" t="s">
        <v>21</v>
      </c>
      <c r="C8" s="5"/>
      <c r="D8" s="5" t="s">
        <v>22</v>
      </c>
      <c r="E8" s="137" t="s">
        <v>16</v>
      </c>
      <c r="F8" s="138"/>
    </row>
    <row r="9" spans="1:7">
      <c r="A9" s="38" t="s">
        <v>23</v>
      </c>
      <c r="B9" s="5" t="s">
        <v>24</v>
      </c>
      <c r="C9" s="5"/>
      <c r="D9" s="5" t="s">
        <v>25</v>
      </c>
      <c r="E9" s="137" t="s">
        <v>16</v>
      </c>
      <c r="F9" s="138"/>
    </row>
    <row r="10" spans="1:7" ht="15">
      <c r="A10" s="38" t="s">
        <v>26</v>
      </c>
      <c r="B10" s="5" t="s">
        <v>27</v>
      </c>
      <c r="C10" s="19"/>
      <c r="D10" s="4" t="b">
        <v>1</v>
      </c>
      <c r="E10" s="137" t="s">
        <v>28</v>
      </c>
      <c r="F10" s="138"/>
    </row>
    <row r="11" spans="1:7" ht="75" customHeight="1">
      <c r="A11" s="38" t="s">
        <v>29</v>
      </c>
      <c r="B11" s="5" t="s">
        <v>30</v>
      </c>
      <c r="C11" s="5" t="s">
        <v>31</v>
      </c>
      <c r="D11" s="74">
        <v>80</v>
      </c>
      <c r="E11" s="139" t="s">
        <v>32</v>
      </c>
      <c r="F11" s="140"/>
    </row>
    <row r="12" spans="1:7" ht="15">
      <c r="A12" s="38" t="s">
        <v>33</v>
      </c>
      <c r="B12" s="5" t="s">
        <v>34</v>
      </c>
      <c r="C12" s="5" t="s">
        <v>35</v>
      </c>
      <c r="D12" s="75">
        <f>D4*D6*1000</f>
        <v>296000000</v>
      </c>
      <c r="E12" s="137" t="s">
        <v>36</v>
      </c>
      <c r="F12" s="138"/>
    </row>
    <row r="13" spans="1:7" ht="63" customHeight="1">
      <c r="A13" s="38" t="s">
        <v>37</v>
      </c>
      <c r="B13" s="5" t="s">
        <v>38</v>
      </c>
      <c r="C13" s="5"/>
      <c r="D13" s="6">
        <f>IF(D11&lt;40,0.016*D11,0.208*EXP(0.0281*D11))</f>
        <v>1.9695061001228062</v>
      </c>
      <c r="E13" s="139" t="s">
        <v>39</v>
      </c>
      <c r="F13" s="140"/>
    </row>
    <row r="14" spans="1:7">
      <c r="A14" s="38" t="s">
        <v>40</v>
      </c>
      <c r="B14" s="5" t="s">
        <v>41</v>
      </c>
      <c r="C14" s="5" t="s">
        <v>42</v>
      </c>
      <c r="D14" s="6">
        <f>(0.0000012011)*D13*D4*D6*D7</f>
        <v>0.14004196758996418</v>
      </c>
      <c r="E14" s="137" t="s">
        <v>43</v>
      </c>
      <c r="F14" s="138"/>
    </row>
    <row r="15" spans="1:7">
      <c r="A15" s="38" t="s">
        <v>44</v>
      </c>
      <c r="B15" s="5" t="s">
        <v>45</v>
      </c>
      <c r="C15" s="5" t="s">
        <v>42</v>
      </c>
      <c r="D15" s="69">
        <f>(0.7035-0.00073696*D11/D13)*D14</f>
        <v>9.4327393860723793E-2</v>
      </c>
      <c r="E15" s="139" t="s">
        <v>46</v>
      </c>
      <c r="F15" s="140"/>
    </row>
    <row r="16" spans="1:7" ht="78" customHeight="1">
      <c r="A16" s="39" t="s">
        <v>47</v>
      </c>
      <c r="B16" s="5" t="s">
        <v>48</v>
      </c>
      <c r="C16" s="5" t="s">
        <v>42</v>
      </c>
      <c r="D16" s="76">
        <f>(D12/1000)*0.07*(1-0.6)/(2*7560)</f>
        <v>0.54814814814814827</v>
      </c>
      <c r="E16" s="139" t="s">
        <v>49</v>
      </c>
      <c r="F16" s="140"/>
    </row>
    <row r="17" spans="1:6" ht="15">
      <c r="A17" s="83" t="s">
        <v>50</v>
      </c>
      <c r="B17" s="4" t="s">
        <v>51</v>
      </c>
      <c r="C17" s="4" t="s">
        <v>31</v>
      </c>
      <c r="D17" s="103">
        <f>D14*20/D4</f>
        <v>9.4622951074300118E-2</v>
      </c>
      <c r="E17" s="137" t="s">
        <v>52</v>
      </c>
      <c r="F17" s="138"/>
    </row>
    <row r="18" spans="1:6" ht="15">
      <c r="A18" s="38" t="s">
        <v>53</v>
      </c>
      <c r="B18" s="5" t="s">
        <v>54</v>
      </c>
      <c r="C18" s="5" t="s">
        <v>55</v>
      </c>
      <c r="D18" s="74">
        <v>451</v>
      </c>
      <c r="E18" s="141" t="s">
        <v>56</v>
      </c>
      <c r="F18" s="142"/>
    </row>
    <row r="19" spans="1:6">
      <c r="A19" s="38" t="s">
        <v>57</v>
      </c>
      <c r="B19" s="5" t="s">
        <v>58</v>
      </c>
      <c r="C19" s="5" t="s">
        <v>55</v>
      </c>
      <c r="D19" s="78">
        <v>50</v>
      </c>
      <c r="E19" s="139"/>
      <c r="F19" s="140"/>
    </row>
    <row r="20" spans="1:6" ht="15">
      <c r="A20" s="38" t="s">
        <v>59</v>
      </c>
      <c r="B20" s="5" t="s">
        <v>60</v>
      </c>
      <c r="C20" s="5" t="s">
        <v>61</v>
      </c>
      <c r="D20" s="76">
        <v>0.21</v>
      </c>
      <c r="E20" s="141" t="s">
        <v>62</v>
      </c>
      <c r="F20" s="142"/>
    </row>
    <row r="21" spans="1:6" ht="15" thickBot="1">
      <c r="A21" s="96" t="s">
        <v>63</v>
      </c>
      <c r="B21" s="97" t="s">
        <v>64</v>
      </c>
      <c r="C21" s="97" t="s">
        <v>65</v>
      </c>
      <c r="D21" s="98">
        <v>60</v>
      </c>
      <c r="E21" s="143" t="s">
        <v>66</v>
      </c>
      <c r="F21" s="144"/>
    </row>
    <row r="22" spans="1:6" ht="34.5" customHeight="1" thickBot="1">
      <c r="A22" s="145" t="s">
        <v>67</v>
      </c>
      <c r="B22" s="146"/>
      <c r="C22" s="146"/>
      <c r="D22" s="146"/>
      <c r="E22" s="146"/>
      <c r="F22" s="147"/>
    </row>
    <row r="23" spans="1:6" ht="15.75" thickBot="1">
      <c r="A23" s="20" t="s">
        <v>68</v>
      </c>
      <c r="B23" s="21"/>
      <c r="C23" s="22"/>
      <c r="D23" s="22"/>
      <c r="E23" s="94" t="s">
        <v>69</v>
      </c>
      <c r="F23" s="23"/>
    </row>
    <row r="24" spans="1:6" s="102" customFormat="1" ht="15">
      <c r="A24" s="108"/>
      <c r="B24" s="109"/>
      <c r="C24" s="110"/>
      <c r="D24" s="110"/>
      <c r="E24" s="111"/>
      <c r="F24" s="112"/>
    </row>
    <row r="25" spans="1:6">
      <c r="A25" s="18" t="s">
        <v>70</v>
      </c>
      <c r="B25" s="8"/>
      <c r="C25" s="9"/>
      <c r="D25" s="9"/>
      <c r="E25" s="9"/>
      <c r="F25" s="10"/>
    </row>
    <row r="26" spans="1:6">
      <c r="A26" s="7"/>
      <c r="B26" s="8"/>
      <c r="C26" s="9"/>
      <c r="D26" s="9"/>
      <c r="E26" s="9"/>
      <c r="F26" s="10"/>
    </row>
    <row r="27" spans="1:6">
      <c r="A27" s="18" t="s">
        <v>71</v>
      </c>
      <c r="B27" s="8"/>
      <c r="C27" s="93" t="s">
        <v>72</v>
      </c>
      <c r="D27" s="11">
        <f>IF(D14&gt;25,(750000*D5*D14),(7516000*D5*D14^0.284))</f>
        <v>4300550.9905916667</v>
      </c>
      <c r="E27" s="79" t="s">
        <v>73</v>
      </c>
      <c r="F27" s="10"/>
    </row>
    <row r="28" spans="1:6">
      <c r="A28" s="99" t="s">
        <v>74</v>
      </c>
      <c r="B28" s="8"/>
      <c r="C28" s="9"/>
      <c r="D28" s="9"/>
      <c r="E28" s="79"/>
      <c r="F28" s="10"/>
    </row>
    <row r="29" spans="1:6">
      <c r="A29" s="99" t="s">
        <v>75</v>
      </c>
      <c r="B29" s="8"/>
      <c r="C29" s="9"/>
      <c r="D29" s="9"/>
      <c r="E29" s="79"/>
      <c r="F29" s="10"/>
    </row>
    <row r="30" spans="1:6">
      <c r="A30" s="18" t="s">
        <v>76</v>
      </c>
      <c r="B30" s="8"/>
      <c r="C30" s="93" t="s">
        <v>72</v>
      </c>
      <c r="D30" s="11">
        <f>D27/(D4*1000)</f>
        <v>145.28888481728603</v>
      </c>
      <c r="E30" s="79" t="s">
        <v>77</v>
      </c>
      <c r="F30" s="10"/>
    </row>
    <row r="31" spans="1:6">
      <c r="A31" s="7"/>
      <c r="B31" s="8"/>
      <c r="C31" s="9"/>
      <c r="D31" s="9"/>
      <c r="E31" s="79"/>
      <c r="F31" s="10"/>
    </row>
    <row r="32" spans="1:6" ht="15">
      <c r="A32" s="12" t="s">
        <v>78</v>
      </c>
      <c r="B32" s="8"/>
      <c r="C32" s="9"/>
      <c r="D32" s="9"/>
      <c r="E32" s="79"/>
      <c r="F32" s="10"/>
    </row>
    <row r="33" spans="1:6">
      <c r="A33" s="18" t="s">
        <v>79</v>
      </c>
      <c r="B33" s="8"/>
      <c r="C33" s="93" t="s">
        <v>72</v>
      </c>
      <c r="D33" s="13">
        <f>0.05*$D$27</f>
        <v>215027.54952958334</v>
      </c>
      <c r="E33" s="82" t="s">
        <v>80</v>
      </c>
      <c r="F33" s="84"/>
    </row>
    <row r="34" spans="1:6">
      <c r="A34" s="18" t="s">
        <v>81</v>
      </c>
      <c r="B34" s="8"/>
      <c r="C34" s="93" t="s">
        <v>72</v>
      </c>
      <c r="D34" s="13">
        <f>0.05*$D$27</f>
        <v>215027.54952958334</v>
      </c>
      <c r="E34" s="82" t="s">
        <v>82</v>
      </c>
      <c r="F34" s="84"/>
    </row>
    <row r="35" spans="1:6">
      <c r="A35" s="18" t="s">
        <v>83</v>
      </c>
      <c r="B35" s="8"/>
      <c r="C35" s="93" t="s">
        <v>72</v>
      </c>
      <c r="D35" s="13">
        <f>0.05*$D$27</f>
        <v>215027.54952958334</v>
      </c>
      <c r="E35" s="82" t="s">
        <v>84</v>
      </c>
      <c r="F35" s="84"/>
    </row>
    <row r="36" spans="1:6">
      <c r="A36" s="18"/>
      <c r="B36" s="8"/>
      <c r="C36" s="9"/>
      <c r="D36" s="9"/>
      <c r="E36" s="79"/>
      <c r="F36" s="10"/>
    </row>
    <row r="37" spans="1:6" ht="15">
      <c r="A37" s="101" t="s">
        <v>85</v>
      </c>
      <c r="B37" s="8"/>
      <c r="C37" s="93" t="s">
        <v>72</v>
      </c>
      <c r="D37" s="68">
        <f>D27+D33+D34+D35</f>
        <v>4945633.6391804162</v>
      </c>
      <c r="E37" s="79" t="s">
        <v>86</v>
      </c>
      <c r="F37" s="10"/>
    </row>
    <row r="38" spans="1:6" ht="15">
      <c r="A38" s="101" t="s">
        <v>87</v>
      </c>
      <c r="B38" s="8"/>
      <c r="C38" s="93" t="s">
        <v>72</v>
      </c>
      <c r="D38" s="77">
        <f>D37/(D4*1000)</f>
        <v>167.08221753987894</v>
      </c>
      <c r="E38" s="79" t="s">
        <v>88</v>
      </c>
      <c r="F38" s="10"/>
    </row>
    <row r="39" spans="1:6" ht="14.25" customHeight="1">
      <c r="A39" s="18" t="s">
        <v>89</v>
      </c>
      <c r="B39" s="8"/>
      <c r="C39" s="93" t="s">
        <v>72</v>
      </c>
      <c r="D39" s="13">
        <f>0.05*D37</f>
        <v>247281.68195902082</v>
      </c>
      <c r="E39" s="135" t="s">
        <v>90</v>
      </c>
      <c r="F39" s="136"/>
    </row>
    <row r="40" spans="1:6">
      <c r="A40" s="7"/>
      <c r="B40" s="8"/>
      <c r="C40" s="93"/>
      <c r="D40" s="13"/>
      <c r="E40" s="79"/>
      <c r="F40" s="10"/>
    </row>
    <row r="41" spans="1:6" ht="15">
      <c r="A41" s="101" t="s">
        <v>91</v>
      </c>
      <c r="B41" s="8"/>
      <c r="C41" s="93" t="s">
        <v>72</v>
      </c>
      <c r="D41" s="68">
        <f>D37+D39</f>
        <v>5192915.3211394371</v>
      </c>
      <c r="E41" s="79" t="s">
        <v>92</v>
      </c>
      <c r="F41" s="10"/>
    </row>
    <row r="42" spans="1:6" ht="15">
      <c r="A42" s="101" t="s">
        <v>93</v>
      </c>
      <c r="B42" s="8"/>
      <c r="C42" s="93" t="s">
        <v>72</v>
      </c>
      <c r="D42" s="77">
        <f>D41/(D4*1000)</f>
        <v>175.43632841687287</v>
      </c>
      <c r="E42" s="79" t="s">
        <v>94</v>
      </c>
      <c r="F42" s="10"/>
    </row>
    <row r="43" spans="1:6">
      <c r="A43" s="18" t="s">
        <v>95</v>
      </c>
      <c r="B43" s="8"/>
      <c r="C43" s="93" t="s">
        <v>72</v>
      </c>
      <c r="D43" s="11">
        <v>0</v>
      </c>
      <c r="E43" s="79" t="s">
        <v>96</v>
      </c>
      <c r="F43" s="10"/>
    </row>
    <row r="44" spans="1:6">
      <c r="A44" s="7"/>
      <c r="B44" s="8"/>
      <c r="C44" s="93"/>
      <c r="D44" s="9"/>
      <c r="E44" s="79"/>
      <c r="F44" s="10"/>
    </row>
    <row r="45" spans="1:6" ht="15">
      <c r="A45" s="101" t="s">
        <v>97</v>
      </c>
      <c r="B45" s="29"/>
      <c r="C45" s="24" t="s">
        <v>72</v>
      </c>
      <c r="D45" s="68">
        <f>D41+D43</f>
        <v>5192915.3211394371</v>
      </c>
      <c r="E45" s="31" t="s">
        <v>98</v>
      </c>
      <c r="F45" s="32"/>
    </row>
    <row r="46" spans="1:6" ht="15">
      <c r="A46" s="101" t="s">
        <v>99</v>
      </c>
      <c r="B46" s="8"/>
      <c r="C46" s="93" t="s">
        <v>72</v>
      </c>
      <c r="D46" s="77">
        <f>D45/(D4*1000)</f>
        <v>175.43632841687287</v>
      </c>
      <c r="E46" s="31" t="s">
        <v>100</v>
      </c>
      <c r="F46" s="10"/>
    </row>
    <row r="47" spans="1:6" ht="15.75" thickBot="1">
      <c r="A47" s="104"/>
      <c r="B47" s="35"/>
      <c r="C47" s="105"/>
      <c r="D47" s="106"/>
      <c r="E47" s="107"/>
      <c r="F47" s="37"/>
    </row>
    <row r="48" spans="1:6" ht="15">
      <c r="A48" s="29"/>
      <c r="B48" s="8"/>
      <c r="C48" s="93"/>
      <c r="D48" s="77"/>
      <c r="E48" s="31"/>
      <c r="F48" s="8"/>
    </row>
    <row r="49" spans="1:6" ht="15">
      <c r="A49" s="29"/>
      <c r="B49" s="8"/>
      <c r="C49" s="93"/>
      <c r="D49" s="77"/>
      <c r="E49" s="31"/>
      <c r="F49" s="8"/>
    </row>
    <row r="50" spans="1:6" ht="15">
      <c r="A50" s="29"/>
      <c r="B50" s="8"/>
      <c r="C50" s="93"/>
      <c r="D50" s="77"/>
      <c r="E50" s="31"/>
      <c r="F50" s="8"/>
    </row>
    <row r="51" spans="1:6" ht="15">
      <c r="A51" s="29"/>
      <c r="B51" s="8"/>
      <c r="C51" s="93"/>
      <c r="D51" s="77"/>
      <c r="E51" s="31"/>
      <c r="F51" s="8"/>
    </row>
    <row r="52" spans="1:6" ht="15">
      <c r="A52" s="29"/>
      <c r="B52" s="8"/>
      <c r="C52" s="93"/>
      <c r="D52" s="77"/>
      <c r="E52" s="31"/>
      <c r="F52" s="8"/>
    </row>
    <row r="53" spans="1:6" ht="15">
      <c r="A53" s="29"/>
      <c r="B53" s="8"/>
      <c r="C53" s="93"/>
      <c r="D53" s="77"/>
      <c r="E53" s="31"/>
      <c r="F53" s="8"/>
    </row>
    <row r="54" spans="1:6" ht="15.75">
      <c r="A54" s="134" t="s">
        <v>0</v>
      </c>
      <c r="B54" s="134"/>
      <c r="C54" s="134"/>
      <c r="D54" s="134"/>
      <c r="E54" s="134"/>
      <c r="F54" s="134"/>
    </row>
    <row r="55" spans="1:6" ht="15.75" thickBot="1">
      <c r="A55" s="29"/>
      <c r="B55" s="8"/>
      <c r="C55" s="93"/>
      <c r="D55" s="77"/>
      <c r="E55" s="79"/>
      <c r="F55" s="8"/>
    </row>
    <row r="56" spans="1:6">
      <c r="A56" s="87"/>
      <c r="B56" s="88"/>
      <c r="C56" s="89"/>
      <c r="D56" s="89"/>
      <c r="E56" s="90"/>
      <c r="F56" s="91"/>
    </row>
    <row r="57" spans="1:6" ht="15">
      <c r="A57" s="43" t="s">
        <v>101</v>
      </c>
      <c r="B57" s="40"/>
      <c r="C57" s="41"/>
      <c r="D57" s="41"/>
      <c r="E57" s="95"/>
      <c r="F57" s="42"/>
    </row>
    <row r="58" spans="1:6" ht="15">
      <c r="A58" s="14" t="s">
        <v>102</v>
      </c>
      <c r="B58" s="15"/>
      <c r="C58" s="16"/>
      <c r="D58" s="16"/>
      <c r="E58" s="28"/>
      <c r="F58" s="17"/>
    </row>
    <row r="59" spans="1:6">
      <c r="A59" s="7"/>
      <c r="B59" s="8"/>
      <c r="C59" s="9"/>
      <c r="D59" s="9"/>
      <c r="E59" s="79"/>
      <c r="F59" s="10"/>
    </row>
    <row r="60" spans="1:6">
      <c r="A60" s="18" t="s">
        <v>103</v>
      </c>
      <c r="B60" s="8"/>
      <c r="C60" s="93" t="s">
        <v>72</v>
      </c>
      <c r="D60" s="80">
        <f>1*2080*D21/(D4*1000)</f>
        <v>4.2162162162162158</v>
      </c>
      <c r="E60" s="79" t="s">
        <v>104</v>
      </c>
      <c r="F60" s="10"/>
    </row>
    <row r="61" spans="1:6">
      <c r="A61" s="18" t="s">
        <v>105</v>
      </c>
      <c r="B61" s="8"/>
      <c r="C61" s="93" t="s">
        <v>72</v>
      </c>
      <c r="D61" s="80">
        <f>D27*0.01/(D5*D4*1000)</f>
        <v>1.4528888481728603</v>
      </c>
      <c r="E61" s="79" t="s">
        <v>106</v>
      </c>
      <c r="F61" s="10"/>
    </row>
    <row r="62" spans="1:6">
      <c r="A62" s="18" t="s">
        <v>107</v>
      </c>
      <c r="B62" s="8"/>
      <c r="C62" s="93" t="s">
        <v>72</v>
      </c>
      <c r="D62" s="80">
        <f>0.03*(D60+0.4*D61)</f>
        <v>0.14392115266456079</v>
      </c>
      <c r="E62" s="79" t="s">
        <v>108</v>
      </c>
      <c r="F62" s="10"/>
    </row>
    <row r="63" spans="1:6">
      <c r="A63" s="7"/>
      <c r="B63" s="8"/>
      <c r="C63" s="9"/>
      <c r="D63" s="80"/>
      <c r="E63" s="79"/>
      <c r="F63" s="10"/>
    </row>
    <row r="64" spans="1:6" s="2" customFormat="1" ht="15">
      <c r="A64" s="101" t="s">
        <v>109</v>
      </c>
      <c r="B64" s="29"/>
      <c r="C64" s="24" t="s">
        <v>72</v>
      </c>
      <c r="D64" s="30">
        <f>D60+D61+D62</f>
        <v>5.8130262170536371</v>
      </c>
      <c r="E64" s="31" t="s">
        <v>110</v>
      </c>
      <c r="F64" s="32"/>
    </row>
    <row r="65" spans="1:8" ht="15">
      <c r="A65" s="101"/>
      <c r="B65" s="8"/>
      <c r="C65" s="9"/>
      <c r="D65" s="80"/>
      <c r="E65" s="79"/>
      <c r="F65" s="10"/>
    </row>
    <row r="66" spans="1:8" s="2" customFormat="1" ht="15">
      <c r="A66" s="14" t="s">
        <v>111</v>
      </c>
      <c r="B66" s="15"/>
      <c r="C66" s="16"/>
      <c r="D66" s="16"/>
      <c r="E66" s="28"/>
      <c r="F66" s="17"/>
    </row>
    <row r="67" spans="1:8" s="2" customFormat="1" ht="15">
      <c r="A67" s="12"/>
      <c r="B67" s="29"/>
      <c r="C67" s="33"/>
      <c r="D67" s="30"/>
      <c r="E67" s="31"/>
      <c r="F67" s="32"/>
    </row>
    <row r="68" spans="1:8">
      <c r="A68" s="18" t="s">
        <v>112</v>
      </c>
      <c r="B68" s="8"/>
      <c r="C68" s="93" t="s">
        <v>72</v>
      </c>
      <c r="D68" s="80">
        <f>D14*D18/D4</f>
        <v>2.1337475467254676</v>
      </c>
      <c r="E68" s="79" t="s">
        <v>113</v>
      </c>
      <c r="F68" s="10"/>
    </row>
    <row r="69" spans="1:8" ht="13.9" customHeight="1">
      <c r="A69" s="18" t="s">
        <v>114</v>
      </c>
      <c r="B69" s="8"/>
      <c r="C69" s="93" t="s">
        <v>72</v>
      </c>
      <c r="D69" s="80">
        <f>(D15+D16)*D19/D4</f>
        <v>1.0852627398798513</v>
      </c>
      <c r="E69" s="79" t="s">
        <v>115</v>
      </c>
      <c r="F69" s="113"/>
      <c r="H69" s="71"/>
    </row>
    <row r="70" spans="1:8">
      <c r="A70" s="18" t="s">
        <v>116</v>
      </c>
      <c r="B70" s="8"/>
      <c r="C70" s="93" t="s">
        <v>72</v>
      </c>
      <c r="D70" s="70">
        <f>D17*D20*10</f>
        <v>0.19870819725603023</v>
      </c>
      <c r="E70" s="135" t="s">
        <v>117</v>
      </c>
      <c r="F70" s="136"/>
    </row>
    <row r="71" spans="1:8">
      <c r="A71" s="7"/>
      <c r="B71" s="8"/>
      <c r="C71" s="9"/>
      <c r="D71" s="80"/>
      <c r="E71" s="79"/>
      <c r="F71" s="10"/>
    </row>
    <row r="72" spans="1:8" ht="15">
      <c r="A72" s="101" t="s">
        <v>118</v>
      </c>
      <c r="B72" s="29"/>
      <c r="C72" s="24" t="s">
        <v>72</v>
      </c>
      <c r="D72" s="72">
        <f>D68+D69+D70</f>
        <v>3.417718483861349</v>
      </c>
      <c r="E72" s="31" t="s">
        <v>119</v>
      </c>
      <c r="F72" s="10"/>
    </row>
    <row r="73" spans="1:8" ht="15" thickBot="1">
      <c r="A73" s="34"/>
      <c r="B73" s="35"/>
      <c r="C73" s="36"/>
      <c r="D73" s="36"/>
      <c r="E73" s="36"/>
      <c r="F73" s="37"/>
    </row>
    <row r="74" spans="1:8" ht="15">
      <c r="A74" s="44" t="s">
        <v>120</v>
      </c>
      <c r="B74" s="45"/>
      <c r="C74" s="46"/>
      <c r="D74" s="46"/>
      <c r="E74" s="47"/>
      <c r="F74" s="48"/>
    </row>
    <row r="75" spans="1:8">
      <c r="A75" s="49"/>
      <c r="B75" s="50"/>
      <c r="C75" s="9"/>
      <c r="D75" s="9"/>
      <c r="E75" s="9"/>
      <c r="F75" s="10"/>
    </row>
    <row r="76" spans="1:8">
      <c r="A76" s="18" t="s">
        <v>121</v>
      </c>
      <c r="B76" s="8"/>
      <c r="C76" s="93" t="s">
        <v>72</v>
      </c>
      <c r="D76" s="66">
        <f>0.6*D64*D4*1000</f>
        <v>103239.3456148726</v>
      </c>
      <c r="E76" s="79" t="s">
        <v>122</v>
      </c>
      <c r="F76" s="10"/>
    </row>
    <row r="77" spans="1:8">
      <c r="A77" s="18" t="s">
        <v>123</v>
      </c>
      <c r="B77" s="8"/>
      <c r="C77" s="93" t="s">
        <v>72</v>
      </c>
      <c r="D77" s="66">
        <f>0.02*D45</f>
        <v>103858.30642278875</v>
      </c>
      <c r="E77" s="79" t="s">
        <v>122</v>
      </c>
      <c r="F77" s="10"/>
    </row>
    <row r="78" spans="1:8">
      <c r="A78" s="18" t="s">
        <v>124</v>
      </c>
      <c r="B78" s="8"/>
      <c r="C78" s="93" t="s">
        <v>72</v>
      </c>
      <c r="D78" s="66">
        <f>0.01*D45</f>
        <v>51929.153211394376</v>
      </c>
      <c r="E78" s="79" t="s">
        <v>122</v>
      </c>
      <c r="F78" s="10"/>
    </row>
    <row r="79" spans="1:8">
      <c r="A79" s="18" t="s">
        <v>125</v>
      </c>
      <c r="B79" s="8"/>
      <c r="C79" s="93" t="s">
        <v>72</v>
      </c>
      <c r="D79" s="66">
        <f>0.01*D45</f>
        <v>51929.153211394376</v>
      </c>
      <c r="E79" s="79" t="s">
        <v>122</v>
      </c>
      <c r="F79" s="10"/>
    </row>
    <row r="80" spans="1:8" ht="16.5">
      <c r="A80" s="18" t="s">
        <v>126</v>
      </c>
      <c r="B80" s="8"/>
      <c r="C80" s="8"/>
      <c r="D80" s="8"/>
      <c r="E80" s="8"/>
      <c r="F80" s="10"/>
    </row>
    <row r="81" spans="1:6">
      <c r="A81" s="100" t="s">
        <v>127</v>
      </c>
      <c r="B81" s="79">
        <v>5.5</v>
      </c>
      <c r="C81" s="93"/>
      <c r="D81" s="66"/>
      <c r="E81" s="79"/>
      <c r="F81" s="10"/>
    </row>
    <row r="82" spans="1:6">
      <c r="A82" s="100" t="s">
        <v>128</v>
      </c>
      <c r="B82" s="79">
        <v>15</v>
      </c>
      <c r="C82" s="93"/>
      <c r="D82" s="66"/>
      <c r="E82" s="79"/>
      <c r="F82" s="10"/>
    </row>
    <row r="83" spans="1:6">
      <c r="A83" s="18" t="s">
        <v>129</v>
      </c>
      <c r="B83" s="92">
        <f>((B81/100)*((1+(B81/100))^B82))/(((1+(B81/100))^B82)-1)</f>
        <v>9.9625597604811239E-2</v>
      </c>
      <c r="C83" s="93" t="s">
        <v>72</v>
      </c>
      <c r="D83" s="66">
        <f>B83*D45</f>
        <v>517347.29217969667</v>
      </c>
      <c r="E83" s="79" t="s">
        <v>122</v>
      </c>
      <c r="F83" s="10"/>
    </row>
    <row r="84" spans="1:6">
      <c r="A84" s="18"/>
      <c r="B84" s="8"/>
      <c r="C84" s="9"/>
      <c r="D84" s="66"/>
      <c r="E84" s="9"/>
      <c r="F84" s="10"/>
    </row>
    <row r="85" spans="1:6" ht="15">
      <c r="A85" s="101" t="s">
        <v>130</v>
      </c>
      <c r="B85" s="8"/>
      <c r="C85" s="93" t="s">
        <v>72</v>
      </c>
      <c r="D85" s="54">
        <f>SUM(D76:D83)</f>
        <v>828303.25064014678</v>
      </c>
      <c r="E85" s="9"/>
      <c r="F85" s="10"/>
    </row>
    <row r="86" spans="1:6">
      <c r="A86" s="49"/>
      <c r="B86" s="8"/>
      <c r="C86" s="9"/>
      <c r="D86" s="51"/>
      <c r="E86" s="9"/>
      <c r="F86" s="10"/>
    </row>
    <row r="87" spans="1:6" ht="15">
      <c r="A87" s="101" t="s">
        <v>131</v>
      </c>
      <c r="B87" s="29"/>
      <c r="C87" s="24" t="s">
        <v>72</v>
      </c>
      <c r="D87" s="54">
        <f>D64*D4*1000+D72*D4*8760+D85</f>
        <v>1886569.5586562469</v>
      </c>
      <c r="E87" s="9"/>
      <c r="F87" s="10"/>
    </row>
    <row r="88" spans="1:6" ht="15.75" thickBot="1">
      <c r="A88" s="52"/>
      <c r="B88" s="53"/>
      <c r="C88" s="36"/>
      <c r="D88" s="36"/>
      <c r="E88" s="36"/>
      <c r="F88" s="37"/>
    </row>
    <row r="89" spans="1:6">
      <c r="A89" s="25"/>
      <c r="B89" s="56"/>
      <c r="C89" s="26"/>
      <c r="D89" s="26"/>
      <c r="E89" s="26"/>
      <c r="F89" s="27"/>
    </row>
    <row r="90" spans="1:6">
      <c r="A90" s="18" t="s">
        <v>132</v>
      </c>
      <c r="B90" s="8"/>
      <c r="C90" s="93" t="s">
        <v>72</v>
      </c>
      <c r="D90" s="57">
        <v>584.6</v>
      </c>
      <c r="E90" s="9"/>
      <c r="F90" s="10"/>
    </row>
    <row r="91" spans="1:6">
      <c r="A91" s="18" t="s">
        <v>133</v>
      </c>
      <c r="B91" s="8"/>
      <c r="C91" s="93" t="s">
        <v>72</v>
      </c>
      <c r="D91" s="58">
        <v>536.4</v>
      </c>
      <c r="E91" s="9"/>
      <c r="F91" s="10"/>
    </row>
    <row r="92" spans="1:6">
      <c r="A92" s="7"/>
      <c r="B92" s="8"/>
      <c r="C92" s="9"/>
      <c r="D92" s="9"/>
      <c r="E92" s="9"/>
      <c r="F92" s="10"/>
    </row>
    <row r="93" spans="1:6" ht="15">
      <c r="A93" s="101" t="s">
        <v>134</v>
      </c>
      <c r="B93" s="29"/>
      <c r="C93" s="24" t="s">
        <v>72</v>
      </c>
      <c r="D93" s="68">
        <f>D87*D91/D90</f>
        <v>1731022.7698652253</v>
      </c>
      <c r="E93" s="9"/>
      <c r="F93" s="10"/>
    </row>
    <row r="94" spans="1:6" ht="15.75" thickBot="1">
      <c r="A94" s="52"/>
      <c r="B94" s="35"/>
      <c r="C94" s="36"/>
      <c r="D94" s="53"/>
      <c r="E94" s="36"/>
      <c r="F94" s="37"/>
    </row>
    <row r="95" spans="1:6">
      <c r="A95" s="59"/>
      <c r="B95" s="8"/>
      <c r="C95" s="9"/>
      <c r="D95" s="60"/>
      <c r="E95" s="9"/>
      <c r="F95" s="10"/>
    </row>
    <row r="96" spans="1:6" ht="18.75">
      <c r="A96" s="18" t="s">
        <v>135</v>
      </c>
      <c r="B96" s="64"/>
      <c r="C96" s="93" t="s">
        <v>72</v>
      </c>
      <c r="D96" s="61">
        <f>D7*(D12/1000000)*8760/2000</f>
        <v>259.29599999999999</v>
      </c>
      <c r="E96" s="9"/>
      <c r="F96" s="10"/>
    </row>
    <row r="97" spans="1:6" ht="18.75">
      <c r="A97" s="18" t="s">
        <v>136</v>
      </c>
      <c r="B97" s="8"/>
      <c r="C97" s="93" t="s">
        <v>72</v>
      </c>
      <c r="D97" s="73">
        <f>D11</f>
        <v>80</v>
      </c>
      <c r="E97" s="9"/>
      <c r="F97" s="10"/>
    </row>
    <row r="98" spans="1:6" ht="18.75">
      <c r="A98" s="18" t="s">
        <v>137</v>
      </c>
      <c r="B98" s="8"/>
      <c r="C98" s="93" t="s">
        <v>72</v>
      </c>
      <c r="D98" s="62">
        <f>D96*D97/100</f>
        <v>207.43680000000001</v>
      </c>
      <c r="E98" s="9"/>
      <c r="F98" s="10"/>
    </row>
    <row r="99" spans="1:6">
      <c r="A99" s="18"/>
      <c r="B99" s="8"/>
      <c r="C99" s="93"/>
      <c r="D99" s="62"/>
      <c r="E99" s="9"/>
      <c r="F99" s="10"/>
    </row>
    <row r="100" spans="1:6" ht="16.5">
      <c r="A100" s="101" t="s">
        <v>138</v>
      </c>
      <c r="B100" s="65"/>
      <c r="C100" s="93" t="s">
        <v>72</v>
      </c>
      <c r="D100" s="67">
        <f>D93/D98</f>
        <v>8344.8200602073757</v>
      </c>
      <c r="E100" s="9"/>
      <c r="F100" s="10"/>
    </row>
    <row r="101" spans="1:6" ht="15" thickBot="1">
      <c r="A101" s="63"/>
      <c r="B101" s="35"/>
      <c r="C101" s="36"/>
      <c r="D101" s="55"/>
      <c r="E101" s="36"/>
      <c r="F101" s="37"/>
    </row>
  </sheetData>
  <mergeCells count="24">
    <mergeCell ref="E7:F7"/>
    <mergeCell ref="E12:F12"/>
    <mergeCell ref="E13:F13"/>
    <mergeCell ref="E14:F14"/>
    <mergeCell ref="E15:F15"/>
    <mergeCell ref="A1:F1"/>
    <mergeCell ref="E3:F3"/>
    <mergeCell ref="E4:F4"/>
    <mergeCell ref="E5:F5"/>
    <mergeCell ref="E6:F6"/>
    <mergeCell ref="A54:F54"/>
    <mergeCell ref="E70:F70"/>
    <mergeCell ref="E39:F39"/>
    <mergeCell ref="E8:F8"/>
    <mergeCell ref="E9:F9"/>
    <mergeCell ref="E10:F10"/>
    <mergeCell ref="E11:F11"/>
    <mergeCell ref="E18:F18"/>
    <mergeCell ref="E20:F20"/>
    <mergeCell ref="E21:F21"/>
    <mergeCell ref="E19:F19"/>
    <mergeCell ref="E16:F16"/>
    <mergeCell ref="E17:F17"/>
    <mergeCell ref="A22:F22"/>
  </mergeCells>
  <pageMargins left="0.7" right="0.27879901960784315" top="0.38124999999999998" bottom="0.47867647058823531" header="0.3" footer="0.62303921568627452"/>
  <pageSetup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4"/>
  <sheetViews>
    <sheetView view="pageLayout" topLeftCell="A46" zoomScale="85" zoomScaleNormal="100" zoomScalePageLayoutView="85" workbookViewId="0" xr3:uid="{958C4451-9541-5A59-BF78-D2F731DF1C81}">
      <selection activeCell="B95" sqref="B95"/>
    </sheetView>
  </sheetViews>
  <sheetFormatPr defaultColWidth="8.85546875" defaultRowHeight="14.25"/>
  <cols>
    <col min="1" max="1" width="38.140625" style="1" customWidth="1"/>
    <col min="2" max="2" width="40.7109375" style="1" customWidth="1"/>
    <col min="3" max="3" width="13.28515625" style="3" customWidth="1"/>
    <col min="4" max="4" width="15.7109375" style="3" bestFit="1" customWidth="1"/>
    <col min="5" max="5" width="16.42578125" style="3" customWidth="1"/>
    <col min="6" max="6" width="102.28515625" style="1" customWidth="1"/>
    <col min="7" max="7" width="11" style="1" bestFit="1" customWidth="1"/>
    <col min="8" max="8" width="14.28515625" style="1" bestFit="1" customWidth="1"/>
    <col min="9" max="16384" width="8.85546875" style="1"/>
  </cols>
  <sheetData>
    <row r="1" spans="1:7" ht="15.75">
      <c r="A1" s="134" t="s">
        <v>139</v>
      </c>
      <c r="B1" s="134"/>
      <c r="C1" s="134"/>
      <c r="D1" s="134"/>
      <c r="E1" s="134"/>
      <c r="F1" s="134"/>
      <c r="G1" s="8"/>
    </row>
    <row r="2" spans="1:7" ht="15" thickBot="1">
      <c r="A2" s="8"/>
      <c r="B2" s="8"/>
      <c r="C2" s="9"/>
      <c r="D2" s="9"/>
      <c r="E2" s="9"/>
      <c r="F2" s="8"/>
      <c r="G2" s="8"/>
    </row>
    <row r="3" spans="1:7" s="2" customFormat="1" ht="15">
      <c r="A3" s="85" t="s">
        <v>1</v>
      </c>
      <c r="B3" s="86" t="s">
        <v>2</v>
      </c>
      <c r="C3" s="86" t="s">
        <v>3</v>
      </c>
      <c r="D3" s="86" t="s">
        <v>4</v>
      </c>
      <c r="E3" s="148" t="s">
        <v>5</v>
      </c>
      <c r="F3" s="149"/>
    </row>
    <row r="4" spans="1:7" ht="15">
      <c r="A4" s="38" t="s">
        <v>6</v>
      </c>
      <c r="B4" s="5" t="s">
        <v>7</v>
      </c>
      <c r="C4" s="5" t="s">
        <v>8</v>
      </c>
      <c r="D4" s="74">
        <v>29.6</v>
      </c>
      <c r="E4" s="137" t="s">
        <v>9</v>
      </c>
      <c r="F4" s="138"/>
    </row>
    <row r="5" spans="1:7" ht="69" customHeight="1">
      <c r="A5" s="38" t="s">
        <v>10</v>
      </c>
      <c r="B5" s="5" t="s">
        <v>11</v>
      </c>
      <c r="C5" s="5"/>
      <c r="D5" s="81">
        <v>1</v>
      </c>
      <c r="E5" s="150" t="s">
        <v>12</v>
      </c>
      <c r="F5" s="151"/>
    </row>
    <row r="6" spans="1:7" ht="15">
      <c r="A6" s="38" t="s">
        <v>13</v>
      </c>
      <c r="B6" s="5" t="s">
        <v>14</v>
      </c>
      <c r="C6" s="5" t="s">
        <v>15</v>
      </c>
      <c r="D6" s="75">
        <v>10000</v>
      </c>
      <c r="E6" s="137" t="s">
        <v>16</v>
      </c>
      <c r="F6" s="138"/>
    </row>
    <row r="7" spans="1:7" ht="15">
      <c r="A7" s="38" t="s">
        <v>17</v>
      </c>
      <c r="B7" s="5" t="s">
        <v>18</v>
      </c>
      <c r="C7" s="5" t="s">
        <v>19</v>
      </c>
      <c r="D7" s="76">
        <v>0.2</v>
      </c>
      <c r="E7" s="137" t="s">
        <v>140</v>
      </c>
      <c r="F7" s="138"/>
    </row>
    <row r="8" spans="1:7">
      <c r="A8" s="38" t="s">
        <v>20</v>
      </c>
      <c r="B8" s="5" t="s">
        <v>21</v>
      </c>
      <c r="C8" s="5"/>
      <c r="D8" s="5" t="s">
        <v>22</v>
      </c>
      <c r="E8" s="137" t="s">
        <v>16</v>
      </c>
      <c r="F8" s="138"/>
    </row>
    <row r="9" spans="1:7">
      <c r="A9" s="38" t="s">
        <v>141</v>
      </c>
      <c r="B9" s="5" t="s">
        <v>24</v>
      </c>
      <c r="C9" s="5"/>
      <c r="D9" s="5">
        <v>1.05</v>
      </c>
      <c r="E9" s="137" t="s">
        <v>142</v>
      </c>
      <c r="F9" s="138"/>
    </row>
    <row r="10" spans="1:7">
      <c r="A10" s="38" t="s">
        <v>143</v>
      </c>
      <c r="B10" s="5" t="s">
        <v>27</v>
      </c>
      <c r="C10" s="5"/>
      <c r="D10" s="5">
        <f>D6/10000</f>
        <v>1</v>
      </c>
      <c r="E10" s="157" t="s">
        <v>144</v>
      </c>
      <c r="F10" s="158"/>
    </row>
    <row r="11" spans="1:7">
      <c r="A11" s="38" t="s">
        <v>33</v>
      </c>
      <c r="B11" s="5" t="s">
        <v>30</v>
      </c>
      <c r="C11" s="5" t="s">
        <v>35</v>
      </c>
      <c r="D11" s="114">
        <f>D4*D6*1000</f>
        <v>296000000</v>
      </c>
      <c r="E11" s="137" t="s">
        <v>36</v>
      </c>
      <c r="F11" s="138"/>
    </row>
    <row r="12" spans="1:7">
      <c r="A12" s="38" t="s">
        <v>145</v>
      </c>
      <c r="B12" s="5" t="s">
        <v>38</v>
      </c>
      <c r="C12" s="5" t="s">
        <v>42</v>
      </c>
      <c r="D12" s="6">
        <f>(0.6702*(D7^2)+13.42*D7)*D4*D10/2000</f>
        <v>4.0119958400000003E-2</v>
      </c>
      <c r="E12" s="137" t="s">
        <v>146</v>
      </c>
      <c r="F12" s="138"/>
    </row>
    <row r="13" spans="1:7">
      <c r="A13" s="38" t="s">
        <v>147</v>
      </c>
      <c r="B13" s="5" t="s">
        <v>148</v>
      </c>
      <c r="C13" s="5" t="s">
        <v>42</v>
      </c>
      <c r="D13" s="69">
        <f>(0.8016*(D7^2)+31.1917*D7)*D4*D10/2000</f>
        <v>9.2801979200000023E-2</v>
      </c>
      <c r="E13" s="139" t="s">
        <v>149</v>
      </c>
      <c r="F13" s="140"/>
    </row>
    <row r="14" spans="1:7" ht="15">
      <c r="A14" s="83" t="s">
        <v>50</v>
      </c>
      <c r="B14" s="4" t="s">
        <v>41</v>
      </c>
      <c r="C14" s="4" t="s">
        <v>31</v>
      </c>
      <c r="D14" s="115">
        <f>(0.000547*(D7^2)+0.00649*D7+1.3)*D9*D10</f>
        <v>1.3663858740000001</v>
      </c>
      <c r="E14" s="137" t="s">
        <v>150</v>
      </c>
      <c r="F14" s="138"/>
    </row>
    <row r="15" spans="1:7">
      <c r="A15" s="39" t="s">
        <v>151</v>
      </c>
      <c r="B15" s="5" t="s">
        <v>45</v>
      </c>
      <c r="C15" s="5" t="s">
        <v>152</v>
      </c>
      <c r="D15" s="69">
        <f>(0.04898*(D7^2)+0.5925*D7+55.11)*D4*D9*D10/1000</f>
        <v>1.7165626719360001</v>
      </c>
      <c r="E15" s="132" t="s">
        <v>153</v>
      </c>
      <c r="F15" s="133"/>
    </row>
    <row r="16" spans="1:7" ht="15">
      <c r="A16" s="38" t="s">
        <v>154</v>
      </c>
      <c r="B16" s="5" t="s">
        <v>48</v>
      </c>
      <c r="C16" s="5" t="s">
        <v>55</v>
      </c>
      <c r="D16" s="74">
        <v>80</v>
      </c>
      <c r="E16" s="141" t="s">
        <v>155</v>
      </c>
      <c r="F16" s="142"/>
    </row>
    <row r="17" spans="1:6" ht="15">
      <c r="A17" s="38" t="s">
        <v>57</v>
      </c>
      <c r="B17" s="5" t="s">
        <v>51</v>
      </c>
      <c r="C17" s="5" t="s">
        <v>55</v>
      </c>
      <c r="D17" s="74">
        <v>30</v>
      </c>
      <c r="E17" s="141" t="s">
        <v>155</v>
      </c>
      <c r="F17" s="142"/>
    </row>
    <row r="18" spans="1:6" ht="15">
      <c r="A18" s="38" t="s">
        <v>59</v>
      </c>
      <c r="B18" s="5" t="s">
        <v>54</v>
      </c>
      <c r="C18" s="5" t="s">
        <v>61</v>
      </c>
      <c r="D18" s="76">
        <v>0.21</v>
      </c>
      <c r="E18" s="141" t="s">
        <v>62</v>
      </c>
      <c r="F18" s="142"/>
    </row>
    <row r="19" spans="1:6" ht="15">
      <c r="A19" s="96" t="s">
        <v>156</v>
      </c>
      <c r="B19" s="97" t="s">
        <v>58</v>
      </c>
      <c r="C19" s="97" t="s">
        <v>157</v>
      </c>
      <c r="D19" s="116">
        <v>7.17</v>
      </c>
      <c r="E19" s="141" t="s">
        <v>158</v>
      </c>
      <c r="F19" s="142"/>
    </row>
    <row r="20" spans="1:6" ht="15" thickBot="1">
      <c r="A20" s="117" t="s">
        <v>63</v>
      </c>
      <c r="B20" s="118" t="s">
        <v>60</v>
      </c>
      <c r="C20" s="118" t="s">
        <v>65</v>
      </c>
      <c r="D20" s="119">
        <v>60</v>
      </c>
      <c r="E20" s="152" t="s">
        <v>159</v>
      </c>
      <c r="F20" s="153"/>
    </row>
    <row r="21" spans="1:6" ht="37.5" customHeight="1" thickBot="1">
      <c r="A21" s="154" t="s">
        <v>160</v>
      </c>
      <c r="B21" s="155"/>
      <c r="C21" s="155"/>
      <c r="D21" s="155"/>
      <c r="E21" s="155"/>
      <c r="F21" s="156"/>
    </row>
    <row r="22" spans="1:6" ht="15.75" thickBot="1">
      <c r="A22" s="20" t="s">
        <v>68</v>
      </c>
      <c r="B22" s="21"/>
      <c r="C22" s="22"/>
      <c r="D22" s="22"/>
      <c r="E22" s="120" t="s">
        <v>69</v>
      </c>
      <c r="F22" s="23"/>
    </row>
    <row r="23" spans="1:6" ht="15">
      <c r="A23" s="108"/>
      <c r="B23" s="109"/>
      <c r="C23" s="110"/>
      <c r="D23" s="110"/>
      <c r="E23" s="121"/>
      <c r="F23" s="112"/>
    </row>
    <row r="24" spans="1:6">
      <c r="A24" s="122" t="s">
        <v>161</v>
      </c>
      <c r="B24" s="8"/>
      <c r="C24" s="9"/>
      <c r="D24" s="9"/>
      <c r="E24" s="9"/>
      <c r="F24" s="10"/>
    </row>
    <row r="25" spans="1:6">
      <c r="A25" s="122"/>
      <c r="B25" s="8"/>
      <c r="C25" s="9"/>
      <c r="D25" s="9"/>
      <c r="E25" s="9"/>
      <c r="F25" s="10"/>
    </row>
    <row r="26" spans="1:6">
      <c r="A26" s="122" t="s">
        <v>162</v>
      </c>
      <c r="B26" s="8"/>
      <c r="C26" s="9" t="s">
        <v>72</v>
      </c>
      <c r="D26" s="11">
        <f>IF(D4&gt;600,(D4*92000),(566000*D4^0.716))*D5*(D9*D10)^0.6*(D7/4)^0.01</f>
        <v>6396826.5619708207</v>
      </c>
      <c r="E26" s="79" t="s">
        <v>163</v>
      </c>
      <c r="F26" s="10"/>
    </row>
    <row r="27" spans="1:6">
      <c r="A27" s="122"/>
      <c r="B27" s="8"/>
      <c r="C27" s="9"/>
      <c r="D27" s="9"/>
      <c r="E27" s="9"/>
      <c r="F27" s="10"/>
    </row>
    <row r="28" spans="1:6">
      <c r="A28" s="122" t="s">
        <v>164</v>
      </c>
      <c r="B28" s="8"/>
      <c r="C28" s="9" t="s">
        <v>72</v>
      </c>
      <c r="D28" s="11">
        <f>IF(D4&gt;600,D4*48700,300000*(D4^0.716)*D5*(D7*D10)^0.2)</f>
        <v>2459076.9498683894</v>
      </c>
      <c r="E28" s="79" t="s">
        <v>165</v>
      </c>
      <c r="F28" s="10"/>
    </row>
    <row r="29" spans="1:6">
      <c r="A29" s="122"/>
      <c r="B29" s="8"/>
      <c r="C29" s="9"/>
      <c r="D29" s="9"/>
      <c r="E29" s="9"/>
      <c r="F29" s="10"/>
    </row>
    <row r="30" spans="1:6">
      <c r="A30" s="122" t="s">
        <v>166</v>
      </c>
      <c r="B30" s="8"/>
      <c r="C30" s="9" t="s">
        <v>72</v>
      </c>
      <c r="D30" s="11">
        <f>IF(D4&gt;600,D4*129900,799000*(D4^0.716)*D5*(D9*D10)^0.4)</f>
        <v>9214406.4260688685</v>
      </c>
      <c r="E30" s="79" t="s">
        <v>167</v>
      </c>
      <c r="F30" s="10"/>
    </row>
    <row r="31" spans="1:6">
      <c r="A31" s="122"/>
      <c r="B31" s="8"/>
      <c r="C31" s="9"/>
      <c r="D31" s="9"/>
      <c r="E31" s="79"/>
      <c r="F31" s="10"/>
    </row>
    <row r="32" spans="1:6">
      <c r="A32" s="122" t="s">
        <v>71</v>
      </c>
      <c r="B32" s="8"/>
      <c r="C32" s="93" t="s">
        <v>72</v>
      </c>
      <c r="D32" s="11">
        <f>D26+D28+D30</f>
        <v>18070309.937908079</v>
      </c>
      <c r="E32" s="79" t="s">
        <v>73</v>
      </c>
      <c r="F32" s="10"/>
    </row>
    <row r="33" spans="1:6">
      <c r="A33" s="122" t="s">
        <v>76</v>
      </c>
      <c r="B33" s="8"/>
      <c r="C33" s="93" t="s">
        <v>72</v>
      </c>
      <c r="D33" s="11">
        <f>D32/(D4*1000)</f>
        <v>610.48344384824588</v>
      </c>
      <c r="E33" s="79" t="s">
        <v>77</v>
      </c>
      <c r="F33" s="10"/>
    </row>
    <row r="34" spans="1:6">
      <c r="A34" s="7"/>
      <c r="B34" s="8"/>
      <c r="C34" s="9"/>
      <c r="D34" s="9"/>
      <c r="E34" s="79"/>
      <c r="F34" s="10"/>
    </row>
    <row r="35" spans="1:6" ht="15">
      <c r="A35" s="12" t="s">
        <v>78</v>
      </c>
      <c r="B35" s="8"/>
      <c r="C35" s="9"/>
      <c r="D35" s="9"/>
      <c r="E35" s="79"/>
      <c r="F35" s="10"/>
    </row>
    <row r="36" spans="1:6" ht="15">
      <c r="A36" s="12"/>
      <c r="B36" s="8"/>
      <c r="C36" s="9"/>
      <c r="D36" s="9"/>
      <c r="E36" s="79"/>
      <c r="F36" s="10"/>
    </row>
    <row r="37" spans="1:6">
      <c r="A37" s="122" t="s">
        <v>79</v>
      </c>
      <c r="B37" s="8"/>
      <c r="C37" s="93" t="s">
        <v>72</v>
      </c>
      <c r="D37" s="13">
        <f>0.1*$D$32</f>
        <v>1807030.9937908081</v>
      </c>
      <c r="E37" s="82" t="s">
        <v>80</v>
      </c>
      <c r="F37" s="10"/>
    </row>
    <row r="38" spans="1:6">
      <c r="A38" s="122" t="s">
        <v>81</v>
      </c>
      <c r="B38" s="8"/>
      <c r="C38" s="93" t="s">
        <v>72</v>
      </c>
      <c r="D38" s="13">
        <f>0.1*$D$32</f>
        <v>1807030.9937908081</v>
      </c>
      <c r="E38" s="82" t="s">
        <v>82</v>
      </c>
      <c r="F38" s="10"/>
    </row>
    <row r="39" spans="1:6">
      <c r="A39" s="122" t="s">
        <v>83</v>
      </c>
      <c r="B39" s="8"/>
      <c r="C39" s="93" t="s">
        <v>72</v>
      </c>
      <c r="D39" s="13">
        <f>0.1*$D$32</f>
        <v>1807030.9937908081</v>
      </c>
      <c r="E39" s="82" t="s">
        <v>84</v>
      </c>
      <c r="F39" s="10"/>
    </row>
    <row r="40" spans="1:6">
      <c r="A40" s="7"/>
      <c r="B40" s="8"/>
      <c r="C40" s="9"/>
      <c r="D40" s="9"/>
      <c r="E40" s="79"/>
      <c r="F40" s="10"/>
    </row>
    <row r="41" spans="1:6" ht="15">
      <c r="A41" s="101" t="s">
        <v>85</v>
      </c>
      <c r="B41" s="8"/>
      <c r="C41" s="93" t="s">
        <v>72</v>
      </c>
      <c r="D41" s="68">
        <f>D32+D37+D38+D39</f>
        <v>23491402.919280507</v>
      </c>
      <c r="E41" s="79" t="s">
        <v>86</v>
      </c>
      <c r="F41" s="10"/>
    </row>
    <row r="42" spans="1:6" ht="15">
      <c r="A42" s="101" t="s">
        <v>87</v>
      </c>
      <c r="B42" s="8"/>
      <c r="C42" s="93" t="s">
        <v>72</v>
      </c>
      <c r="D42" s="77">
        <f>D41/(D4*1000)</f>
        <v>793.62847700271982</v>
      </c>
      <c r="E42" s="79" t="s">
        <v>88</v>
      </c>
      <c r="F42" s="10"/>
    </row>
    <row r="43" spans="1:6" ht="15">
      <c r="A43" s="12"/>
      <c r="B43" s="8"/>
      <c r="C43" s="93"/>
      <c r="D43" s="77"/>
      <c r="E43" s="79"/>
      <c r="F43" s="10"/>
    </row>
    <row r="44" spans="1:6" ht="14.25" customHeight="1">
      <c r="A44" s="122" t="s">
        <v>89</v>
      </c>
      <c r="B44" s="8"/>
      <c r="C44" s="93" t="s">
        <v>72</v>
      </c>
      <c r="D44" s="13">
        <f>0.05*D41</f>
        <v>1174570.1459640253</v>
      </c>
      <c r="E44" s="135" t="s">
        <v>90</v>
      </c>
      <c r="F44" s="136"/>
    </row>
    <row r="45" spans="1:6">
      <c r="A45" s="7"/>
      <c r="B45" s="8"/>
      <c r="C45" s="93"/>
      <c r="D45" s="13"/>
      <c r="E45" s="79"/>
      <c r="F45" s="10"/>
    </row>
    <row r="46" spans="1:6" ht="15">
      <c r="A46" s="101" t="s">
        <v>91</v>
      </c>
      <c r="B46" s="8"/>
      <c r="C46" s="93" t="s">
        <v>72</v>
      </c>
      <c r="D46" s="68">
        <f>D41+D44</f>
        <v>24665973.065244533</v>
      </c>
      <c r="E46" s="79" t="s">
        <v>92</v>
      </c>
      <c r="F46" s="10"/>
    </row>
    <row r="47" spans="1:6" ht="15">
      <c r="A47" s="101" t="s">
        <v>93</v>
      </c>
      <c r="B47" s="8"/>
      <c r="C47" s="93" t="s">
        <v>72</v>
      </c>
      <c r="D47" s="77">
        <f>D46/(D4*1000)</f>
        <v>833.30990085285589</v>
      </c>
      <c r="E47" s="79" t="s">
        <v>94</v>
      </c>
      <c r="F47" s="10"/>
    </row>
    <row r="48" spans="1:6" ht="15">
      <c r="A48" s="12"/>
      <c r="B48" s="8"/>
      <c r="C48" s="93"/>
      <c r="D48" s="77"/>
      <c r="E48" s="79"/>
      <c r="F48" s="10"/>
    </row>
    <row r="49" spans="1:6">
      <c r="A49" s="122" t="s">
        <v>168</v>
      </c>
      <c r="B49" s="8"/>
      <c r="C49" s="93" t="s">
        <v>72</v>
      </c>
      <c r="D49" s="123">
        <f>0.1*(D41+D44)</f>
        <v>2466597.3065244532</v>
      </c>
      <c r="E49" s="79" t="s">
        <v>96</v>
      </c>
      <c r="F49" s="10"/>
    </row>
    <row r="50" spans="1:6">
      <c r="A50" s="7"/>
      <c r="B50" s="8"/>
      <c r="C50" s="93"/>
      <c r="D50" s="9"/>
      <c r="E50" s="79"/>
      <c r="F50" s="10"/>
    </row>
    <row r="51" spans="1:6" ht="15">
      <c r="A51" s="101" t="s">
        <v>97</v>
      </c>
      <c r="B51" s="29"/>
      <c r="C51" s="24" t="s">
        <v>72</v>
      </c>
      <c r="D51" s="68">
        <f>D46+D49</f>
        <v>27132570.371768985</v>
      </c>
      <c r="E51" s="31" t="s">
        <v>98</v>
      </c>
      <c r="F51" s="32"/>
    </row>
    <row r="52" spans="1:6" ht="15">
      <c r="A52" s="101" t="s">
        <v>99</v>
      </c>
      <c r="B52" s="8"/>
      <c r="C52" s="93" t="s">
        <v>72</v>
      </c>
      <c r="D52" s="77">
        <f>D51/(D4*1000)</f>
        <v>916.64089093814141</v>
      </c>
      <c r="E52" s="31" t="s">
        <v>100</v>
      </c>
      <c r="F52" s="10"/>
    </row>
    <row r="53" spans="1:6" ht="15.75" thickBot="1">
      <c r="A53" s="104"/>
      <c r="B53" s="35"/>
      <c r="C53" s="105"/>
      <c r="D53" s="106"/>
      <c r="E53" s="124"/>
      <c r="F53" s="37"/>
    </row>
    <row r="54" spans="1:6" ht="15">
      <c r="A54" s="29"/>
      <c r="B54" s="8"/>
      <c r="C54" s="93"/>
      <c r="D54" s="77"/>
      <c r="E54" s="79"/>
      <c r="F54" s="8"/>
    </row>
    <row r="55" spans="1:6" ht="15">
      <c r="A55" s="29"/>
      <c r="B55" s="8"/>
      <c r="C55" s="93"/>
      <c r="D55" s="77"/>
      <c r="E55" s="79"/>
      <c r="F55" s="8"/>
    </row>
    <row r="56" spans="1:6" ht="15">
      <c r="A56" s="29"/>
      <c r="B56" s="8"/>
      <c r="C56" s="93"/>
      <c r="D56" s="77"/>
      <c r="E56" s="79"/>
      <c r="F56" s="8"/>
    </row>
    <row r="57" spans="1:6" ht="15">
      <c r="A57" s="29"/>
      <c r="B57" s="8"/>
      <c r="C57" s="93"/>
      <c r="D57" s="77"/>
      <c r="E57" s="79"/>
      <c r="F57" s="8"/>
    </row>
    <row r="58" spans="1:6" ht="15">
      <c r="A58" s="29"/>
      <c r="B58" s="8"/>
      <c r="C58" s="93"/>
      <c r="D58" s="77"/>
      <c r="E58" s="79"/>
      <c r="F58" s="8"/>
    </row>
    <row r="59" spans="1:6" ht="15">
      <c r="A59" s="29"/>
      <c r="B59" s="8"/>
      <c r="C59" s="93"/>
      <c r="D59" s="77"/>
      <c r="E59" s="79"/>
      <c r="F59" s="8"/>
    </row>
    <row r="60" spans="1:6" ht="15">
      <c r="A60" s="29"/>
      <c r="B60" s="8"/>
      <c r="C60" s="93"/>
      <c r="D60" s="77"/>
      <c r="E60" s="79"/>
      <c r="F60" s="8"/>
    </row>
    <row r="61" spans="1:6" ht="15">
      <c r="A61" s="29"/>
      <c r="B61" s="8"/>
      <c r="C61" s="93"/>
      <c r="D61" s="77"/>
      <c r="E61" s="79"/>
      <c r="F61" s="8"/>
    </row>
    <row r="62" spans="1:6" ht="15">
      <c r="A62" s="29"/>
      <c r="B62" s="8"/>
      <c r="C62" s="93"/>
      <c r="D62" s="77"/>
      <c r="E62" s="79"/>
      <c r="F62" s="8"/>
    </row>
    <row r="63" spans="1:6" ht="15">
      <c r="A63" s="29"/>
      <c r="B63" s="8"/>
      <c r="C63" s="93"/>
      <c r="D63" s="77"/>
      <c r="E63" s="79"/>
      <c r="F63" s="8"/>
    </row>
    <row r="64" spans="1:6" ht="15">
      <c r="A64" s="29"/>
      <c r="B64" s="8"/>
      <c r="C64" s="93"/>
      <c r="D64" s="77"/>
      <c r="E64" s="79"/>
      <c r="F64" s="8"/>
    </row>
    <row r="65" spans="1:6" ht="15">
      <c r="A65" s="29"/>
      <c r="B65" s="8"/>
      <c r="C65" s="93"/>
      <c r="D65" s="77"/>
      <c r="E65" s="79"/>
      <c r="F65" s="8"/>
    </row>
    <row r="66" spans="1:6" ht="15.75">
      <c r="A66" s="134" t="s">
        <v>139</v>
      </c>
      <c r="B66" s="134"/>
      <c r="C66" s="134"/>
      <c r="D66" s="134"/>
      <c r="E66" s="134"/>
      <c r="F66" s="134"/>
    </row>
    <row r="67" spans="1:6" ht="15.75" thickBot="1">
      <c r="A67" s="29"/>
      <c r="B67" s="8"/>
      <c r="C67" s="93"/>
      <c r="D67" s="77"/>
      <c r="E67" s="79"/>
      <c r="F67" s="8"/>
    </row>
    <row r="68" spans="1:6">
      <c r="A68" s="87"/>
      <c r="B68" s="88"/>
      <c r="C68" s="89"/>
      <c r="D68" s="89"/>
      <c r="E68" s="90"/>
      <c r="F68" s="91"/>
    </row>
    <row r="69" spans="1:6" ht="15">
      <c r="A69" s="43" t="s">
        <v>101</v>
      </c>
      <c r="B69" s="40"/>
      <c r="C69" s="41"/>
      <c r="D69" s="41"/>
      <c r="E69" s="95"/>
      <c r="F69" s="42"/>
    </row>
    <row r="70" spans="1:6" ht="15">
      <c r="A70" s="14" t="s">
        <v>169</v>
      </c>
      <c r="B70" s="15"/>
      <c r="C70" s="16"/>
      <c r="D70" s="16"/>
      <c r="E70" s="28"/>
      <c r="F70" s="17"/>
    </row>
    <row r="71" spans="1:6">
      <c r="A71" s="7"/>
      <c r="B71" s="8"/>
      <c r="C71" s="9"/>
      <c r="D71" s="9"/>
      <c r="E71" s="79"/>
      <c r="F71" s="10"/>
    </row>
    <row r="72" spans="1:6">
      <c r="A72" s="122" t="s">
        <v>170</v>
      </c>
      <c r="B72" s="8"/>
      <c r="C72" s="93" t="s">
        <v>72</v>
      </c>
      <c r="D72" s="80">
        <f>4*2080*D20/(D4*1000)</f>
        <v>16.864864864864863</v>
      </c>
      <c r="E72" s="79" t="s">
        <v>104</v>
      </c>
      <c r="F72" s="10"/>
    </row>
    <row r="73" spans="1:6">
      <c r="A73" s="122" t="s">
        <v>171</v>
      </c>
      <c r="B73" s="8"/>
      <c r="C73" s="93" t="s">
        <v>72</v>
      </c>
      <c r="D73" s="80">
        <f>D32*0.015/(D5*D4*1000)</f>
        <v>9.1572516577236875</v>
      </c>
      <c r="E73" s="79" t="s">
        <v>106</v>
      </c>
      <c r="F73" s="10"/>
    </row>
    <row r="74" spans="1:6">
      <c r="A74" s="122" t="s">
        <v>107</v>
      </c>
      <c r="B74" s="8"/>
      <c r="C74" s="93" t="s">
        <v>72</v>
      </c>
      <c r="D74" s="80">
        <f>0.03*(D72+0.4*D73)</f>
        <v>0.61583296583863012</v>
      </c>
      <c r="E74" s="79" t="s">
        <v>108</v>
      </c>
      <c r="F74" s="10"/>
    </row>
    <row r="75" spans="1:6">
      <c r="A75" s="7"/>
      <c r="B75" s="8"/>
      <c r="C75" s="9"/>
      <c r="D75" s="80"/>
      <c r="E75" s="79"/>
      <c r="F75" s="10"/>
    </row>
    <row r="76" spans="1:6" s="2" customFormat="1" ht="15">
      <c r="A76" s="101" t="s">
        <v>109</v>
      </c>
      <c r="B76" s="29"/>
      <c r="C76" s="24" t="s">
        <v>72</v>
      </c>
      <c r="D76" s="30">
        <f>D72+D73+D74</f>
        <v>26.637949488427182</v>
      </c>
      <c r="E76" s="31" t="s">
        <v>110</v>
      </c>
      <c r="F76" s="32"/>
    </row>
    <row r="77" spans="1:6">
      <c r="A77" s="7"/>
      <c r="B77" s="8"/>
      <c r="C77" s="9"/>
      <c r="D77" s="80"/>
      <c r="E77" s="79"/>
      <c r="F77" s="10"/>
    </row>
    <row r="78" spans="1:6" s="2" customFormat="1" ht="15">
      <c r="A78" s="14" t="s">
        <v>111</v>
      </c>
      <c r="B78" s="15"/>
      <c r="C78" s="16"/>
      <c r="D78" s="16"/>
      <c r="E78" s="28"/>
      <c r="F78" s="17"/>
    </row>
    <row r="79" spans="1:6" s="2" customFormat="1" ht="15">
      <c r="A79" s="12"/>
      <c r="B79" s="29"/>
      <c r="C79" s="33"/>
      <c r="D79" s="30"/>
      <c r="E79" s="31"/>
      <c r="F79" s="32"/>
    </row>
    <row r="80" spans="1:6">
      <c r="A80" s="122" t="s">
        <v>172</v>
      </c>
      <c r="B80" s="8"/>
      <c r="C80" s="93" t="s">
        <v>72</v>
      </c>
      <c r="D80" s="80">
        <f>D12*D16/D4</f>
        <v>0.10843232</v>
      </c>
      <c r="E80" s="79" t="s">
        <v>173</v>
      </c>
      <c r="F80" s="10"/>
    </row>
    <row r="81" spans="1:8" ht="14.25" customHeight="1">
      <c r="A81" s="122" t="s">
        <v>174</v>
      </c>
      <c r="B81" s="8"/>
      <c r="C81" s="93" t="s">
        <v>72</v>
      </c>
      <c r="D81" s="125">
        <f>D13*D17/D4</f>
        <v>9.4056060000000011E-2</v>
      </c>
      <c r="E81" s="126" t="s">
        <v>175</v>
      </c>
      <c r="F81" s="127"/>
      <c r="H81" s="71"/>
    </row>
    <row r="82" spans="1:8">
      <c r="A82" s="122" t="s">
        <v>176</v>
      </c>
      <c r="B82" s="8"/>
      <c r="C82" s="93" t="s">
        <v>72</v>
      </c>
      <c r="D82" s="125">
        <f>D14*D18*10</f>
        <v>2.8694103354</v>
      </c>
      <c r="E82" s="135" t="s">
        <v>117</v>
      </c>
      <c r="F82" s="136"/>
    </row>
    <row r="83" spans="1:8">
      <c r="A83" s="122" t="s">
        <v>177</v>
      </c>
      <c r="B83" s="8"/>
      <c r="C83" s="9" t="s">
        <v>72</v>
      </c>
      <c r="D83" s="80">
        <f>D15*D19/D4</f>
        <v>0.41580251208720004</v>
      </c>
      <c r="E83" s="79" t="s">
        <v>178</v>
      </c>
      <c r="F83" s="10"/>
    </row>
    <row r="84" spans="1:8">
      <c r="A84" s="7"/>
      <c r="B84" s="8"/>
      <c r="C84" s="9"/>
      <c r="D84" s="80"/>
      <c r="E84" s="79"/>
      <c r="F84" s="10"/>
    </row>
    <row r="85" spans="1:8" ht="15">
      <c r="A85" s="101" t="s">
        <v>179</v>
      </c>
      <c r="B85" s="29"/>
      <c r="C85" s="24" t="s">
        <v>72</v>
      </c>
      <c r="D85" s="72">
        <f>D80+D81+D82+D83</f>
        <v>3.4877012274872001</v>
      </c>
      <c r="E85" s="31" t="s">
        <v>119</v>
      </c>
      <c r="F85" s="10"/>
    </row>
    <row r="86" spans="1:8" ht="15" thickBot="1">
      <c r="A86" s="34"/>
      <c r="B86" s="35"/>
      <c r="C86" s="36"/>
      <c r="D86" s="36"/>
      <c r="E86" s="36"/>
      <c r="F86" s="37"/>
    </row>
    <row r="87" spans="1:8" ht="15">
      <c r="A87" s="44" t="s">
        <v>120</v>
      </c>
      <c r="B87" s="45"/>
      <c r="C87" s="46"/>
      <c r="D87" s="46"/>
      <c r="E87" s="47"/>
      <c r="F87" s="48"/>
    </row>
    <row r="88" spans="1:8">
      <c r="A88" s="49"/>
      <c r="B88" s="50"/>
      <c r="C88" s="9"/>
      <c r="D88" s="9"/>
      <c r="E88" s="9"/>
      <c r="F88" s="10"/>
    </row>
    <row r="89" spans="1:8">
      <c r="A89" s="122" t="s">
        <v>121</v>
      </c>
      <c r="B89" s="8"/>
      <c r="C89" s="93" t="s">
        <v>72</v>
      </c>
      <c r="D89" s="66">
        <f>0.6*D76*D4*1000</f>
        <v>473089.98291446676</v>
      </c>
      <c r="E89" s="79" t="s">
        <v>122</v>
      </c>
      <c r="F89" s="10"/>
    </row>
    <row r="90" spans="1:8">
      <c r="A90" s="122" t="s">
        <v>123</v>
      </c>
      <c r="B90" s="8"/>
      <c r="C90" s="93" t="s">
        <v>72</v>
      </c>
      <c r="D90" s="66">
        <f>0.02*D51</f>
        <v>542651.40743537969</v>
      </c>
      <c r="E90" s="79" t="s">
        <v>122</v>
      </c>
      <c r="F90" s="10"/>
    </row>
    <row r="91" spans="1:8">
      <c r="A91" s="122" t="s">
        <v>124</v>
      </c>
      <c r="B91" s="8"/>
      <c r="C91" s="93" t="s">
        <v>72</v>
      </c>
      <c r="D91" s="66">
        <f>0.01*D51</f>
        <v>271325.70371768984</v>
      </c>
      <c r="E91" s="79" t="s">
        <v>122</v>
      </c>
      <c r="F91" s="10"/>
    </row>
    <row r="92" spans="1:8">
      <c r="A92" s="122" t="s">
        <v>125</v>
      </c>
      <c r="B92" s="8"/>
      <c r="C92" s="93" t="s">
        <v>72</v>
      </c>
      <c r="D92" s="66">
        <f>0.01*D51</f>
        <v>271325.70371768984</v>
      </c>
      <c r="E92" s="79" t="s">
        <v>122</v>
      </c>
      <c r="F92" s="10"/>
    </row>
    <row r="93" spans="1:8" ht="16.5">
      <c r="A93" s="122" t="s">
        <v>126</v>
      </c>
      <c r="B93" s="8"/>
      <c r="F93" s="10"/>
    </row>
    <row r="94" spans="1:8">
      <c r="A94" s="128" t="s">
        <v>127</v>
      </c>
      <c r="B94" s="79">
        <v>5.5</v>
      </c>
      <c r="C94" s="93"/>
      <c r="D94" s="66"/>
      <c r="E94" s="9"/>
      <c r="F94" s="10"/>
    </row>
    <row r="95" spans="1:8">
      <c r="A95" s="128" t="s">
        <v>128</v>
      </c>
      <c r="B95" s="79">
        <v>15</v>
      </c>
      <c r="C95" s="9"/>
      <c r="D95" s="66"/>
      <c r="E95" s="9"/>
      <c r="F95" s="10"/>
    </row>
    <row r="96" spans="1:8" ht="17.25" customHeight="1">
      <c r="A96" s="122" t="s">
        <v>129</v>
      </c>
      <c r="B96" s="92">
        <f>((B94/100)*((1+(B94/100))^B95))/(((1+(B94/100))^B95)-1)</f>
        <v>9.9625597604811239E-2</v>
      </c>
      <c r="C96" s="93" t="s">
        <v>72</v>
      </c>
      <c r="D96" s="66">
        <f>B96*D51</f>
        <v>2703098.5378420805</v>
      </c>
      <c r="E96" s="79" t="s">
        <v>122</v>
      </c>
      <c r="F96" s="10"/>
    </row>
    <row r="97" spans="1:6" ht="17.25" customHeight="1">
      <c r="A97" s="122"/>
      <c r="B97" s="8"/>
      <c r="C97" s="9"/>
      <c r="D97" s="66"/>
      <c r="E97" s="9"/>
      <c r="F97" s="10"/>
    </row>
    <row r="98" spans="1:6" ht="15">
      <c r="A98" s="101" t="s">
        <v>130</v>
      </c>
      <c r="B98" s="8"/>
      <c r="C98" s="93" t="s">
        <v>72</v>
      </c>
      <c r="D98" s="54">
        <f>SUM(D89:D96)</f>
        <v>4261491.3356273063</v>
      </c>
      <c r="E98" s="9"/>
      <c r="F98" s="10"/>
    </row>
    <row r="99" spans="1:6">
      <c r="A99" s="49"/>
      <c r="B99" s="8"/>
      <c r="C99" s="9"/>
      <c r="D99" s="51"/>
      <c r="E99" s="9"/>
      <c r="F99" s="10"/>
    </row>
    <row r="100" spans="1:6" ht="15">
      <c r="A100" s="101" t="s">
        <v>131</v>
      </c>
      <c r="B100" s="29"/>
      <c r="C100" s="24" t="s">
        <v>72</v>
      </c>
      <c r="D100" s="54">
        <f>D76*D4*1000+D85*D4*8760+D98</f>
        <v>5954321.6179672722</v>
      </c>
      <c r="E100" s="9"/>
      <c r="F100" s="10"/>
    </row>
    <row r="101" spans="1:6" ht="15.75" thickBot="1">
      <c r="A101" s="52"/>
      <c r="B101" s="53"/>
      <c r="C101" s="36"/>
      <c r="D101" s="36"/>
      <c r="E101" s="36"/>
      <c r="F101" s="37"/>
    </row>
    <row r="102" spans="1:6">
      <c r="A102" s="25"/>
      <c r="B102" s="56"/>
      <c r="C102" s="26"/>
      <c r="D102" s="26"/>
      <c r="E102" s="26"/>
      <c r="F102" s="27"/>
    </row>
    <row r="103" spans="1:6">
      <c r="A103" s="122" t="s">
        <v>132</v>
      </c>
      <c r="B103" s="8"/>
      <c r="C103" s="93" t="s">
        <v>72</v>
      </c>
      <c r="D103" s="57">
        <v>584.6</v>
      </c>
      <c r="E103" s="9"/>
      <c r="F103" s="10"/>
    </row>
    <row r="104" spans="1:6">
      <c r="A104" s="122" t="s">
        <v>133</v>
      </c>
      <c r="B104" s="8"/>
      <c r="C104" s="93" t="s">
        <v>72</v>
      </c>
      <c r="D104" s="58">
        <v>536.4</v>
      </c>
      <c r="E104" s="9"/>
      <c r="F104" s="10"/>
    </row>
    <row r="105" spans="1:6">
      <c r="A105" s="7"/>
      <c r="B105" s="8"/>
      <c r="C105" s="9"/>
      <c r="D105" s="9"/>
      <c r="E105" s="9"/>
      <c r="F105" s="10"/>
    </row>
    <row r="106" spans="1:6" ht="15">
      <c r="A106" s="101" t="s">
        <v>134</v>
      </c>
      <c r="B106" s="29"/>
      <c r="C106" s="24" t="s">
        <v>72</v>
      </c>
      <c r="D106" s="68">
        <f>D100*D104/D103</f>
        <v>5463390.5505946707</v>
      </c>
      <c r="E106" s="9"/>
      <c r="F106" s="10"/>
    </row>
    <row r="107" spans="1:6" ht="15.75" thickBot="1">
      <c r="A107" s="52"/>
      <c r="B107" s="35"/>
      <c r="C107" s="36"/>
      <c r="D107" s="53"/>
      <c r="E107" s="36"/>
      <c r="F107" s="37"/>
    </row>
    <row r="108" spans="1:6">
      <c r="A108" s="59"/>
      <c r="B108" s="8"/>
      <c r="C108" s="9"/>
      <c r="D108" s="60"/>
      <c r="E108" s="9"/>
      <c r="F108" s="10"/>
    </row>
    <row r="109" spans="1:6" ht="18.75">
      <c r="A109" s="122" t="s">
        <v>135</v>
      </c>
      <c r="B109" s="64"/>
      <c r="C109" s="93" t="s">
        <v>72</v>
      </c>
      <c r="D109" s="61">
        <f>D7*(D11/1000000)*8760/2000</f>
        <v>259.29599999999999</v>
      </c>
      <c r="E109" s="9"/>
      <c r="F109" s="10"/>
    </row>
    <row r="110" spans="1:6" ht="18.75">
      <c r="A110" s="122" t="s">
        <v>136</v>
      </c>
      <c r="B110" s="8"/>
      <c r="C110" s="93" t="s">
        <v>72</v>
      </c>
      <c r="D110" s="73">
        <v>90</v>
      </c>
      <c r="E110" s="9"/>
      <c r="F110" s="10"/>
    </row>
    <row r="111" spans="1:6" ht="18.75">
      <c r="A111" s="122" t="s">
        <v>137</v>
      </c>
      <c r="B111" s="8"/>
      <c r="C111" s="93" t="s">
        <v>72</v>
      </c>
      <c r="D111" s="62">
        <f>D109*D110/100</f>
        <v>233.3664</v>
      </c>
      <c r="E111" s="9"/>
      <c r="F111" s="10"/>
    </row>
    <row r="112" spans="1:6">
      <c r="A112" s="122"/>
      <c r="B112" s="8"/>
      <c r="C112" s="93"/>
      <c r="D112" s="62"/>
      <c r="E112" s="9"/>
      <c r="F112" s="10"/>
    </row>
    <row r="113" spans="1:6" ht="16.5">
      <c r="A113" s="101" t="s">
        <v>138</v>
      </c>
      <c r="B113" s="65"/>
      <c r="C113" s="93" t="s">
        <v>72</v>
      </c>
      <c r="D113" s="67">
        <f>D106/D111</f>
        <v>23411.213227759741</v>
      </c>
      <c r="E113" s="9"/>
      <c r="F113" s="10"/>
    </row>
    <row r="114" spans="1:6" ht="15" thickBot="1">
      <c r="A114" s="63"/>
      <c r="B114" s="35"/>
      <c r="C114" s="36"/>
      <c r="D114" s="55"/>
      <c r="E114" s="36"/>
      <c r="F114" s="37"/>
    </row>
  </sheetData>
  <mergeCells count="22">
    <mergeCell ref="E13:F13"/>
    <mergeCell ref="A1:F1"/>
    <mergeCell ref="E3:F3"/>
    <mergeCell ref="E4:F4"/>
    <mergeCell ref="E5:F5"/>
    <mergeCell ref="E6:F6"/>
    <mergeCell ref="E7:F7"/>
    <mergeCell ref="E8:F8"/>
    <mergeCell ref="E9:F9"/>
    <mergeCell ref="E10:F10"/>
    <mergeCell ref="E11:F11"/>
    <mergeCell ref="E12:F12"/>
    <mergeCell ref="E14:F14"/>
    <mergeCell ref="E16:F16"/>
    <mergeCell ref="E17:F17"/>
    <mergeCell ref="E18:F18"/>
    <mergeCell ref="E19:F19"/>
    <mergeCell ref="E82:F82"/>
    <mergeCell ref="E20:F20"/>
    <mergeCell ref="A21:F21"/>
    <mergeCell ref="E44:F44"/>
    <mergeCell ref="A66:F66"/>
  </mergeCells>
  <pageMargins left="0.7" right="0.27879901960784315" top="0.38124999999999998" bottom="0.47867647058823531" header="0.3" footer="0.62303921568627452"/>
  <pageSetup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H114"/>
  <sheetViews>
    <sheetView view="pageLayout" topLeftCell="A85" zoomScale="85" zoomScaleNormal="100" zoomScalePageLayoutView="85" workbookViewId="0" xr3:uid="{842E5F09-E766-5B8D-85AF-A39847EA96FD}">
      <selection activeCell="D117" sqref="D117"/>
    </sheetView>
  </sheetViews>
  <sheetFormatPr defaultColWidth="8.85546875" defaultRowHeight="14.25"/>
  <cols>
    <col min="1" max="1" width="38.140625" style="1" customWidth="1"/>
    <col min="2" max="2" width="40.7109375" style="1" customWidth="1"/>
    <col min="3" max="3" width="13.28515625" style="3" customWidth="1"/>
    <col min="4" max="4" width="18" style="3" customWidth="1"/>
    <col min="5" max="5" width="16.42578125" style="3" customWidth="1"/>
    <col min="6" max="6" width="99" style="1" customWidth="1"/>
    <col min="7" max="7" width="11" style="1" bestFit="1" customWidth="1"/>
    <col min="8" max="8" width="14.28515625" style="1" bestFit="1" customWidth="1"/>
    <col min="9" max="16384" width="8.85546875" style="1"/>
  </cols>
  <sheetData>
    <row r="3" spans="1:7" ht="15.75">
      <c r="A3" s="134" t="s">
        <v>180</v>
      </c>
      <c r="B3" s="134"/>
      <c r="C3" s="134"/>
      <c r="D3" s="134"/>
      <c r="E3" s="134"/>
      <c r="F3" s="134"/>
      <c r="G3" s="8"/>
    </row>
    <row r="4" spans="1:7" ht="15" thickBot="1">
      <c r="A4" s="8"/>
      <c r="B4" s="8"/>
      <c r="C4" s="9"/>
      <c r="D4" s="9"/>
      <c r="E4" s="9"/>
      <c r="F4" s="8"/>
      <c r="G4" s="8"/>
    </row>
    <row r="5" spans="1:7" s="2" customFormat="1" ht="15">
      <c r="A5" s="85" t="s">
        <v>1</v>
      </c>
      <c r="B5" s="86" t="s">
        <v>2</v>
      </c>
      <c r="C5" s="86" t="s">
        <v>3</v>
      </c>
      <c r="D5" s="86" t="s">
        <v>4</v>
      </c>
      <c r="E5" s="148" t="s">
        <v>5</v>
      </c>
      <c r="F5" s="149"/>
    </row>
    <row r="6" spans="1:7" ht="15">
      <c r="A6" s="38" t="s">
        <v>6</v>
      </c>
      <c r="B6" s="5" t="s">
        <v>7</v>
      </c>
      <c r="C6" s="5" t="s">
        <v>8</v>
      </c>
      <c r="D6" s="74">
        <v>29.6</v>
      </c>
      <c r="E6" s="137" t="s">
        <v>181</v>
      </c>
      <c r="F6" s="138"/>
    </row>
    <row r="7" spans="1:7" ht="87.75" customHeight="1">
      <c r="A7" s="38" t="s">
        <v>10</v>
      </c>
      <c r="B7" s="5" t="s">
        <v>11</v>
      </c>
      <c r="C7" s="5"/>
      <c r="D7" s="81">
        <v>1</v>
      </c>
      <c r="E7" s="150" t="s">
        <v>182</v>
      </c>
      <c r="F7" s="151"/>
    </row>
    <row r="8" spans="1:7" ht="15">
      <c r="A8" s="38" t="s">
        <v>13</v>
      </c>
      <c r="B8" s="5" t="s">
        <v>14</v>
      </c>
      <c r="C8" s="5" t="s">
        <v>15</v>
      </c>
      <c r="D8" s="75">
        <v>10000</v>
      </c>
      <c r="E8" s="137" t="s">
        <v>16</v>
      </c>
      <c r="F8" s="138"/>
    </row>
    <row r="9" spans="1:7" ht="15">
      <c r="A9" s="38" t="s">
        <v>17</v>
      </c>
      <c r="B9" s="5" t="s">
        <v>18</v>
      </c>
      <c r="C9" s="5" t="s">
        <v>19</v>
      </c>
      <c r="D9" s="76">
        <v>0.2</v>
      </c>
      <c r="E9" s="137" t="s">
        <v>16</v>
      </c>
      <c r="F9" s="138"/>
    </row>
    <row r="10" spans="1:7">
      <c r="A10" s="38" t="s">
        <v>20</v>
      </c>
      <c r="B10" s="5" t="s">
        <v>21</v>
      </c>
      <c r="C10" s="5"/>
      <c r="D10" s="5" t="s">
        <v>22</v>
      </c>
      <c r="E10" s="137" t="s">
        <v>16</v>
      </c>
      <c r="F10" s="138"/>
    </row>
    <row r="11" spans="1:7">
      <c r="A11" s="38" t="s">
        <v>141</v>
      </c>
      <c r="B11" s="5" t="s">
        <v>24</v>
      </c>
      <c r="C11" s="5"/>
      <c r="D11" s="5">
        <v>1.05</v>
      </c>
      <c r="E11" s="137" t="s">
        <v>142</v>
      </c>
      <c r="F11" s="138"/>
    </row>
    <row r="12" spans="1:7">
      <c r="A12" s="38" t="s">
        <v>143</v>
      </c>
      <c r="B12" s="5" t="s">
        <v>27</v>
      </c>
      <c r="C12" s="5"/>
      <c r="D12" s="5">
        <f>D8/10000</f>
        <v>1</v>
      </c>
      <c r="E12" s="157" t="s">
        <v>144</v>
      </c>
      <c r="F12" s="158"/>
    </row>
    <row r="13" spans="1:7">
      <c r="A13" s="38" t="s">
        <v>33</v>
      </c>
      <c r="B13" s="5" t="s">
        <v>30</v>
      </c>
      <c r="C13" s="5" t="s">
        <v>35</v>
      </c>
      <c r="D13" s="114">
        <f>D6*D8*1000</f>
        <v>296000000</v>
      </c>
      <c r="E13" s="137" t="s">
        <v>36</v>
      </c>
      <c r="F13" s="138"/>
    </row>
    <row r="14" spans="1:7">
      <c r="A14" s="38" t="s">
        <v>183</v>
      </c>
      <c r="B14" s="5" t="s">
        <v>38</v>
      </c>
      <c r="C14" s="5" t="s">
        <v>42</v>
      </c>
      <c r="D14" s="6">
        <f>17.52*D6*D9*D12/2000</f>
        <v>5.1859200000000001E-2</v>
      </c>
      <c r="E14" s="137" t="s">
        <v>184</v>
      </c>
      <c r="F14" s="138"/>
    </row>
    <row r="15" spans="1:7">
      <c r="A15" s="38" t="s">
        <v>147</v>
      </c>
      <c r="B15" s="5" t="s">
        <v>148</v>
      </c>
      <c r="C15" s="5" t="s">
        <v>42</v>
      </c>
      <c r="D15" s="69">
        <f>1.811*D14</f>
        <v>9.3917011199999997E-2</v>
      </c>
      <c r="E15" s="139" t="s">
        <v>185</v>
      </c>
      <c r="F15" s="140"/>
    </row>
    <row r="16" spans="1:7" ht="15">
      <c r="A16" s="83" t="s">
        <v>50</v>
      </c>
      <c r="B16" s="4" t="s">
        <v>41</v>
      </c>
      <c r="C16" s="4" t="s">
        <v>31</v>
      </c>
      <c r="D16" s="115">
        <f>(1.05*EXP(0.155*D9))*D11*D12</f>
        <v>1.1372127680348914</v>
      </c>
      <c r="E16" s="137" t="s">
        <v>186</v>
      </c>
      <c r="F16" s="138"/>
    </row>
    <row r="17" spans="1:6">
      <c r="A17" s="39" t="s">
        <v>151</v>
      </c>
      <c r="B17" s="5" t="s">
        <v>45</v>
      </c>
      <c r="C17" s="5" t="s">
        <v>152</v>
      </c>
      <c r="D17" s="69">
        <f>(1.674*D9+74.68)*D6*D11*D12/1000</f>
        <v>2.3314599840000003</v>
      </c>
      <c r="E17" s="132" t="s">
        <v>187</v>
      </c>
      <c r="F17" s="133"/>
    </row>
    <row r="18" spans="1:6" ht="15">
      <c r="A18" s="38" t="s">
        <v>188</v>
      </c>
      <c r="B18" s="5" t="s">
        <v>48</v>
      </c>
      <c r="C18" s="5" t="s">
        <v>55</v>
      </c>
      <c r="D18" s="74">
        <v>20</v>
      </c>
      <c r="E18" s="141" t="s">
        <v>155</v>
      </c>
      <c r="F18" s="142"/>
    </row>
    <row r="19" spans="1:6" ht="15">
      <c r="A19" s="38" t="s">
        <v>57</v>
      </c>
      <c r="B19" s="5" t="s">
        <v>51</v>
      </c>
      <c r="C19" s="5" t="s">
        <v>55</v>
      </c>
      <c r="D19" s="74">
        <v>30</v>
      </c>
      <c r="E19" s="141" t="s">
        <v>155</v>
      </c>
      <c r="F19" s="142"/>
    </row>
    <row r="20" spans="1:6" ht="15">
      <c r="A20" s="38" t="s">
        <v>59</v>
      </c>
      <c r="B20" s="5" t="s">
        <v>54</v>
      </c>
      <c r="C20" s="5" t="s">
        <v>61</v>
      </c>
      <c r="D20" s="76">
        <v>0.21</v>
      </c>
      <c r="E20" s="141" t="s">
        <v>62</v>
      </c>
      <c r="F20" s="142"/>
    </row>
    <row r="21" spans="1:6" ht="15">
      <c r="A21" s="96" t="s">
        <v>156</v>
      </c>
      <c r="B21" s="97" t="s">
        <v>58</v>
      </c>
      <c r="C21" s="97" t="s">
        <v>157</v>
      </c>
      <c r="D21" s="116">
        <v>7.17</v>
      </c>
      <c r="E21" s="141" t="s">
        <v>158</v>
      </c>
      <c r="F21" s="142"/>
    </row>
    <row r="22" spans="1:6" ht="15" thickBot="1">
      <c r="A22" s="117" t="s">
        <v>63</v>
      </c>
      <c r="B22" s="118" t="s">
        <v>60</v>
      </c>
      <c r="C22" s="118" t="s">
        <v>65</v>
      </c>
      <c r="D22" s="119">
        <v>60</v>
      </c>
      <c r="E22" s="152" t="s">
        <v>159</v>
      </c>
      <c r="F22" s="153"/>
    </row>
    <row r="23" spans="1:6" ht="37.5" customHeight="1" thickBot="1">
      <c r="A23" s="145" t="s">
        <v>189</v>
      </c>
      <c r="B23" s="146"/>
      <c r="C23" s="146"/>
      <c r="D23" s="146"/>
      <c r="E23" s="146"/>
      <c r="F23" s="147"/>
    </row>
    <row r="24" spans="1:6" ht="15.75" thickBot="1">
      <c r="A24" s="20" t="s">
        <v>68</v>
      </c>
      <c r="B24" s="21"/>
      <c r="C24" s="22"/>
      <c r="D24" s="22"/>
      <c r="E24" s="120" t="s">
        <v>69</v>
      </c>
      <c r="F24" s="23"/>
    </row>
    <row r="25" spans="1:6" ht="15">
      <c r="A25" s="108"/>
      <c r="B25" s="109"/>
      <c r="C25" s="110"/>
      <c r="D25" s="110"/>
      <c r="E25" s="121"/>
      <c r="F25" s="112"/>
    </row>
    <row r="26" spans="1:6">
      <c r="A26" s="122" t="s">
        <v>190</v>
      </c>
      <c r="B26" s="8"/>
      <c r="C26" s="9"/>
      <c r="D26" s="9"/>
      <c r="E26" s="9"/>
      <c r="F26" s="10"/>
    </row>
    <row r="27" spans="1:6">
      <c r="A27" s="7"/>
      <c r="B27" s="8"/>
      <c r="C27" s="9"/>
      <c r="D27" s="9"/>
      <c r="E27" s="9"/>
      <c r="F27" s="10"/>
    </row>
    <row r="28" spans="1:6">
      <c r="A28" s="122" t="s">
        <v>191</v>
      </c>
      <c r="B28" s="8"/>
      <c r="C28" s="9" t="s">
        <v>72</v>
      </c>
      <c r="D28" s="11">
        <f>550000*(D7)*((D11*D12)^0.6)*((D9/2)^0.02)*(D6^0.716)</f>
        <v>6116755.6817329433</v>
      </c>
      <c r="E28" s="79" t="s">
        <v>192</v>
      </c>
      <c r="F28" s="10"/>
    </row>
    <row r="29" spans="1:6">
      <c r="A29" s="7"/>
      <c r="B29" s="8"/>
      <c r="C29" s="9"/>
      <c r="D29" s="9"/>
      <c r="E29" s="9"/>
      <c r="F29" s="10"/>
    </row>
    <row r="30" spans="1:6">
      <c r="A30" s="122" t="s">
        <v>193</v>
      </c>
      <c r="B30" s="8"/>
      <c r="C30" s="9" t="s">
        <v>72</v>
      </c>
      <c r="D30" s="11">
        <f>190000*(D7)*((D9*D12)^0.3)*(D6^0.716)</f>
        <v>1325889.9073166149</v>
      </c>
      <c r="E30" s="79" t="s">
        <v>194</v>
      </c>
      <c r="F30" s="10"/>
    </row>
    <row r="31" spans="1:6">
      <c r="A31" s="7"/>
      <c r="B31" s="8"/>
      <c r="C31" s="9"/>
      <c r="D31" s="11"/>
      <c r="E31" s="79"/>
      <c r="F31" s="10"/>
    </row>
    <row r="32" spans="1:6">
      <c r="A32" s="122" t="s">
        <v>195</v>
      </c>
      <c r="B32" s="8"/>
      <c r="C32" s="9" t="s">
        <v>72</v>
      </c>
      <c r="D32" s="11">
        <f>100000*(D7)*((D9*D12)^0.45)*(D6^0.716)</f>
        <v>548161.28980515886</v>
      </c>
      <c r="E32" s="79" t="s">
        <v>196</v>
      </c>
      <c r="F32" s="10"/>
    </row>
    <row r="33" spans="1:6">
      <c r="A33" s="7"/>
      <c r="B33" s="8"/>
      <c r="C33" s="9"/>
      <c r="D33" s="9"/>
      <c r="E33" s="9"/>
      <c r="F33" s="10"/>
    </row>
    <row r="34" spans="1:6">
      <c r="A34" s="122" t="s">
        <v>197</v>
      </c>
      <c r="B34" s="8"/>
      <c r="C34" s="9" t="s">
        <v>72</v>
      </c>
      <c r="D34" s="11">
        <f>1010000*(D7)*((D11*D12)^0.4)*(D6^0.716)</f>
        <v>11647747.797659021</v>
      </c>
      <c r="E34" s="79" t="s">
        <v>198</v>
      </c>
      <c r="F34" s="10"/>
    </row>
    <row r="35" spans="1:6">
      <c r="A35" s="18"/>
      <c r="B35" s="8"/>
      <c r="C35" s="9"/>
      <c r="D35" s="9"/>
      <c r="E35" s="79"/>
      <c r="F35" s="10"/>
    </row>
    <row r="36" spans="1:6">
      <c r="A36" s="122" t="s">
        <v>199</v>
      </c>
      <c r="B36" s="8"/>
      <c r="C36" s="9" t="s">
        <v>72</v>
      </c>
      <c r="D36" s="11">
        <v>0</v>
      </c>
      <c r="E36" s="79" t="s">
        <v>200</v>
      </c>
      <c r="F36" s="10"/>
    </row>
    <row r="37" spans="1:6">
      <c r="A37" s="18"/>
      <c r="B37" s="8"/>
      <c r="C37" s="9"/>
      <c r="D37" s="9"/>
      <c r="E37" s="79"/>
      <c r="F37" s="10"/>
    </row>
    <row r="38" spans="1:6">
      <c r="A38" s="122" t="s">
        <v>201</v>
      </c>
      <c r="B38" s="8"/>
      <c r="C38" s="93" t="s">
        <v>72</v>
      </c>
      <c r="D38" s="11">
        <f>D28+D30+D32+D34+D36</f>
        <v>19638554.676513739</v>
      </c>
      <c r="E38" s="79" t="s">
        <v>202</v>
      </c>
      <c r="F38" s="10"/>
    </row>
    <row r="39" spans="1:6">
      <c r="A39" s="122" t="s">
        <v>76</v>
      </c>
      <c r="B39" s="8"/>
      <c r="C39" s="93" t="s">
        <v>72</v>
      </c>
      <c r="D39" s="11">
        <f>D38/(D6*1000)</f>
        <v>663.46468501735603</v>
      </c>
      <c r="E39" s="79" t="s">
        <v>203</v>
      </c>
      <c r="F39" s="10"/>
    </row>
    <row r="40" spans="1:6">
      <c r="A40" s="7"/>
      <c r="B40" s="8"/>
      <c r="C40" s="9"/>
      <c r="D40" s="9"/>
      <c r="E40" s="79"/>
      <c r="F40" s="10"/>
    </row>
    <row r="41" spans="1:6" ht="15">
      <c r="A41" s="12" t="s">
        <v>78</v>
      </c>
      <c r="B41" s="8"/>
      <c r="C41" s="9"/>
      <c r="D41" s="9"/>
      <c r="E41" s="79"/>
      <c r="F41" s="10"/>
    </row>
    <row r="42" spans="1:6" ht="15">
      <c r="A42" s="12"/>
      <c r="B42" s="8"/>
      <c r="C42" s="9"/>
      <c r="D42" s="9"/>
      <c r="E42" s="79"/>
      <c r="F42" s="10"/>
    </row>
    <row r="43" spans="1:6">
      <c r="A43" s="122" t="s">
        <v>79</v>
      </c>
      <c r="B43" s="8"/>
      <c r="C43" s="93" t="s">
        <v>72</v>
      </c>
      <c r="D43" s="13">
        <f>0.1*$D$38</f>
        <v>1963855.4676513739</v>
      </c>
      <c r="E43" s="82" t="s">
        <v>80</v>
      </c>
      <c r="F43" s="10"/>
    </row>
    <row r="44" spans="1:6">
      <c r="A44" s="122" t="s">
        <v>81</v>
      </c>
      <c r="B44" s="8"/>
      <c r="C44" s="93" t="s">
        <v>72</v>
      </c>
      <c r="D44" s="13">
        <f>0.1*$D$38</f>
        <v>1963855.4676513739</v>
      </c>
      <c r="E44" s="82" t="s">
        <v>82</v>
      </c>
      <c r="F44" s="10"/>
    </row>
    <row r="45" spans="1:6">
      <c r="A45" s="122" t="s">
        <v>83</v>
      </c>
      <c r="B45" s="8"/>
      <c r="C45" s="93" t="s">
        <v>72</v>
      </c>
      <c r="D45" s="13">
        <f>0.1*$D$38</f>
        <v>1963855.4676513739</v>
      </c>
      <c r="E45" s="82" t="s">
        <v>84</v>
      </c>
      <c r="F45" s="10"/>
    </row>
    <row r="46" spans="1:6">
      <c r="A46" s="7"/>
      <c r="B46" s="8"/>
      <c r="C46" s="9"/>
      <c r="D46" s="9"/>
      <c r="E46" s="79"/>
      <c r="F46" s="10"/>
    </row>
    <row r="47" spans="1:6" ht="15">
      <c r="A47" s="129" t="s">
        <v>85</v>
      </c>
      <c r="B47" s="8"/>
      <c r="C47" s="93" t="s">
        <v>72</v>
      </c>
      <c r="D47" s="68">
        <f>D38+D43+D44+D45</f>
        <v>25530121.079467863</v>
      </c>
      <c r="E47" s="79" t="s">
        <v>86</v>
      </c>
      <c r="F47" s="10"/>
    </row>
    <row r="48" spans="1:6" ht="15">
      <c r="A48" s="129" t="s">
        <v>204</v>
      </c>
      <c r="B48" s="8"/>
      <c r="C48" s="93" t="s">
        <v>72</v>
      </c>
      <c r="D48" s="77">
        <f>D47/(D6*1000)</f>
        <v>862.50409052256293</v>
      </c>
      <c r="E48" s="79" t="s">
        <v>88</v>
      </c>
      <c r="F48" s="10"/>
    </row>
    <row r="49" spans="1:6" ht="15">
      <c r="A49" s="12"/>
      <c r="B49" s="8"/>
      <c r="C49" s="93"/>
      <c r="D49" s="77"/>
      <c r="E49" s="79"/>
      <c r="F49" s="10"/>
    </row>
    <row r="50" spans="1:6" ht="14.25" customHeight="1">
      <c r="A50" s="122" t="s">
        <v>89</v>
      </c>
      <c r="B50" s="8"/>
      <c r="C50" s="93" t="s">
        <v>72</v>
      </c>
      <c r="D50" s="13">
        <f>0.05*D47</f>
        <v>1276506.0539733933</v>
      </c>
      <c r="E50" s="135" t="s">
        <v>90</v>
      </c>
      <c r="F50" s="136"/>
    </row>
    <row r="51" spans="1:6">
      <c r="A51" s="7"/>
      <c r="B51" s="8"/>
      <c r="C51" s="93"/>
      <c r="D51" s="13"/>
      <c r="E51" s="79"/>
      <c r="F51" s="10"/>
    </row>
    <row r="52" spans="1:6" ht="15">
      <c r="A52" s="129" t="s">
        <v>91</v>
      </c>
      <c r="B52" s="8"/>
      <c r="C52" s="93" t="s">
        <v>72</v>
      </c>
      <c r="D52" s="68">
        <f>D47+D50</f>
        <v>26806627.133441254</v>
      </c>
      <c r="E52" s="79" t="s">
        <v>92</v>
      </c>
      <c r="F52" s="10"/>
    </row>
    <row r="53" spans="1:6" ht="15">
      <c r="A53" s="129" t="s">
        <v>205</v>
      </c>
      <c r="B53" s="8"/>
      <c r="C53" s="93" t="s">
        <v>72</v>
      </c>
      <c r="D53" s="77">
        <f>D52/(D6*1000)</f>
        <v>905.62929504869101</v>
      </c>
      <c r="E53" s="79" t="s">
        <v>94</v>
      </c>
      <c r="F53" s="10"/>
    </row>
    <row r="54" spans="1:6" ht="15">
      <c r="A54" s="12"/>
      <c r="B54" s="8"/>
      <c r="C54" s="93"/>
      <c r="D54" s="77"/>
      <c r="E54" s="79"/>
      <c r="F54" s="10"/>
    </row>
    <row r="55" spans="1:6">
      <c r="A55" s="122" t="s">
        <v>168</v>
      </c>
      <c r="B55" s="8"/>
      <c r="C55" s="93" t="s">
        <v>72</v>
      </c>
      <c r="D55" s="123">
        <f>0.1*(D47+D50)</f>
        <v>2680662.7133441255</v>
      </c>
      <c r="E55" s="79" t="s">
        <v>206</v>
      </c>
      <c r="F55" s="10"/>
    </row>
    <row r="56" spans="1:6">
      <c r="A56" s="7"/>
      <c r="B56" s="8"/>
      <c r="C56" s="93"/>
      <c r="D56" s="9"/>
      <c r="E56" s="79"/>
      <c r="F56" s="10"/>
    </row>
    <row r="57" spans="1:6" ht="15">
      <c r="A57" s="129" t="s">
        <v>207</v>
      </c>
      <c r="B57" s="29"/>
      <c r="C57" s="24" t="s">
        <v>72</v>
      </c>
      <c r="D57" s="68">
        <f>D52+D55</f>
        <v>29487289.846785381</v>
      </c>
      <c r="E57" s="31" t="s">
        <v>98</v>
      </c>
      <c r="F57" s="32"/>
    </row>
    <row r="58" spans="1:6" ht="15">
      <c r="A58" s="129" t="s">
        <v>208</v>
      </c>
      <c r="B58" s="8"/>
      <c r="C58" s="93" t="s">
        <v>72</v>
      </c>
      <c r="D58" s="77">
        <f>D57/(D6*1000)</f>
        <v>996.19222455356021</v>
      </c>
      <c r="E58" s="31" t="s">
        <v>100</v>
      </c>
      <c r="F58" s="10"/>
    </row>
    <row r="59" spans="1:6" ht="15.75" thickBot="1">
      <c r="A59" s="104"/>
      <c r="B59" s="35"/>
      <c r="C59" s="105"/>
      <c r="D59" s="106"/>
      <c r="E59" s="124"/>
      <c r="F59" s="37"/>
    </row>
    <row r="60" spans="1:6" ht="15">
      <c r="A60" s="29"/>
      <c r="B60" s="8"/>
      <c r="C60" s="93"/>
      <c r="D60" s="77"/>
      <c r="E60" s="79"/>
      <c r="F60" s="8"/>
    </row>
    <row r="61" spans="1:6" ht="15">
      <c r="A61" s="29"/>
      <c r="B61" s="8"/>
      <c r="C61" s="93"/>
      <c r="D61" s="77"/>
      <c r="E61" s="79"/>
      <c r="F61" s="8"/>
    </row>
    <row r="62" spans="1:6" ht="15">
      <c r="A62" s="29"/>
      <c r="B62" s="8"/>
      <c r="C62" s="93"/>
      <c r="D62" s="77"/>
      <c r="E62" s="79"/>
      <c r="F62" s="8"/>
    </row>
    <row r="63" spans="1:6" ht="15">
      <c r="A63" s="29"/>
      <c r="B63" s="8"/>
      <c r="C63" s="93"/>
      <c r="D63" s="77"/>
      <c r="E63" s="79"/>
      <c r="F63" s="8"/>
    </row>
    <row r="64" spans="1:6" ht="15.75">
      <c r="A64" s="134" t="s">
        <v>180</v>
      </c>
      <c r="B64" s="134"/>
      <c r="C64" s="134"/>
      <c r="D64" s="134"/>
      <c r="E64" s="134"/>
      <c r="F64" s="134"/>
    </row>
    <row r="65" spans="1:8" ht="15.75" thickBot="1">
      <c r="A65" s="29"/>
      <c r="B65" s="8"/>
      <c r="C65" s="93"/>
      <c r="D65" s="77"/>
      <c r="E65" s="79"/>
      <c r="F65" s="8"/>
    </row>
    <row r="66" spans="1:8">
      <c r="A66" s="87"/>
      <c r="B66" s="88"/>
      <c r="C66" s="89"/>
      <c r="D66" s="89"/>
      <c r="E66" s="90"/>
      <c r="F66" s="91"/>
    </row>
    <row r="67" spans="1:8" ht="15">
      <c r="A67" s="43" t="s">
        <v>101</v>
      </c>
      <c r="B67" s="40"/>
      <c r="C67" s="41"/>
      <c r="D67" s="41"/>
      <c r="E67" s="130"/>
      <c r="F67" s="42"/>
    </row>
    <row r="68" spans="1:8" ht="15">
      <c r="A68" s="14" t="s">
        <v>169</v>
      </c>
      <c r="B68" s="15"/>
      <c r="C68" s="16"/>
      <c r="D68" s="16"/>
      <c r="E68" s="28"/>
      <c r="F68" s="17"/>
    </row>
    <row r="69" spans="1:8">
      <c r="A69" s="7"/>
      <c r="B69" s="8"/>
      <c r="C69" s="9"/>
      <c r="D69" s="9"/>
      <c r="E69" s="79"/>
      <c r="F69" s="10"/>
    </row>
    <row r="70" spans="1:8">
      <c r="A70" s="122" t="s">
        <v>209</v>
      </c>
      <c r="B70" s="8"/>
      <c r="C70" s="93" t="s">
        <v>72</v>
      </c>
      <c r="D70" s="80">
        <f>6*2080*D22/(D6*1000)</f>
        <v>25.297297297297298</v>
      </c>
      <c r="E70" s="79" t="s">
        <v>104</v>
      </c>
      <c r="F70" s="10"/>
    </row>
    <row r="71" spans="1:8">
      <c r="A71" s="122" t="s">
        <v>171</v>
      </c>
      <c r="B71" s="8"/>
      <c r="C71" s="93" t="s">
        <v>72</v>
      </c>
      <c r="D71" s="80">
        <f>D38*0.015/(D7*D6*1000)</f>
        <v>9.9519702752603401</v>
      </c>
      <c r="E71" s="79" t="s">
        <v>106</v>
      </c>
      <c r="F71" s="10"/>
    </row>
    <row r="72" spans="1:8">
      <c r="A72" s="122" t="s">
        <v>107</v>
      </c>
      <c r="B72" s="8"/>
      <c r="C72" s="93" t="s">
        <v>72</v>
      </c>
      <c r="D72" s="80">
        <f>0.03*(D70+0.4*D71)</f>
        <v>0.87834256222204299</v>
      </c>
      <c r="E72" s="79" t="s">
        <v>108</v>
      </c>
      <c r="F72" s="10"/>
    </row>
    <row r="73" spans="1:8">
      <c r="A73" s="122" t="s">
        <v>210</v>
      </c>
      <c r="B73" s="8"/>
      <c r="C73" s="93"/>
      <c r="D73" s="80">
        <v>0</v>
      </c>
      <c r="E73" s="79" t="s">
        <v>211</v>
      </c>
      <c r="F73" s="10"/>
    </row>
    <row r="74" spans="1:8">
      <c r="A74" s="122"/>
      <c r="B74" s="8"/>
      <c r="C74" s="9"/>
      <c r="D74" s="80"/>
      <c r="E74" s="79"/>
      <c r="F74" s="10"/>
    </row>
    <row r="75" spans="1:8" s="2" customFormat="1" ht="15">
      <c r="A75" s="129" t="s">
        <v>212</v>
      </c>
      <c r="B75" s="29"/>
      <c r="C75" s="24" t="s">
        <v>72</v>
      </c>
      <c r="D75" s="30">
        <f>D70+D71+D72+D73</f>
        <v>36.127610134779687</v>
      </c>
      <c r="E75" s="31" t="s">
        <v>110</v>
      </c>
      <c r="F75" s="32"/>
    </row>
    <row r="76" spans="1:8">
      <c r="A76" s="7"/>
      <c r="B76" s="8"/>
      <c r="C76" s="9"/>
      <c r="D76" s="80"/>
      <c r="E76" s="79"/>
      <c r="F76" s="10"/>
    </row>
    <row r="77" spans="1:8" s="2" customFormat="1" ht="15">
      <c r="A77" s="14" t="s">
        <v>111</v>
      </c>
      <c r="B77" s="15"/>
      <c r="C77" s="16"/>
      <c r="D77" s="16"/>
      <c r="E77" s="28"/>
      <c r="F77" s="17"/>
    </row>
    <row r="78" spans="1:8" s="2" customFormat="1" ht="15">
      <c r="A78" s="12"/>
      <c r="B78" s="29"/>
      <c r="C78" s="33"/>
      <c r="D78" s="30"/>
      <c r="E78" s="31"/>
      <c r="F78" s="32"/>
    </row>
    <row r="79" spans="1:8">
      <c r="A79" s="122" t="s">
        <v>172</v>
      </c>
      <c r="B79" s="8"/>
      <c r="C79" s="93" t="s">
        <v>72</v>
      </c>
      <c r="D79" s="80">
        <f>D14*D18/D6</f>
        <v>3.5040000000000002E-2</v>
      </c>
      <c r="E79" s="79" t="s">
        <v>213</v>
      </c>
      <c r="F79" s="10"/>
    </row>
    <row r="80" spans="1:8" ht="14.25" customHeight="1">
      <c r="A80" s="122" t="s">
        <v>174</v>
      </c>
      <c r="B80" s="8"/>
      <c r="C80" s="93" t="s">
        <v>72</v>
      </c>
      <c r="D80" s="125">
        <f>D15*D19/D6</f>
        <v>9.5186159999999992E-2</v>
      </c>
      <c r="E80" s="79" t="s">
        <v>175</v>
      </c>
      <c r="F80" s="127"/>
      <c r="H80" s="71"/>
    </row>
    <row r="81" spans="1:6">
      <c r="A81" s="122" t="s">
        <v>176</v>
      </c>
      <c r="B81" s="8"/>
      <c r="C81" s="93" t="s">
        <v>72</v>
      </c>
      <c r="D81" s="125">
        <f>D16*D20*10</f>
        <v>2.3881468128732717</v>
      </c>
      <c r="E81" s="135" t="s">
        <v>214</v>
      </c>
      <c r="F81" s="136"/>
    </row>
    <row r="82" spans="1:6">
      <c r="A82" s="122" t="s">
        <v>177</v>
      </c>
      <c r="B82" s="8"/>
      <c r="C82" s="9" t="s">
        <v>72</v>
      </c>
      <c r="D82" s="80">
        <f>D17*D21/D6</f>
        <v>0.56474892180000003</v>
      </c>
      <c r="E82" s="79" t="s">
        <v>178</v>
      </c>
      <c r="F82" s="10"/>
    </row>
    <row r="83" spans="1:6">
      <c r="A83" s="122" t="s">
        <v>215</v>
      </c>
      <c r="B83" s="8"/>
      <c r="C83" s="9" t="s">
        <v>72</v>
      </c>
      <c r="D83" s="80">
        <v>0</v>
      </c>
      <c r="E83" s="79" t="s">
        <v>216</v>
      </c>
      <c r="F83" s="10"/>
    </row>
    <row r="84" spans="1:6">
      <c r="A84" s="122"/>
      <c r="B84" s="8"/>
      <c r="C84" s="9"/>
      <c r="D84" s="80"/>
      <c r="E84" s="79"/>
      <c r="F84" s="10"/>
    </row>
    <row r="85" spans="1:6" ht="15">
      <c r="A85" s="129" t="s">
        <v>217</v>
      </c>
      <c r="B85" s="29"/>
      <c r="C85" s="24" t="s">
        <v>72</v>
      </c>
      <c r="D85" s="72">
        <f>D79+D80+D81+D82+D83</f>
        <v>3.0831218946732717</v>
      </c>
      <c r="E85" s="31" t="s">
        <v>119</v>
      </c>
      <c r="F85" s="10"/>
    </row>
    <row r="86" spans="1:6" ht="15" thickBot="1">
      <c r="A86" s="34"/>
      <c r="B86" s="35"/>
      <c r="C86" s="36"/>
      <c r="D86" s="36"/>
      <c r="E86" s="36"/>
      <c r="F86" s="37"/>
    </row>
    <row r="87" spans="1:6" ht="15">
      <c r="A87" s="44" t="s">
        <v>120</v>
      </c>
      <c r="B87" s="45"/>
      <c r="C87" s="46"/>
      <c r="D87" s="46"/>
      <c r="E87" s="47"/>
      <c r="F87" s="48"/>
    </row>
    <row r="88" spans="1:6">
      <c r="A88" s="49"/>
      <c r="B88" s="50"/>
      <c r="C88" s="9"/>
      <c r="D88" s="9"/>
      <c r="E88" s="9"/>
      <c r="F88" s="10"/>
    </row>
    <row r="89" spans="1:6">
      <c r="A89" s="122" t="s">
        <v>121</v>
      </c>
      <c r="B89" s="8"/>
      <c r="C89" s="93" t="s">
        <v>72</v>
      </c>
      <c r="D89" s="66">
        <f>0.6*D75*D6*1000</f>
        <v>641626.35599368729</v>
      </c>
      <c r="E89" s="79" t="s">
        <v>122</v>
      </c>
      <c r="F89" s="10"/>
    </row>
    <row r="90" spans="1:6">
      <c r="A90" s="122" t="s">
        <v>123</v>
      </c>
      <c r="B90" s="8"/>
      <c r="C90" s="93" t="s">
        <v>72</v>
      </c>
      <c r="D90" s="66">
        <f>0.02*D57</f>
        <v>589745.79693570768</v>
      </c>
      <c r="E90" s="79" t="s">
        <v>122</v>
      </c>
      <c r="F90" s="10"/>
    </row>
    <row r="91" spans="1:6">
      <c r="A91" s="122" t="s">
        <v>124</v>
      </c>
      <c r="B91" s="8"/>
      <c r="C91" s="93" t="s">
        <v>72</v>
      </c>
      <c r="D91" s="66">
        <f>0.01*D57</f>
        <v>294872.89846785384</v>
      </c>
      <c r="E91" s="79" t="s">
        <v>122</v>
      </c>
      <c r="F91" s="10"/>
    </row>
    <row r="92" spans="1:6">
      <c r="A92" s="122" t="s">
        <v>125</v>
      </c>
      <c r="B92" s="8"/>
      <c r="C92" s="93" t="s">
        <v>72</v>
      </c>
      <c r="D92" s="66">
        <f>0.01*D57</f>
        <v>294872.89846785384</v>
      </c>
      <c r="E92" s="79" t="s">
        <v>122</v>
      </c>
      <c r="F92" s="10"/>
    </row>
    <row r="93" spans="1:6" ht="16.5">
      <c r="A93" s="122" t="s">
        <v>126</v>
      </c>
      <c r="B93" s="8"/>
      <c r="F93" s="10"/>
    </row>
    <row r="94" spans="1:6">
      <c r="A94" s="128" t="s">
        <v>127</v>
      </c>
      <c r="B94" s="79">
        <v>5.5</v>
      </c>
      <c r="C94" s="93"/>
      <c r="D94" s="66"/>
      <c r="E94" s="9"/>
      <c r="F94" s="10"/>
    </row>
    <row r="95" spans="1:6">
      <c r="A95" s="128" t="s">
        <v>128</v>
      </c>
      <c r="B95" s="79">
        <v>15</v>
      </c>
      <c r="C95" s="9"/>
      <c r="D95" s="66"/>
      <c r="E95" s="9"/>
      <c r="F95" s="10"/>
    </row>
    <row r="96" spans="1:6" ht="17.25" customHeight="1">
      <c r="A96" s="122" t="s">
        <v>129</v>
      </c>
      <c r="B96" s="92">
        <f>((B94/100)*((1+(B94/100))^B95))/(((1+(B94/100))^B95)-1)</f>
        <v>9.9625597604811239E-2</v>
      </c>
      <c r="C96" s="93" t="s">
        <v>72</v>
      </c>
      <c r="D96" s="66">
        <f>B96*D57</f>
        <v>2937688.8727322766</v>
      </c>
      <c r="E96" s="79" t="s">
        <v>122</v>
      </c>
      <c r="F96" s="10"/>
    </row>
    <row r="97" spans="1:6" ht="17.25" customHeight="1">
      <c r="A97" s="49"/>
      <c r="B97" s="8"/>
      <c r="C97" s="9"/>
      <c r="D97" s="66"/>
      <c r="E97" s="9"/>
      <c r="F97" s="10"/>
    </row>
    <row r="98" spans="1:6" ht="15">
      <c r="A98" s="129" t="s">
        <v>130</v>
      </c>
      <c r="B98" s="8"/>
      <c r="C98" s="93" t="s">
        <v>72</v>
      </c>
      <c r="D98" s="54">
        <f>SUM(D89:D96)</f>
        <v>4758806.8225973789</v>
      </c>
      <c r="E98" s="9"/>
      <c r="F98" s="10"/>
    </row>
    <row r="99" spans="1:6">
      <c r="A99" s="49"/>
      <c r="B99" s="8"/>
      <c r="C99" s="9"/>
      <c r="D99" s="51"/>
      <c r="E99" s="9"/>
      <c r="F99" s="10"/>
    </row>
    <row r="100" spans="1:6" ht="15">
      <c r="A100" s="129" t="s">
        <v>131</v>
      </c>
      <c r="B100" s="29"/>
      <c r="C100" s="24" t="s">
        <v>72</v>
      </c>
      <c r="D100" s="54">
        <f>D75*D6*1000+D85*D6*8760+D98</f>
        <v>6627625.2573880581</v>
      </c>
      <c r="E100" s="9"/>
      <c r="F100" s="10"/>
    </row>
    <row r="101" spans="1:6" ht="15.75" thickBot="1">
      <c r="A101" s="52"/>
      <c r="B101" s="53"/>
      <c r="C101" s="36"/>
      <c r="D101" s="36"/>
      <c r="E101" s="36"/>
      <c r="F101" s="37"/>
    </row>
    <row r="102" spans="1:6">
      <c r="A102" s="25"/>
      <c r="B102" s="56"/>
      <c r="C102" s="26"/>
      <c r="D102" s="26"/>
      <c r="E102" s="26"/>
      <c r="F102" s="27"/>
    </row>
    <row r="103" spans="1:6">
      <c r="A103" s="122" t="s">
        <v>132</v>
      </c>
      <c r="B103" s="8"/>
      <c r="C103" s="93" t="s">
        <v>72</v>
      </c>
      <c r="D103" s="57">
        <v>584.6</v>
      </c>
      <c r="E103" s="9"/>
      <c r="F103" s="10"/>
    </row>
    <row r="104" spans="1:6">
      <c r="A104" s="122" t="s">
        <v>133</v>
      </c>
      <c r="B104" s="8"/>
      <c r="C104" s="93" t="s">
        <v>72</v>
      </c>
      <c r="D104" s="58">
        <v>536.4</v>
      </c>
      <c r="E104" s="9"/>
      <c r="F104" s="10"/>
    </row>
    <row r="105" spans="1:6">
      <c r="A105" s="7"/>
      <c r="B105" s="8"/>
      <c r="C105" s="9"/>
      <c r="D105" s="9"/>
      <c r="E105" s="9"/>
      <c r="F105" s="10"/>
    </row>
    <row r="106" spans="1:6" ht="15">
      <c r="A106" s="129" t="s">
        <v>134</v>
      </c>
      <c r="B106" s="29"/>
      <c r="C106" s="24" t="s">
        <v>72</v>
      </c>
      <c r="D106" s="68">
        <f>D100*D104/D103</f>
        <v>6081180.6159133669</v>
      </c>
      <c r="E106" s="9"/>
      <c r="F106" s="10"/>
    </row>
    <row r="107" spans="1:6" ht="15.75" thickBot="1">
      <c r="A107" s="52"/>
      <c r="B107" s="35"/>
      <c r="C107" s="36"/>
      <c r="D107" s="53"/>
      <c r="E107" s="36"/>
      <c r="F107" s="37"/>
    </row>
    <row r="108" spans="1:6">
      <c r="A108" s="59"/>
      <c r="B108" s="8"/>
      <c r="C108" s="9"/>
      <c r="D108" s="60"/>
      <c r="E108" s="9"/>
      <c r="F108" s="10"/>
    </row>
    <row r="109" spans="1:6" ht="18.75">
      <c r="A109" s="122" t="s">
        <v>135</v>
      </c>
      <c r="B109" s="64"/>
      <c r="C109" s="93" t="s">
        <v>72</v>
      </c>
      <c r="D109" s="61">
        <f>D9*(D13/1000000)*8760/2000</f>
        <v>259.29599999999999</v>
      </c>
      <c r="E109" s="9"/>
      <c r="F109" s="10"/>
    </row>
    <row r="110" spans="1:6" ht="18.75">
      <c r="A110" s="122" t="s">
        <v>136</v>
      </c>
      <c r="B110" s="8"/>
      <c r="C110" s="93" t="s">
        <v>72</v>
      </c>
      <c r="D110" s="73">
        <v>99</v>
      </c>
      <c r="E110" s="9"/>
      <c r="F110" s="10"/>
    </row>
    <row r="111" spans="1:6" ht="18.75">
      <c r="A111" s="122" t="s">
        <v>137</v>
      </c>
      <c r="B111" s="8"/>
      <c r="C111" s="93" t="s">
        <v>72</v>
      </c>
      <c r="D111" s="62">
        <f>D109*D110/100</f>
        <v>256.70303999999999</v>
      </c>
      <c r="E111" s="9"/>
      <c r="F111" s="10"/>
    </row>
    <row r="112" spans="1:6">
      <c r="A112" s="122"/>
      <c r="B112" s="8"/>
      <c r="C112" s="93"/>
      <c r="D112" s="62"/>
      <c r="E112" s="9"/>
      <c r="F112" s="10"/>
    </row>
    <row r="113" spans="1:6" ht="16.5">
      <c r="A113" s="129" t="s">
        <v>138</v>
      </c>
      <c r="B113" s="65"/>
      <c r="C113" s="93" t="s">
        <v>72</v>
      </c>
      <c r="D113" s="131">
        <f>D106/D111</f>
        <v>23689.554342299052</v>
      </c>
      <c r="E113" s="79" t="s">
        <v>218</v>
      </c>
      <c r="F113" s="10"/>
    </row>
    <row r="114" spans="1:6" ht="15" thickBot="1">
      <c r="A114" s="63"/>
      <c r="B114" s="35"/>
      <c r="C114" s="36"/>
      <c r="D114" s="55"/>
      <c r="E114" s="36"/>
      <c r="F114" s="37"/>
    </row>
  </sheetData>
  <mergeCells count="22">
    <mergeCell ref="E15:F15"/>
    <mergeCell ref="A3:F3"/>
    <mergeCell ref="E5:F5"/>
    <mergeCell ref="E6:F6"/>
    <mergeCell ref="E7:F7"/>
    <mergeCell ref="E8:F8"/>
    <mergeCell ref="E9:F9"/>
    <mergeCell ref="E10:F10"/>
    <mergeCell ref="E11:F11"/>
    <mergeCell ref="E12:F12"/>
    <mergeCell ref="E13:F13"/>
    <mergeCell ref="E14:F14"/>
    <mergeCell ref="E16:F16"/>
    <mergeCell ref="E18:F18"/>
    <mergeCell ref="E19:F19"/>
    <mergeCell ref="E20:F20"/>
    <mergeCell ref="E21:F21"/>
    <mergeCell ref="E81:F81"/>
    <mergeCell ref="E22:F22"/>
    <mergeCell ref="A23:F23"/>
    <mergeCell ref="E50:F50"/>
    <mergeCell ref="A64:F64"/>
  </mergeCells>
  <pageMargins left="0.7" right="0.27879901960784315" top="0.38124999999999998" bottom="0.47867647058823531" header="0.3" footer="0.62303921568627452"/>
  <pageSetup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xr3:uid="{51F8DEE0-4D01-5F28-A812-FC0BD7CAC4A5}"/>
  </sheetViews>
  <sheetFormatPr defaultRowHeight="1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4" ma:contentTypeDescription="Create a new document." ma:contentTypeScope="" ma:versionID="ce47493582fe43c9f8ff876a4a44062b">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1ad7ce35cadeca11010afe261b41172"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DA0879-3F85-4ED9-B9A4-67CA505C908F}"/>
</file>

<file path=customXml/itemProps2.xml><?xml version="1.0" encoding="utf-8"?>
<ds:datastoreItem xmlns:ds="http://schemas.openxmlformats.org/officeDocument/2006/customXml" ds:itemID="{00509994-29B5-4231-85DA-8657DE2084FF}"/>
</file>

<file path=customXml/itemProps3.xml><?xml version="1.0" encoding="utf-8"?>
<ds:datastoreItem xmlns:ds="http://schemas.openxmlformats.org/officeDocument/2006/customXml" ds:itemID="{B29C811C-DA0F-4117-9F9B-67A2D5077445}"/>
</file>

<file path=docProps/app.xml><?xml version="1.0" encoding="utf-8"?>
<Properties xmlns="http://schemas.openxmlformats.org/officeDocument/2006/extended-properties" xmlns:vt="http://schemas.openxmlformats.org/officeDocument/2006/docPropsVTypes">
  <Application>Microsoft Excel Online</Application>
  <Manager/>
  <Company>ERM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Kelley Hand</dc:creator>
  <cp:keywords/>
  <dc:description/>
  <cp:lastModifiedBy>Simpson, Aaron J (DEC)</cp:lastModifiedBy>
  <cp:revision/>
  <dcterms:created xsi:type="dcterms:W3CDTF">2017-10-23T20:23:20Z</dcterms:created>
  <dcterms:modified xsi:type="dcterms:W3CDTF">2019-04-29T18:15:00Z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0x010100EF08C179EEC2074C94A5872F733D36B4</vt:lpwstr>
  </property>
  <property fmtid="{D5CDD505-2E9C-101B-9397-08002B2CF9AE}" pid="4" name="ESRI_WORKBOOK_ID">
    <vt:lpwstr>89d5117d48fe461f9b664b6e07f5286f</vt:lpwstr>
  </property>
</Properties>
</file>