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userName="Alimi, Adeyemi" algorithmName="SHA-512" hashValue="DkEDJfu9Y1psIjh0mUTp0TJTfHZqYip5pr1OedtONb8kpQEbd0fVNXY2gE1y3xvvmw/M42tlyjwbs3pjSpC16Q==" saltValue="m0jE2mbI4w2i1CAYeXI4UA==" spinCount="100000"/>
  <workbookPr filterPrivacy="1" defaultThemeVersion="124226"/>
  <bookViews>
    <workbookView xWindow="15540" yWindow="720" windowWidth="20730" windowHeight="9630" tabRatio="687" activeTab="3"/>
  </bookViews>
  <sheets>
    <sheet name="5-1 Available-SO2" sheetId="15" r:id="rId1"/>
    <sheet name="5-2 Feasible-SO2" sheetId="10" r:id="rId2"/>
    <sheet name="5-3 Ranking-SO2" sheetId="13" r:id="rId3"/>
    <sheet name="5-4 EU ID 1 ULSD CE" sheetId="19" r:id="rId4"/>
    <sheet name="5-5 EU ID 2 ULSD CE" sheetId="20" r:id="rId5"/>
    <sheet name="5-10 TCI ULSD EU1-2" sheetId="26" r:id="rId6"/>
    <sheet name="ESRI_MAPINFO_SHEET" sheetId="27" state="veryHidden" r:id="rId7"/>
  </sheets>
  <externalReferences>
    <externalReference r:id="rId8"/>
    <externalReference r:id="rId9"/>
  </externalReferences>
  <definedNames>
    <definedName name="_xlnm.Print_Area" localSheetId="2">'5-3 Ranking-SO2'!$A$1:$F$18</definedName>
  </definedNames>
  <calcPr calcId="152511"/>
</workbook>
</file>

<file path=xl/calcChain.xml><?xml version="1.0" encoding="utf-8"?>
<calcChain xmlns="http://schemas.openxmlformats.org/spreadsheetml/2006/main">
  <c r="K15" i="19" l="1"/>
  <c r="E20" i="20" l="1"/>
  <c r="E11" i="13"/>
  <c r="K29" i="20"/>
  <c r="B8" i="26" l="1"/>
  <c r="B15" i="26"/>
  <c r="E8" i="26"/>
  <c r="E9" i="26" s="1"/>
  <c r="E10" i="26" s="1"/>
  <c r="D8" i="26"/>
  <c r="D9" i="26" s="1"/>
  <c r="D10" i="26" s="1"/>
  <c r="C8" i="26"/>
  <c r="C9" i="26" s="1"/>
  <c r="C10" i="26" s="1"/>
  <c r="B9" i="26"/>
  <c r="B10" i="26" s="1"/>
  <c r="B12" i="26" s="1"/>
  <c r="B11" i="26" l="1"/>
  <c r="B13" i="26"/>
  <c r="K23" i="19" s="1"/>
  <c r="C12" i="26"/>
  <c r="C11" i="26"/>
  <c r="D12" i="26"/>
  <c r="D11" i="26"/>
  <c r="D13" i="26" s="1"/>
  <c r="E12" i="26"/>
  <c r="E11" i="26"/>
  <c r="E13" i="26" l="1"/>
  <c r="C13" i="26"/>
  <c r="E9" i="13" l="1"/>
  <c r="E8" i="13"/>
  <c r="E6" i="13"/>
  <c r="E5" i="13"/>
  <c r="K32" i="20" l="1"/>
  <c r="K32" i="19"/>
  <c r="K33" i="19" l="1"/>
  <c r="K23" i="20"/>
  <c r="K33" i="20" s="1"/>
  <c r="D6" i="13" l="1"/>
  <c r="D5" i="13"/>
  <c r="F11" i="13" l="1"/>
  <c r="K21" i="20" l="1"/>
  <c r="I19" i="20"/>
  <c r="K19" i="20" s="1"/>
  <c r="I18" i="20"/>
  <c r="K18" i="20" s="1"/>
  <c r="H13" i="20"/>
  <c r="K13" i="20" s="1"/>
  <c r="I10" i="20"/>
  <c r="K10" i="20" s="1"/>
  <c r="I9" i="20"/>
  <c r="K9" i="20" s="1"/>
  <c r="E20" i="19"/>
  <c r="K21" i="19" s="1"/>
  <c r="I19" i="19"/>
  <c r="K19" i="19" s="1"/>
  <c r="I18" i="19"/>
  <c r="K18" i="19" s="1"/>
  <c r="H13" i="19"/>
  <c r="K13" i="19" s="1"/>
  <c r="I10" i="19"/>
  <c r="K10" i="19" s="1"/>
  <c r="I9" i="19"/>
  <c r="K9" i="19" s="1"/>
  <c r="K15" i="20" l="1"/>
  <c r="K25" i="20" l="1"/>
  <c r="K25" i="19"/>
  <c r="K31" i="19" l="1"/>
  <c r="D8" i="13" l="1"/>
  <c r="D9" i="13"/>
  <c r="E14" i="13" l="1"/>
  <c r="E13" i="13"/>
  <c r="F14" i="13" l="1"/>
  <c r="F6" i="13"/>
  <c r="F13" i="13"/>
  <c r="F5" i="13"/>
  <c r="K29" i="19" s="1"/>
  <c r="F8" i="13"/>
  <c r="K31" i="20" s="1"/>
  <c r="F9" i="13"/>
</calcChain>
</file>

<file path=xl/comments1.xml><?xml version="1.0" encoding="utf-8"?>
<comments xmlns="http://schemas.openxmlformats.org/spreadsheetml/2006/main">
  <authors>
    <author>Author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unlimited operation. 672 MMBtu/hr @ 8760 hrs/yr and HHV of 0.13 MMBtu/gallon.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#2 fuel oil based on data provided by GVEA.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limited operations. 672 MMBtu/hr @ 7992 hrs/yr and HHV of 0.13 MMBtu/gal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#2 fuel oil based on data provided by GVEA.</t>
        </r>
      </text>
    </comment>
  </commentList>
</comments>
</file>

<file path=xl/sharedStrings.xml><?xml version="1.0" encoding="utf-8"?>
<sst xmlns="http://schemas.openxmlformats.org/spreadsheetml/2006/main" count="231" uniqueCount="128">
  <si>
    <t>Good Combustion Practices</t>
  </si>
  <si>
    <t>Low Sulfur Fuel</t>
  </si>
  <si>
    <t>Limited Operation</t>
  </si>
  <si>
    <t>ULSD</t>
  </si>
  <si>
    <t>Emission Unit</t>
  </si>
  <si>
    <t>Combined Cycle Gas Turbine</t>
  </si>
  <si>
    <t>7</t>
  </si>
  <si>
    <t>1</t>
  </si>
  <si>
    <t>2</t>
  </si>
  <si>
    <t>Low Sulfur Fuel (0.05 wt. pct. S)</t>
  </si>
  <si>
    <t>Limited Operation + Low Sulfur Fuel (0.05 wt. pct. S)</t>
  </si>
  <si>
    <t>Simple Cycle Gas Turbine</t>
  </si>
  <si>
    <t>1, 2</t>
  </si>
  <si>
    <t>5, 6</t>
  </si>
  <si>
    <t>11, 12</t>
  </si>
  <si>
    <t>Propane-Fired Boiler</t>
  </si>
  <si>
    <t>Technically Feasible Control Technology</t>
  </si>
  <si>
    <t>Low Sulfur Fuel (existing)</t>
  </si>
  <si>
    <t>ULSD (0.0015 wt. pct. S)</t>
  </si>
  <si>
    <t>Limited Operation + ULSD (0.0015 wt. pct. S)</t>
  </si>
  <si>
    <t>Limited Operation (0.1 wt. pct. S) (existing)</t>
  </si>
  <si>
    <t>Emergency Generator Engine</t>
  </si>
  <si>
    <t xml:space="preserve"> </t>
  </si>
  <si>
    <r>
      <t>SO</t>
    </r>
    <r>
      <rPr>
        <b/>
        <vertAlign val="subscript"/>
        <sz val="11"/>
        <color indexed="8"/>
        <rFont val="Arial"/>
        <family val="2"/>
      </rPr>
      <t xml:space="preserve">2 </t>
    </r>
    <r>
      <rPr>
        <b/>
        <sz val="11"/>
        <color indexed="8"/>
        <rFont val="Arial"/>
        <family val="2"/>
      </rPr>
      <t>Emissions (tpy)</t>
    </r>
  </si>
  <si>
    <r>
      <t>SO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Emissions Reduction (tpy)</t>
    </r>
  </si>
  <si>
    <t>Shaded cells indicate user inputs</t>
  </si>
  <si>
    <t xml:space="preserve">Project:  </t>
  </si>
  <si>
    <t>Prepared By:</t>
  </si>
  <si>
    <t>Checked By:</t>
  </si>
  <si>
    <t>Rev:</t>
  </si>
  <si>
    <t>Annualized Costs</t>
  </si>
  <si>
    <t>DIRECT ANNUAL COSTS</t>
  </si>
  <si>
    <t>QTY</t>
  </si>
  <si>
    <t>UNIT</t>
  </si>
  <si>
    <t xml:space="preserve"> TOTAL MATERIALS COST</t>
  </si>
  <si>
    <t xml:space="preserve"> TOTAL LABOR COST</t>
  </si>
  <si>
    <t>TOTAL</t>
  </si>
  <si>
    <t>(1)</t>
  </si>
  <si>
    <t>Operating &amp; Maintenance Costs</t>
  </si>
  <si>
    <t>%</t>
  </si>
  <si>
    <t>(2)</t>
  </si>
  <si>
    <t>Repair &amp; Replacement Costs</t>
  </si>
  <si>
    <t>(3)</t>
  </si>
  <si>
    <t>Maintenance Materials</t>
  </si>
  <si>
    <t>LOT</t>
  </si>
  <si>
    <t>excluded in this estimate</t>
  </si>
  <si>
    <t>(4)</t>
  </si>
  <si>
    <t>Utilities</t>
  </si>
  <si>
    <t>(a)</t>
  </si>
  <si>
    <t>ULSD Costs:</t>
  </si>
  <si>
    <t>GAL</t>
  </si>
  <si>
    <t>Total Direct Annual Costs (TDAC)</t>
  </si>
  <si>
    <t xml:space="preserve"> TDAC   =</t>
  </si>
  <si>
    <t>INDIRECT ANNUAL COSTS</t>
  </si>
  <si>
    <t>(5)</t>
  </si>
  <si>
    <t>Overhead</t>
  </si>
  <si>
    <t>(6)</t>
  </si>
  <si>
    <t>Administrative Charges, Property Taxes, Insurance</t>
  </si>
  <si>
    <t>% of capital</t>
  </si>
  <si>
    <t>Capital Recovery Factor [see inputs below]</t>
  </si>
  <si>
    <t>(7)</t>
  </si>
  <si>
    <t>Capital Recovery</t>
  </si>
  <si>
    <t xml:space="preserve">CRF * TCI  = </t>
  </si>
  <si>
    <t xml:space="preserve"> TIAC   =</t>
  </si>
  <si>
    <t>TOTAL ANNUALIZED COSTS (TAC)</t>
  </si>
  <si>
    <t>TAC = (TDAC) + (TIAC)  =</t>
  </si>
  <si>
    <t>Cost Effectiveness Summary</t>
  </si>
  <si>
    <t>=</t>
  </si>
  <si>
    <t xml:space="preserve">(TAC)/(TPY)   = </t>
  </si>
  <si>
    <t>Data Inputs for Capital Recovery Factor:</t>
  </si>
  <si>
    <t xml:space="preserve">Annual Interest Rate (EPA OAQPS Control Cost Manual)  </t>
  </si>
  <si>
    <t xml:space="preserve">Project Life (EPA OAQPS Control Cost Manual) </t>
  </si>
  <si>
    <t>years</t>
  </si>
  <si>
    <t>the Diesel-fired Simple Cycle Gas Turbine (EU ID 1)</t>
  </si>
  <si>
    <t>Table 5-4. Annualized Costs for ULSD on</t>
  </si>
  <si>
    <t>Table 5-5. Annualized Costs for ULSD on</t>
  </si>
  <si>
    <t>the Diesel-fired Simple Cycle Gas Turbine (EU ID 2)</t>
  </si>
  <si>
    <t>Simple Cycle Turbine</t>
  </si>
  <si>
    <t>Low Sulfur Fuel (0.05 wt. pct. S) + Limited Operation</t>
  </si>
  <si>
    <t>ULSD (0.0015 wt. pct. S) + Limited Operation</t>
  </si>
  <si>
    <t>Emission Control Technology</t>
  </si>
  <si>
    <t>Control Efficiency (pct.)</t>
  </si>
  <si>
    <t>Available Emission Control Technology</t>
  </si>
  <si>
    <r>
      <t>GVEA North Pole - 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(EU ID 1 - GE Frame 7 CT)</t>
    </r>
  </si>
  <si>
    <r>
      <t>GVEA North Pole - 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(EU ID 2 - GE Frame 7 CT)</t>
    </r>
  </si>
  <si>
    <r>
      <t>Table 5-1. Summary of Available SO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Control Technology</t>
    </r>
  </si>
  <si>
    <r>
      <t>Table 5-2. Summary of Technically Feasible SO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Control Technology</t>
    </r>
  </si>
  <si>
    <r>
      <t>Table 5-3. Ranking of Technically Feasible SO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Control Technology</t>
    </r>
  </si>
  <si>
    <t>LSR</t>
  </si>
  <si>
    <t>Good Combustion Practices (0.50 wt. pct. S) (existing)</t>
  </si>
  <si>
    <t>Good Combustion Practices and LSR</t>
  </si>
  <si>
    <r>
      <t>TOTAL TONS SO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AVOIDED PER YEAR</t>
    </r>
  </si>
  <si>
    <t>LSR (0.0030 wt. pct. S) + Good Combustion Practices (existing)</t>
  </si>
  <si>
    <t>Combined Cycle Gas Turbines (per turbine)</t>
  </si>
  <si>
    <t>Heat Input, MMBtu/day (combined for each set of combustion turbines)</t>
  </si>
  <si>
    <t>Percentage of Heat Input</t>
  </si>
  <si>
    <t>Capital Cost (apportioned based on heat input ratio)</t>
  </si>
  <si>
    <t>Capital Cost (apportioned per combustion turbine)</t>
  </si>
  <si>
    <t>Capital Recovery (per combustion turbine)</t>
  </si>
  <si>
    <t>Administrative Charges, Property Taxes, Insurance (per combustion turbine)</t>
  </si>
  <si>
    <t>Total Annual Indirect Cost (per combustion turbine)</t>
  </si>
  <si>
    <t>Capital recovery factor</t>
  </si>
  <si>
    <t>Annual Interest Rate (EPA OAQPS Control</t>
  </si>
  <si>
    <t>pct.</t>
  </si>
  <si>
    <t xml:space="preserve">    Cost Manual)</t>
  </si>
  <si>
    <t>Project Life (EPA OAQPS Control Cost</t>
  </si>
  <si>
    <t xml:space="preserve">     Manual)</t>
  </si>
  <si>
    <t>Administrative Charges, Property Taxes</t>
  </si>
  <si>
    <t xml:space="preserve">     Insurance (percentage of total capital</t>
  </si>
  <si>
    <t xml:space="preserve">     cost)</t>
  </si>
  <si>
    <t>Capital cost estimate for 1.27 million gallons of storage capacity.</t>
  </si>
  <si>
    <t>Table 5-10. Capital Cost for New ULSD Storage Based on</t>
  </si>
  <si>
    <r>
      <t xml:space="preserve">Total Indirect Annual Costs (TIAC)  </t>
    </r>
    <r>
      <rPr>
        <b/>
        <sz val="11"/>
        <rFont val="Calibri"/>
        <family val="2"/>
        <scheme val="minor"/>
      </rPr>
      <t>(refer to Table 5-10)</t>
    </r>
  </si>
  <si>
    <r>
      <t xml:space="preserve">Total Indirect Annual Costs (TIAC) </t>
    </r>
    <r>
      <rPr>
        <b/>
        <sz val="11"/>
        <rFont val="Calibri"/>
        <family val="2"/>
        <scheme val="minor"/>
      </rPr>
      <t>(refer to Table 5-10)</t>
    </r>
  </si>
  <si>
    <t>COST EFFECTIVENESS ($ PER TON AVOIDED BASED ON PTE)</t>
  </si>
  <si>
    <r>
      <t>COST EFFECTIVENESS ($ PER TON PM AVOIDED BASED ON 6 TONS SO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AVOIDED = EQUIVALENT TO 1 TON PM AVOIDED)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</si>
  <si>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COST EFFECTIVENESS ($ PER TON PM AVOIDED BASED ON 6 TONS SO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AVOIDED =  1 TON PM AVOIDED)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</si>
  <si>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COST EFFECTIVENESS ($ PER TON AVOIDED BASED ON ACTUAL HISTORIC RUN TIMES, AVOIDING 142.3 TONS PER  YEAR)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</si>
  <si>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COST EFFECTIVENESS ($ PER TON AVOIDED BASED ON ACTUALS, AVOIDING 422.3 TONS PER  YEAR)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</si>
  <si>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Alaska Department of Environmental Conservation, Amendments to State Air Quality Control Plan Vol. III: Appendix III.D.5.7, page 52. In reference to fuel oil emissions,  "Ambient sampling and modeling in FNSB indicates that reduction of six tons of SO</t>
    </r>
    <r>
      <rPr>
        <vertAlign val="subscript"/>
        <sz val="12"/>
        <color theme="1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 xml:space="preserve"> emissions result in the same reduction in ambient PM</t>
    </r>
    <r>
      <rPr>
        <vertAlign val="subscript"/>
        <sz val="12"/>
        <color theme="1"/>
        <rFont val="Calibri"/>
        <family val="2"/>
        <scheme val="minor"/>
      </rPr>
      <t>2.5</t>
    </r>
    <r>
      <rPr>
        <sz val="12"/>
        <color theme="1"/>
        <rFont val="Calibri"/>
        <family val="2"/>
        <scheme val="minor"/>
      </rPr>
      <t xml:space="preserve"> concentration as the reduction of one ton of directly emitted PM</t>
    </r>
    <r>
      <rPr>
        <vertAlign val="subscript"/>
        <sz val="12"/>
        <color theme="1"/>
        <rFont val="Calibri"/>
        <family val="2"/>
        <scheme val="minor"/>
      </rPr>
      <t>2.5</t>
    </r>
    <r>
      <rPr>
        <sz val="12"/>
        <color theme="1"/>
        <rFont val="Calibri"/>
        <family val="2"/>
        <scheme val="minor"/>
      </rPr>
      <t>".</t>
    </r>
  </si>
  <si>
    <t>Maximum Fuel Use and Actual Fuel Use</t>
  </si>
  <si>
    <t>Capital Cost Estimate</t>
  </si>
  <si>
    <t>North Pole 
EUs 1 and 2 Maximum Fuel Use</t>
  </si>
  <si>
    <t>North Pole 
EUs 1 and 2 Actual Fuel Use</t>
  </si>
  <si>
    <t>Annual average run hours for EU 1  from 2009-2016 is 833 hours, and the peak in the last four years has been 587 hours.  833 hours equates to 4,305,969 gallons of fuel, a TDAC of $1,148,832, and a TAC of $3,068,356.  The capital cost of bulk fuel storage would be less and the TIAC for actuals is shown in Table 5-10.</t>
  </si>
  <si>
    <t>Annual average run hours for EU 2  from 2009-2016 is 2472 hours, and the peak in the last four years has been 2873 hours.  2472 hours equates to 12,778,338 gallons of fuel, a TDAC of $3,409,261, and a TAC of $5,328,784. The capital cost of bulk fuel storage would be less and the TIAC for actuals is shown in Table 5-10.</t>
  </si>
  <si>
    <t>Zehnder 
EUs 1 and 2 Maximum Fuel Use</t>
  </si>
  <si>
    <t>Zehnder 
EUs 1 and 2 Actual Fuel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</si>
</sst>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0"/>
    <numFmt numFmtId="166" formatCode="&quot;$&quot;#,##0"/>
    <numFmt numFmtId="167" formatCode="_(* #,##0_);_(* \(#,##0\);_(* &quot;-&quot;??_);_(@_)"/>
    <numFmt numFmtId="168" formatCode="#,##0.0"/>
    <numFmt numFmtId="169" formatCode="0.0%"/>
    <numFmt numFmtId="170" formatCode="_(&quot;$&quot;* #,##0_);_(&quot;$&quot;* \(#,##0\);_(&quot;$&quot;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vertAlign val="subscript"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Helvetica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vertAlign val="subscript"/>
      <sz val="12"/>
      <color theme="1"/>
      <name val="Calibri"/>
      <family val="2"/>
      <scheme val="minor"/>
    </font>
    <font>
      <sz val="12"/>
      <name val="Times New Roman"/>
      <family val="1"/>
    </font>
    <font>
      <b/>
      <vertAlign val="super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7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1">
    <xf numFmtId="0" fontId="0" fillId="0" borderId="0" xfId="0"/>
    <xf numFmtId="0" fontId="5" fillId="0" borderId="0" xfId="0" applyFont="1"/>
    <xf numFmtId="0" fontId="8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0" xfId="0" applyFont="1" applyAlignment="1">
      <alignment horizontal="centerContinuous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5" fillId="0" borderId="0" xfId="0" applyFont="1" applyFill="1"/>
    <xf numFmtId="0" fontId="0" fillId="0" borderId="40" xfId="0" applyBorder="1"/>
    <xf numFmtId="0" fontId="0" fillId="0" borderId="0" xfId="0" applyBorder="1"/>
    <xf numFmtId="0" fontId="0" fillId="0" borderId="32" xfId="0" applyBorder="1"/>
    <xf numFmtId="0" fontId="0" fillId="0" borderId="0" xfId="0" applyBorder="1" applyAlignment="1">
      <alignment horizontal="right"/>
    </xf>
    <xf numFmtId="0" fontId="0" fillId="0" borderId="41" xfId="0" applyBorder="1" applyAlignment="1">
      <alignment horizontal="right"/>
    </xf>
    <xf numFmtId="0" fontId="0" fillId="0" borderId="42" xfId="0" applyBorder="1"/>
    <xf numFmtId="0" fontId="0" fillId="0" borderId="28" xfId="0" applyBorder="1"/>
    <xf numFmtId="0" fontId="0" fillId="0" borderId="28" xfId="0" applyBorder="1" applyAlignment="1">
      <alignment horizontal="right"/>
    </xf>
    <xf numFmtId="0" fontId="0" fillId="0" borderId="43" xfId="0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0" fillId="0" borderId="45" xfId="0" applyBorder="1"/>
    <xf numFmtId="0" fontId="11" fillId="0" borderId="45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1" fillId="0" borderId="45" xfId="0" applyFont="1" applyFill="1" applyBorder="1" applyAlignment="1">
      <alignment horizontal="center"/>
    </xf>
    <xf numFmtId="0" fontId="11" fillId="0" borderId="46" xfId="0" applyFont="1" applyBorder="1" applyAlignment="1">
      <alignment horizontal="center"/>
    </xf>
    <xf numFmtId="49" fontId="0" fillId="0" borderId="40" xfId="0" applyNumberFormat="1" applyBorder="1"/>
    <xf numFmtId="9" fontId="0" fillId="4" borderId="1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2" fontId="0" fillId="0" borderId="0" xfId="0" applyNumberFormat="1" applyBorder="1"/>
    <xf numFmtId="42" fontId="0" fillId="0" borderId="0" xfId="0" applyNumberFormat="1" applyBorder="1" applyAlignment="1">
      <alignment horizontal="right"/>
    </xf>
    <xf numFmtId="42" fontId="0" fillId="0" borderId="41" xfId="0" applyNumberFormat="1" applyBorder="1"/>
    <xf numFmtId="0" fontId="0" fillId="4" borderId="10" xfId="0" applyFill="1" applyBorder="1" applyAlignment="1">
      <alignment horizontal="center"/>
    </xf>
    <xf numFmtId="44" fontId="0" fillId="0" borderId="0" xfId="0" applyNumberFormat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40" xfId="0" applyBorder="1" applyAlignment="1">
      <alignment horizontal="left"/>
    </xf>
    <xf numFmtId="49" fontId="14" fillId="0" borderId="0" xfId="0" applyNumberFormat="1" applyFont="1" applyBorder="1"/>
    <xf numFmtId="165" fontId="0" fillId="0" borderId="0" xfId="0" applyNumberFormat="1" applyFill="1" applyBorder="1"/>
    <xf numFmtId="42" fontId="15" fillId="0" borderId="0" xfId="0" applyNumberFormat="1" applyFont="1" applyBorder="1"/>
    <xf numFmtId="49" fontId="14" fillId="0" borderId="47" xfId="0" applyNumberFormat="1" applyFont="1" applyBorder="1"/>
    <xf numFmtId="49" fontId="14" fillId="0" borderId="35" xfId="0" applyNumberFormat="1" applyFont="1" applyBorder="1"/>
    <xf numFmtId="0" fontId="0" fillId="0" borderId="35" xfId="0" applyBorder="1" applyAlignment="1">
      <alignment horizontal="left"/>
    </xf>
    <xf numFmtId="165" fontId="0" fillId="0" borderId="35" xfId="0" applyNumberFormat="1" applyBorder="1" applyAlignment="1">
      <alignment horizontal="center"/>
    </xf>
    <xf numFmtId="44" fontId="0" fillId="0" borderId="35" xfId="0" applyNumberFormat="1" applyBorder="1" applyAlignment="1">
      <alignment horizontal="right"/>
    </xf>
    <xf numFmtId="42" fontId="0" fillId="0" borderId="35" xfId="0" applyNumberFormat="1" applyBorder="1" applyAlignment="1">
      <alignment horizontal="right"/>
    </xf>
    <xf numFmtId="42" fontId="0" fillId="0" borderId="35" xfId="0" applyNumberFormat="1" applyBorder="1"/>
    <xf numFmtId="42" fontId="15" fillId="0" borderId="35" xfId="0" applyNumberFormat="1" applyFont="1" applyBorder="1"/>
    <xf numFmtId="42" fontId="14" fillId="0" borderId="35" xfId="0" applyNumberFormat="1" applyFont="1" applyBorder="1" applyAlignment="1">
      <alignment horizontal="right"/>
    </xf>
    <xf numFmtId="42" fontId="0" fillId="0" borderId="48" xfId="0" applyNumberFormat="1" applyBorder="1"/>
    <xf numFmtId="42" fontId="14" fillId="0" borderId="0" xfId="0" applyNumberFormat="1" applyFont="1" applyBorder="1" applyAlignment="1">
      <alignment horizontal="right"/>
    </xf>
    <xf numFmtId="0" fontId="12" fillId="0" borderId="40" xfId="0" applyFont="1" applyBorder="1" applyAlignment="1">
      <alignment horizontal="left"/>
    </xf>
    <xf numFmtId="0" fontId="12" fillId="0" borderId="0" xfId="0" applyFont="1" applyBorder="1"/>
    <xf numFmtId="44" fontId="0" fillId="0" borderId="0" xfId="0" applyNumberFormat="1" applyBorder="1" applyAlignment="1">
      <alignment horizontal="right"/>
    </xf>
    <xf numFmtId="10" fontId="0" fillId="4" borderId="10" xfId="0" applyNumberForma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16" fillId="0" borderId="0" xfId="0" applyFont="1"/>
    <xf numFmtId="42" fontId="14" fillId="0" borderId="0" xfId="0" applyNumberFormat="1" applyFont="1" applyBorder="1"/>
    <xf numFmtId="42" fontId="13" fillId="0" borderId="0" xfId="0" applyNumberFormat="1" applyFont="1" applyBorder="1" applyAlignment="1">
      <alignment horizontal="right"/>
    </xf>
    <xf numFmtId="0" fontId="15" fillId="0" borderId="35" xfId="0" applyFont="1" applyBorder="1"/>
    <xf numFmtId="0" fontId="15" fillId="0" borderId="35" xfId="0" applyFont="1" applyBorder="1" applyAlignment="1">
      <alignment horizontal="center"/>
    </xf>
    <xf numFmtId="42" fontId="0" fillId="0" borderId="35" xfId="0" applyNumberFormat="1" applyFill="1" applyBorder="1"/>
    <xf numFmtId="49" fontId="11" fillId="0" borderId="40" xfId="0" applyNumberFormat="1" applyFont="1" applyBorder="1"/>
    <xf numFmtId="49" fontId="11" fillId="0" borderId="0" xfId="0" applyNumberFormat="1" applyFont="1" applyBorder="1"/>
    <xf numFmtId="49" fontId="17" fillId="0" borderId="47" xfId="0" applyNumberFormat="1" applyFont="1" applyBorder="1"/>
    <xf numFmtId="49" fontId="17" fillId="0" borderId="35" xfId="0" applyNumberFormat="1" applyFont="1" applyBorder="1"/>
    <xf numFmtId="0" fontId="0" fillId="0" borderId="35" xfId="0" applyBorder="1"/>
    <xf numFmtId="0" fontId="0" fillId="0" borderId="35" xfId="0" applyBorder="1" applyAlignment="1">
      <alignment horizontal="center"/>
    </xf>
    <xf numFmtId="42" fontId="14" fillId="0" borderId="35" xfId="0" applyNumberFormat="1" applyFont="1" applyBorder="1"/>
    <xf numFmtId="0" fontId="0" fillId="0" borderId="41" xfId="0" applyBorder="1"/>
    <xf numFmtId="0" fontId="12" fillId="0" borderId="40" xfId="0" applyFont="1" applyBorder="1"/>
    <xf numFmtId="49" fontId="0" fillId="0" borderId="0" xfId="0" applyNumberFormat="1" applyBorder="1" applyAlignment="1">
      <alignment horizontal="right"/>
    </xf>
    <xf numFmtId="0" fontId="12" fillId="0" borderId="53" xfId="0" applyFont="1" applyBorder="1"/>
    <xf numFmtId="0" fontId="12" fillId="0" borderId="54" xfId="0" applyFont="1" applyBorder="1"/>
    <xf numFmtId="0" fontId="0" fillId="0" borderId="54" xfId="0" applyBorder="1"/>
    <xf numFmtId="0" fontId="18" fillId="0" borderId="54" xfId="0" applyFont="1" applyBorder="1"/>
    <xf numFmtId="49" fontId="14" fillId="0" borderId="54" xfId="0" applyNumberFormat="1" applyFont="1" applyBorder="1" applyAlignment="1">
      <alignment horizontal="right"/>
    </xf>
    <xf numFmtId="0" fontId="11" fillId="0" borderId="56" xfId="0" applyFont="1" applyBorder="1" applyAlignment="1">
      <alignment horizontal="left"/>
    </xf>
    <xf numFmtId="0" fontId="11" fillId="0" borderId="5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58" xfId="0" applyBorder="1"/>
    <xf numFmtId="2" fontId="0" fillId="4" borderId="10" xfId="0" applyNumberFormat="1" applyFill="1" applyBorder="1" applyAlignment="1">
      <alignment horizontal="center"/>
    </xf>
    <xf numFmtId="0" fontId="0" fillId="0" borderId="36" xfId="0" applyBorder="1"/>
    <xf numFmtId="0" fontId="0" fillId="0" borderId="59" xfId="0" applyBorder="1"/>
    <xf numFmtId="0" fontId="0" fillId="4" borderId="13" xfId="0" applyFill="1" applyBorder="1" applyAlignment="1">
      <alignment horizontal="center"/>
    </xf>
    <xf numFmtId="0" fontId="0" fillId="0" borderId="60" xfId="0" applyBorder="1"/>
    <xf numFmtId="167" fontId="0" fillId="4" borderId="10" xfId="3" applyNumberFormat="1" applyFont="1" applyFill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0" fontId="23" fillId="0" borderId="0" xfId="0" applyFont="1"/>
    <xf numFmtId="0" fontId="5" fillId="0" borderId="0" xfId="0" applyFont="1" applyAlignment="1">
      <alignment wrapText="1"/>
    </xf>
    <xf numFmtId="0" fontId="25" fillId="0" borderId="0" xfId="0" applyFont="1"/>
    <xf numFmtId="0" fontId="2" fillId="0" borderId="0" xfId="0" applyFont="1"/>
    <xf numFmtId="3" fontId="0" fillId="4" borderId="52" xfId="0" applyNumberFormat="1" applyFill="1" applyBorder="1" applyAlignment="1">
      <alignment horizontal="center"/>
    </xf>
    <xf numFmtId="42" fontId="0" fillId="0" borderId="55" xfId="0" applyNumberFormat="1" applyFill="1" applyBorder="1"/>
    <xf numFmtId="164" fontId="5" fillId="0" borderId="10" xfId="0" applyNumberFormat="1" applyFont="1" applyFill="1" applyBorder="1" applyAlignment="1">
      <alignment horizontal="center"/>
    </xf>
    <xf numFmtId="168" fontId="5" fillId="0" borderId="6" xfId="0" applyNumberFormat="1" applyFont="1" applyFill="1" applyBorder="1" applyAlignment="1">
      <alignment horizontal="center" vertical="center"/>
    </xf>
    <xf numFmtId="168" fontId="5" fillId="0" borderId="11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0" fontId="22" fillId="0" borderId="0" xfId="4" applyFont="1" applyAlignment="1">
      <alignment horizontal="centerContinuous" vertical="center"/>
    </xf>
    <xf numFmtId="0" fontId="22" fillId="0" borderId="0" xfId="4" applyFont="1" applyAlignment="1">
      <alignment vertical="center"/>
    </xf>
    <xf numFmtId="0" fontId="1" fillId="0" borderId="0" xfId="4" applyFont="1" applyAlignment="1">
      <alignment vertical="center"/>
    </xf>
    <xf numFmtId="0" fontId="1" fillId="0" borderId="4" xfId="4" applyFont="1" applyBorder="1" applyAlignment="1">
      <alignment vertical="center"/>
    </xf>
    <xf numFmtId="0" fontId="1" fillId="0" borderId="0" xfId="4" applyFont="1" applyFill="1" applyAlignment="1">
      <alignment vertical="center"/>
    </xf>
    <xf numFmtId="0" fontId="18" fillId="0" borderId="0" xfId="0" applyFont="1" applyBorder="1"/>
    <xf numFmtId="49" fontId="14" fillId="0" borderId="0" xfId="0" applyNumberFormat="1" applyFont="1" applyBorder="1" applyAlignment="1">
      <alignment horizontal="right"/>
    </xf>
    <xf numFmtId="42" fontId="0" fillId="0" borderId="41" xfId="0" applyNumberFormat="1" applyFill="1" applyBorder="1"/>
    <xf numFmtId="0" fontId="6" fillId="0" borderId="16" xfId="0" applyFont="1" applyFill="1" applyBorder="1" applyAlignment="1">
      <alignment horizontal="center"/>
    </xf>
    <xf numFmtId="0" fontId="6" fillId="0" borderId="62" xfId="0" applyFont="1" applyFill="1" applyBorder="1" applyAlignment="1">
      <alignment horizontal="center"/>
    </xf>
    <xf numFmtId="0" fontId="6" fillId="0" borderId="63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6" fillId="0" borderId="16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wrapText="1"/>
    </xf>
    <xf numFmtId="0" fontId="6" fillId="0" borderId="67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/>
    </xf>
    <xf numFmtId="168" fontId="5" fillId="2" borderId="64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/>
    </xf>
    <xf numFmtId="168" fontId="5" fillId="2" borderId="11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68" fontId="5" fillId="2" borderId="13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68" fontId="5" fillId="0" borderId="24" xfId="0" applyNumberFormat="1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9" fillId="0" borderId="6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9" fillId="2" borderId="2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164" fontId="9" fillId="2" borderId="64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 wrapText="1"/>
    </xf>
    <xf numFmtId="164" fontId="9" fillId="2" borderId="13" xfId="0" applyNumberFormat="1" applyFont="1" applyFill="1" applyBorder="1" applyAlignment="1">
      <alignment horizontal="center" vertical="center"/>
    </xf>
    <xf numFmtId="164" fontId="9" fillId="2" borderId="15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wrapText="1"/>
    </xf>
    <xf numFmtId="0" fontId="5" fillId="0" borderId="2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8" fillId="2" borderId="69" xfId="0" quotePrefix="1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/>
    </xf>
    <xf numFmtId="0" fontId="5" fillId="2" borderId="70" xfId="0" applyFont="1" applyFill="1" applyBorder="1" applyAlignment="1">
      <alignment horizontal="center"/>
    </xf>
    <xf numFmtId="0" fontId="5" fillId="2" borderId="72" xfId="0" applyFont="1" applyFill="1" applyBorder="1" applyAlignment="1">
      <alignment horizontal="center"/>
    </xf>
    <xf numFmtId="0" fontId="29" fillId="0" borderId="0" xfId="0" applyFont="1" applyAlignment="1">
      <alignment horizontal="right" vertical="top"/>
    </xf>
    <xf numFmtId="0" fontId="6" fillId="5" borderId="23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1" fillId="0" borderId="7" xfId="10" applyFont="1" applyBorder="1" applyAlignment="1">
      <alignment vertical="center" wrapText="1"/>
    </xf>
    <xf numFmtId="3" fontId="1" fillId="0" borderId="10" xfId="10" applyNumberFormat="1" applyFont="1" applyBorder="1" applyAlignment="1">
      <alignment horizontal="center" vertical="center"/>
    </xf>
    <xf numFmtId="3" fontId="1" fillId="0" borderId="11" xfId="10" applyNumberFormat="1" applyFont="1" applyBorder="1" applyAlignment="1">
      <alignment horizontal="center" vertical="center"/>
    </xf>
    <xf numFmtId="169" fontId="1" fillId="0" borderId="10" xfId="11" applyNumberFormat="1" applyFont="1" applyBorder="1" applyAlignment="1">
      <alignment horizontal="center" vertical="center"/>
    </xf>
    <xf numFmtId="169" fontId="1" fillId="0" borderId="11" xfId="11" applyNumberFormat="1" applyFont="1" applyBorder="1" applyAlignment="1">
      <alignment horizontal="center" vertical="center"/>
    </xf>
    <xf numFmtId="0" fontId="1" fillId="0" borderId="7" xfId="10" applyFont="1" applyBorder="1" applyAlignment="1">
      <alignment horizontal="left" vertical="center" wrapText="1"/>
    </xf>
    <xf numFmtId="170" fontId="1" fillId="0" borderId="10" xfId="12" applyNumberFormat="1" applyFont="1" applyBorder="1" applyAlignment="1">
      <alignment vertical="center"/>
    </xf>
    <xf numFmtId="170" fontId="1" fillId="0" borderId="11" xfId="12" applyNumberFormat="1" applyFont="1" applyBorder="1" applyAlignment="1">
      <alignment vertical="center"/>
    </xf>
    <xf numFmtId="170" fontId="1" fillId="0" borderId="10" xfId="10" applyNumberFormat="1" applyFont="1" applyBorder="1" applyAlignment="1">
      <alignment vertical="center"/>
    </xf>
    <xf numFmtId="170" fontId="1" fillId="0" borderId="11" xfId="10" applyNumberFormat="1" applyFont="1" applyBorder="1" applyAlignment="1">
      <alignment vertical="center"/>
    </xf>
    <xf numFmtId="0" fontId="22" fillId="0" borderId="8" xfId="10" applyFont="1" applyBorder="1" applyAlignment="1">
      <alignment vertical="center" wrapText="1"/>
    </xf>
    <xf numFmtId="170" fontId="22" fillId="0" borderId="13" xfId="10" applyNumberFormat="1" applyFont="1" applyBorder="1" applyAlignment="1">
      <alignment vertical="center"/>
    </xf>
    <xf numFmtId="170" fontId="22" fillId="0" borderId="15" xfId="10" applyNumberFormat="1" applyFont="1" applyBorder="1" applyAlignment="1">
      <alignment vertical="center"/>
    </xf>
    <xf numFmtId="0" fontId="1" fillId="0" borderId="0" xfId="10" applyFont="1" applyAlignment="1">
      <alignment vertical="center"/>
    </xf>
    <xf numFmtId="165" fontId="1" fillId="4" borderId="10" xfId="10" applyNumberFormat="1" applyFont="1" applyFill="1" applyBorder="1" applyAlignment="1">
      <alignment vertical="center"/>
    </xf>
    <xf numFmtId="0" fontId="22" fillId="0" borderId="0" xfId="10" applyFont="1" applyBorder="1" applyAlignment="1">
      <alignment horizontal="left" vertical="center"/>
    </xf>
    <xf numFmtId="0" fontId="1" fillId="0" borderId="0" xfId="10" applyFont="1" applyBorder="1" applyAlignment="1">
      <alignment vertical="center"/>
    </xf>
    <xf numFmtId="0" fontId="22" fillId="0" borderId="0" xfId="10" applyFont="1" applyBorder="1" applyAlignment="1">
      <alignment horizontal="center" vertical="center"/>
    </xf>
    <xf numFmtId="2" fontId="1" fillId="4" borderId="10" xfId="10" applyNumberFormat="1" applyFont="1" applyFill="1" applyBorder="1" applyAlignment="1">
      <alignment horizontal="center" vertical="center"/>
    </xf>
    <xf numFmtId="0" fontId="1" fillId="4" borderId="10" xfId="10" applyFont="1" applyFill="1" applyBorder="1" applyAlignment="1">
      <alignment horizontal="center" vertical="center"/>
    </xf>
    <xf numFmtId="10" fontId="1" fillId="4" borderId="10" xfId="10" applyNumberFormat="1" applyFont="1" applyFill="1" applyBorder="1" applyAlignment="1">
      <alignment horizontal="center" vertical="center"/>
    </xf>
    <xf numFmtId="44" fontId="0" fillId="0" borderId="41" xfId="0" applyNumberFormat="1" applyFill="1" applyBorder="1"/>
    <xf numFmtId="0" fontId="1" fillId="0" borderId="0" xfId="4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1" xfId="10" applyFont="1" applyFill="1" applyBorder="1" applyAlignment="1">
      <alignment vertical="center"/>
    </xf>
    <xf numFmtId="0" fontId="22" fillId="5" borderId="2" xfId="10" applyFont="1" applyFill="1" applyBorder="1" applyAlignment="1">
      <alignment horizontal="center" vertical="center" wrapText="1"/>
    </xf>
    <xf numFmtId="0" fontId="22" fillId="5" borderId="3" xfId="1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0" borderId="17" xfId="0" quotePrefix="1" applyFont="1" applyBorder="1" applyAlignment="1">
      <alignment horizontal="center" vertical="center"/>
    </xf>
    <xf numFmtId="0" fontId="8" fillId="0" borderId="18" xfId="0" quotePrefix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2" borderId="19" xfId="0" quotePrefix="1" applyFont="1" applyFill="1" applyBorder="1" applyAlignment="1">
      <alignment horizontal="center" vertical="center"/>
    </xf>
    <xf numFmtId="0" fontId="8" fillId="2" borderId="7" xfId="0" quotePrefix="1" applyFont="1" applyFill="1" applyBorder="1" applyAlignment="1">
      <alignment horizontal="center" vertical="center"/>
    </xf>
    <xf numFmtId="0" fontId="8" fillId="3" borderId="4" xfId="0" quotePrefix="1" applyFont="1" applyFill="1" applyBorder="1" applyAlignment="1">
      <alignment horizontal="center" vertical="center"/>
    </xf>
    <xf numFmtId="0" fontId="8" fillId="3" borderId="25" xfId="0" quotePrefix="1" applyFont="1" applyFill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3" borderId="7" xfId="0" quotePrefix="1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2" borderId="33" xfId="0" quotePrefix="1" applyFont="1" applyFill="1" applyBorder="1" applyAlignment="1">
      <alignment horizontal="center" vertical="center"/>
    </xf>
    <xf numFmtId="0" fontId="8" fillId="2" borderId="18" xfId="0" quotePrefix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1" fillId="0" borderId="0" xfId="2" applyFont="1" applyAlignment="1">
      <alignment horizontal="center"/>
    </xf>
    <xf numFmtId="0" fontId="30" fillId="0" borderId="0" xfId="0" applyFont="1" applyAlignment="1">
      <alignment vertical="top" wrapText="1"/>
    </xf>
    <xf numFmtId="0" fontId="0" fillId="4" borderId="37" xfId="0" applyFill="1" applyBorder="1" applyAlignment="1">
      <alignment horizontal="right"/>
    </xf>
    <xf numFmtId="0" fontId="0" fillId="4" borderId="38" xfId="0" applyFill="1" applyBorder="1" applyAlignment="1">
      <alignment horizontal="right"/>
    </xf>
    <xf numFmtId="0" fontId="0" fillId="4" borderId="39" xfId="0" applyFill="1" applyBorder="1" applyAlignment="1">
      <alignment horizontal="right"/>
    </xf>
    <xf numFmtId="0" fontId="12" fillId="5" borderId="4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5" borderId="41" xfId="0" applyFont="1" applyFill="1" applyBorder="1" applyAlignment="1">
      <alignment horizontal="center"/>
    </xf>
    <xf numFmtId="0" fontId="12" fillId="5" borderId="49" xfId="0" applyFont="1" applyFill="1" applyBorder="1" applyAlignment="1">
      <alignment horizontal="center"/>
    </xf>
    <xf numFmtId="0" fontId="12" fillId="5" borderId="50" xfId="0" applyFont="1" applyFill="1" applyBorder="1" applyAlignment="1">
      <alignment horizontal="center"/>
    </xf>
    <xf numFmtId="0" fontId="12" fillId="5" borderId="51" xfId="0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1" fillId="0" borderId="0" xfId="10" applyFont="1" applyBorder="1" applyAlignment="1">
      <alignment horizontal="left" vertical="center" wrapText="1"/>
    </xf>
    <xf numFmtId="0" fontId="1" fillId="0" borderId="30" xfId="10" applyFont="1" applyBorder="1" applyAlignment="1">
      <alignment horizontal="left" vertical="center" wrapText="1"/>
    </xf>
    <xf numFmtId="166" fontId="1" fillId="0" borderId="73" xfId="4" applyNumberFormat="1" applyFont="1" applyBorder="1" applyAlignment="1">
      <alignment horizontal="center" vertical="center" wrapText="1"/>
    </xf>
    <xf numFmtId="166" fontId="1" fillId="0" borderId="74" xfId="4" applyNumberFormat="1" applyFont="1" applyBorder="1" applyAlignment="1">
      <alignment horizontal="center" vertical="center" wrapText="1"/>
    </xf>
    <xf numFmtId="166" fontId="1" fillId="0" borderId="34" xfId="0" applyNumberFormat="1" applyFont="1" applyBorder="1" applyAlignment="1">
      <alignment horizontal="center"/>
    </xf>
    <xf numFmtId="166" fontId="1" fillId="0" borderId="74" xfId="0" applyNumberFormat="1" applyFont="1" applyBorder="1" applyAlignment="1">
      <alignment horizontal="center"/>
    </xf>
  </cellXfs>
  <cellStyles count="13">
    <cellStyle name="Comma" xfId="3" builtinId="3"/>
    <cellStyle name="Comma 2" xfId="7"/>
    <cellStyle name="Currency 2" xfId="6"/>
    <cellStyle name="Currency 3" xfId="12"/>
    <cellStyle name="Normal" xfId="0" builtinId="0"/>
    <cellStyle name="Normal 12" xfId="2"/>
    <cellStyle name="Normal 18" xfId="8"/>
    <cellStyle name="Normal 19" xfId="10"/>
    <cellStyle name="Normal 2" xfId="1"/>
    <cellStyle name="Normal 3" xfId="4"/>
    <cellStyle name="Normal 4" xfId="9"/>
    <cellStyle name="Percent 2" xfId="5"/>
    <cellStyle name="Percent 6" xfId="1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airbanks/Projects%20and%20Proposals/GVEA/Multiple%20Sites%20-%20Air%20Quality/PM%202.5%20Nonattainment/NAA%20BACT/North%20Pole/SCI%20Tables%20and%20Costs/ULSD%20(No%20Tank)%20-%20GVEA%20NP%20EUID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airbanks/Projects%20and%20Proposals/GVEA/Multiple%20Sites%20-%20Air%20Quality/PM%202.5%20Nonattainment/NAA%20BACT/North%20Pole/SCI%20Tables%20and%20Costs/ULSD%20(No%20Tank)%20-%20GVEA%20NP%20EUID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pital Investment"/>
      <sheetName val="Cost Effectiveness"/>
      <sheetName val="Sheet3"/>
    </sheetNames>
    <sheetDataSet>
      <sheetData sheetId="0">
        <row r="44">
          <cell r="K44">
            <v>0</v>
          </cell>
        </row>
        <row r="47">
          <cell r="K47">
            <v>0</v>
          </cell>
        </row>
        <row r="62">
          <cell r="K62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pital Investment"/>
      <sheetName val="Cost Effectiveness"/>
      <sheetName val="Sheet3"/>
    </sheetNames>
    <sheetDataSet>
      <sheetData sheetId="0">
        <row r="44">
          <cell r="K44">
            <v>0</v>
          </cell>
        </row>
        <row r="47">
          <cell r="K47">
            <v>0</v>
          </cell>
        </row>
        <row r="62">
          <cell r="K62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view="pageLayout" zoomScale="130" zoomScaleNormal="100" zoomScalePageLayoutView="130" workbookViewId="0">
      <selection activeCell="C51" sqref="C51"/>
    </sheetView>
  </sheetViews>
  <sheetFormatPr defaultColWidth="8.85546875" defaultRowHeight="14.25" x14ac:dyDescent="0.2"/>
  <cols>
    <col min="1" max="1" width="9.42578125" style="1" customWidth="1"/>
    <col min="2" max="2" width="34.7109375" style="1" customWidth="1"/>
    <col min="3" max="3" width="50.7109375" style="1" customWidth="1"/>
    <col min="4" max="5" width="13.7109375" style="1" customWidth="1"/>
    <col min="6" max="16384" width="8.85546875" style="1"/>
  </cols>
  <sheetData>
    <row r="1" spans="1:4" ht="30" customHeight="1" x14ac:dyDescent="0.25">
      <c r="A1" s="197" t="s">
        <v>85</v>
      </c>
      <c r="B1" s="197"/>
      <c r="C1" s="197"/>
    </row>
    <row r="2" spans="1:4" ht="15" thickBot="1" x14ac:dyDescent="0.25">
      <c r="A2" s="2"/>
      <c r="B2" s="2"/>
      <c r="C2" s="2"/>
    </row>
    <row r="3" spans="1:4" ht="62.25" customHeight="1" thickBot="1" x14ac:dyDescent="0.25">
      <c r="A3" s="198" t="s">
        <v>4</v>
      </c>
      <c r="B3" s="199"/>
      <c r="C3" s="160" t="s">
        <v>82</v>
      </c>
    </row>
    <row r="4" spans="1:4" ht="16.5" thickTop="1" thickBot="1" x14ac:dyDescent="0.3">
      <c r="A4" s="109"/>
      <c r="B4" s="110"/>
      <c r="C4" s="111"/>
      <c r="D4" s="12"/>
    </row>
    <row r="5" spans="1:4" s="12" customFormat="1" x14ac:dyDescent="0.2">
      <c r="A5" s="189" t="s">
        <v>12</v>
      </c>
      <c r="B5" s="200" t="s">
        <v>11</v>
      </c>
      <c r="C5" s="112" t="s">
        <v>3</v>
      </c>
    </row>
    <row r="6" spans="1:4" x14ac:dyDescent="0.2">
      <c r="A6" s="190"/>
      <c r="B6" s="201"/>
      <c r="C6" s="113" t="s">
        <v>1</v>
      </c>
    </row>
    <row r="7" spans="1:4" ht="15" thickBot="1" x14ac:dyDescent="0.25">
      <c r="A7" s="191"/>
      <c r="B7" s="202"/>
      <c r="C7" s="114" t="s">
        <v>0</v>
      </c>
    </row>
    <row r="8" spans="1:4" x14ac:dyDescent="0.2">
      <c r="A8" s="192" t="s">
        <v>13</v>
      </c>
      <c r="B8" s="203" t="s">
        <v>5</v>
      </c>
      <c r="C8" s="6" t="s">
        <v>3</v>
      </c>
    </row>
    <row r="9" spans="1:4" x14ac:dyDescent="0.2">
      <c r="A9" s="193"/>
      <c r="B9" s="204"/>
      <c r="C9" s="3" t="s">
        <v>88</v>
      </c>
    </row>
    <row r="10" spans="1:4" x14ac:dyDescent="0.2">
      <c r="A10" s="193"/>
      <c r="B10" s="204"/>
      <c r="C10" s="3" t="s">
        <v>2</v>
      </c>
    </row>
    <row r="11" spans="1:4" ht="15" thickBot="1" x14ac:dyDescent="0.25">
      <c r="A11" s="194"/>
      <c r="B11" s="205"/>
      <c r="C11" s="115" t="s">
        <v>0</v>
      </c>
    </row>
    <row r="12" spans="1:4" ht="36" customHeight="1" x14ac:dyDescent="0.2">
      <c r="A12" s="189">
        <v>7</v>
      </c>
      <c r="B12" s="206" t="s">
        <v>21</v>
      </c>
      <c r="C12" s="112" t="s">
        <v>3</v>
      </c>
    </row>
    <row r="13" spans="1:4" x14ac:dyDescent="0.2">
      <c r="A13" s="190"/>
      <c r="B13" s="207"/>
      <c r="C13" s="113" t="s">
        <v>1</v>
      </c>
    </row>
    <row r="14" spans="1:4" x14ac:dyDescent="0.2">
      <c r="A14" s="190"/>
      <c r="B14" s="207"/>
      <c r="C14" s="113" t="s">
        <v>2</v>
      </c>
    </row>
    <row r="15" spans="1:4" ht="15" thickBot="1" x14ac:dyDescent="0.25">
      <c r="A15" s="191"/>
      <c r="B15" s="208"/>
      <c r="C15" s="114" t="s">
        <v>0</v>
      </c>
    </row>
    <row r="16" spans="1:4" x14ac:dyDescent="0.2">
      <c r="A16" s="195" t="s">
        <v>14</v>
      </c>
      <c r="B16" s="209" t="s">
        <v>15</v>
      </c>
      <c r="C16" s="6" t="s">
        <v>1</v>
      </c>
    </row>
    <row r="17" spans="1:3" ht="16.5" customHeight="1" thickBot="1" x14ac:dyDescent="0.25">
      <c r="A17" s="196"/>
      <c r="B17" s="210"/>
      <c r="C17" s="4" t="s">
        <v>0</v>
      </c>
    </row>
  </sheetData>
  <mergeCells count="10">
    <mergeCell ref="A5:A7"/>
    <mergeCell ref="A8:A11"/>
    <mergeCell ref="A12:A15"/>
    <mergeCell ref="A16:A17"/>
    <mergeCell ref="A1:C1"/>
    <mergeCell ref="A3:B3"/>
    <mergeCell ref="B5:B7"/>
    <mergeCell ref="B8:B11"/>
    <mergeCell ref="B12:B15"/>
    <mergeCell ref="B16:B17"/>
  </mergeCells>
  <printOptions horizontalCentered="1"/>
  <pageMargins left="0.7" right="0.7" top="0.75" bottom="0.75" header="0.3" footer="0.3"/>
  <pageSetup scale="80" firstPageNumber="93" orientation="portrait" useFirstPageNumber="1" r:id="rId1"/>
  <headerFooter>
    <oddHeader>&amp;L&amp;"Times New Roman,Bold"&amp;14Appendix III.D.7, Public Notice Draft May 10, 2019</oddHeader>
    <oddFooter>&amp;L&amp;"Arial,Regular"&amp;8GVEA - North Pole Facility
PM&amp;Y2.5&amp;Y Serious NAA BACT Analysis&amp;R&amp;"Arial,Regular"&amp;8August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view="pageLayout" zoomScale="110" zoomScaleNormal="100" zoomScalePageLayoutView="110" workbookViewId="0">
      <selection activeCell="C51" sqref="C51"/>
    </sheetView>
  </sheetViews>
  <sheetFormatPr defaultColWidth="8.85546875" defaultRowHeight="14.25" x14ac:dyDescent="0.2"/>
  <cols>
    <col min="1" max="1" width="9.42578125" style="1" customWidth="1"/>
    <col min="2" max="2" width="34.7109375" style="1" customWidth="1"/>
    <col min="3" max="3" width="50.7109375" style="1" customWidth="1"/>
    <col min="4" max="5" width="13.7109375" style="1" customWidth="1"/>
    <col min="6" max="16384" width="8.85546875" style="1"/>
  </cols>
  <sheetData>
    <row r="1" spans="1:4" ht="30" customHeight="1" x14ac:dyDescent="0.25">
      <c r="A1" s="197" t="s">
        <v>86</v>
      </c>
      <c r="B1" s="197"/>
      <c r="C1" s="197"/>
    </row>
    <row r="2" spans="1:4" ht="15.75" thickBot="1" x14ac:dyDescent="0.3">
      <c r="A2" s="5"/>
      <c r="B2" s="5"/>
      <c r="C2" s="5"/>
    </row>
    <row r="3" spans="1:4" ht="62.25" customHeight="1" thickBot="1" x14ac:dyDescent="0.25">
      <c r="A3" s="217" t="s">
        <v>4</v>
      </c>
      <c r="B3" s="218"/>
      <c r="C3" s="160" t="s">
        <v>16</v>
      </c>
    </row>
    <row r="4" spans="1:4" ht="16.5" thickTop="1" thickBot="1" x14ac:dyDescent="0.25">
      <c r="A4" s="116"/>
      <c r="B4" s="117"/>
      <c r="C4" s="118"/>
      <c r="D4" s="12"/>
    </row>
    <row r="5" spans="1:4" s="12" customFormat="1" x14ac:dyDescent="0.2">
      <c r="A5" s="224" t="s">
        <v>12</v>
      </c>
      <c r="B5" s="219" t="s">
        <v>11</v>
      </c>
      <c r="C5" s="112" t="s">
        <v>3</v>
      </c>
    </row>
    <row r="6" spans="1:4" x14ac:dyDescent="0.2">
      <c r="A6" s="225"/>
      <c r="B6" s="220"/>
      <c r="C6" s="113" t="s">
        <v>1</v>
      </c>
    </row>
    <row r="7" spans="1:4" ht="15" thickBot="1" x14ac:dyDescent="0.25">
      <c r="A7" s="191"/>
      <c r="B7" s="221"/>
      <c r="C7" s="114" t="s">
        <v>0</v>
      </c>
    </row>
    <row r="8" spans="1:4" x14ac:dyDescent="0.2">
      <c r="A8" s="226" t="s">
        <v>13</v>
      </c>
      <c r="B8" s="222" t="s">
        <v>5</v>
      </c>
      <c r="C8" s="6" t="s">
        <v>3</v>
      </c>
    </row>
    <row r="9" spans="1:4" ht="15" thickBot="1" x14ac:dyDescent="0.25">
      <c r="A9" s="227"/>
      <c r="B9" s="223"/>
      <c r="C9" s="119" t="s">
        <v>90</v>
      </c>
    </row>
    <row r="10" spans="1:4" x14ac:dyDescent="0.2">
      <c r="A10" s="224" t="s">
        <v>6</v>
      </c>
      <c r="B10" s="219" t="s">
        <v>21</v>
      </c>
      <c r="C10" s="112" t="s">
        <v>3</v>
      </c>
    </row>
    <row r="11" spans="1:4" x14ac:dyDescent="0.2">
      <c r="A11" s="190"/>
      <c r="B11" s="220"/>
      <c r="C11" s="113" t="s">
        <v>1</v>
      </c>
    </row>
    <row r="12" spans="1:4" ht="36" customHeight="1" x14ac:dyDescent="0.2">
      <c r="A12" s="190"/>
      <c r="B12" s="220"/>
      <c r="C12" s="113" t="s">
        <v>2</v>
      </c>
    </row>
    <row r="13" spans="1:4" ht="15" thickBot="1" x14ac:dyDescent="0.25">
      <c r="A13" s="191"/>
      <c r="B13" s="221"/>
      <c r="C13" s="114" t="s">
        <v>0</v>
      </c>
    </row>
    <row r="14" spans="1:4" x14ac:dyDescent="0.2">
      <c r="A14" s="213" t="s">
        <v>14</v>
      </c>
      <c r="B14" s="215" t="s">
        <v>15</v>
      </c>
      <c r="C14" s="6" t="s">
        <v>1</v>
      </c>
    </row>
    <row r="15" spans="1:4" ht="15" thickBot="1" x14ac:dyDescent="0.25">
      <c r="A15" s="214"/>
      <c r="B15" s="216"/>
      <c r="C15" s="4" t="s">
        <v>0</v>
      </c>
    </row>
    <row r="16" spans="1:4" x14ac:dyDescent="0.2">
      <c r="C16" s="7"/>
    </row>
    <row r="17" spans="1:3" x14ac:dyDescent="0.2">
      <c r="A17" s="1" t="s">
        <v>22</v>
      </c>
    </row>
    <row r="18" spans="1:3" ht="27.6" customHeight="1" x14ac:dyDescent="0.2">
      <c r="A18" s="211" t="s">
        <v>22</v>
      </c>
      <c r="B18" s="212"/>
      <c r="C18" s="212"/>
    </row>
    <row r="26" spans="1:3" x14ac:dyDescent="0.2">
      <c r="C26" s="92"/>
    </row>
  </sheetData>
  <mergeCells count="11">
    <mergeCell ref="A18:C18"/>
    <mergeCell ref="A14:A15"/>
    <mergeCell ref="B14:B15"/>
    <mergeCell ref="A1:C1"/>
    <mergeCell ref="A3:B3"/>
    <mergeCell ref="B5:B7"/>
    <mergeCell ref="B8:B9"/>
    <mergeCell ref="B10:B13"/>
    <mergeCell ref="A5:A7"/>
    <mergeCell ref="A8:A9"/>
    <mergeCell ref="A10:A13"/>
  </mergeCells>
  <printOptions horizontalCentered="1"/>
  <pageMargins left="0.7" right="0.7" top="0.75" bottom="0.75" header="0.3" footer="0.3"/>
  <pageSetup scale="80" firstPageNumber="93" orientation="portrait" useFirstPageNumber="1" r:id="rId1"/>
  <headerFooter>
    <oddHeader>&amp;L&amp;"Times New Roman,Bold"&amp;14Appendix III.D.7, Public Notice Draft May 10, 2019</oddHeader>
    <oddFooter>&amp;L&amp;"Arial,Regular"&amp;8GVEA - North Pole Facility
PM&amp;Y2.5&amp;Y Serious NAA BACT Analysis&amp;R&amp;"Arial,Regular"&amp;8August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Layout" zoomScaleNormal="100" workbookViewId="0">
      <selection activeCell="C51" sqref="C51"/>
    </sheetView>
  </sheetViews>
  <sheetFormatPr defaultColWidth="8.85546875" defaultRowHeight="14.25" x14ac:dyDescent="0.2"/>
  <cols>
    <col min="1" max="1" width="8.7109375" style="1" customWidth="1"/>
    <col min="2" max="2" width="32.28515625" style="1" customWidth="1"/>
    <col min="3" max="3" width="47.140625" style="1" customWidth="1"/>
    <col min="4" max="4" width="14" style="8" customWidth="1"/>
    <col min="5" max="5" width="12.7109375" style="8" customWidth="1"/>
    <col min="6" max="6" width="16.42578125" style="8" bestFit="1" customWidth="1"/>
    <col min="7" max="16384" width="8.85546875" style="1"/>
  </cols>
  <sheetData>
    <row r="1" spans="1:7" ht="16.5" x14ac:dyDescent="0.3">
      <c r="A1" s="233" t="s">
        <v>87</v>
      </c>
      <c r="B1" s="233"/>
      <c r="C1" s="233"/>
      <c r="D1" s="233"/>
      <c r="E1" s="233"/>
      <c r="F1" s="233"/>
    </row>
    <row r="2" spans="1:7" ht="15.75" thickBot="1" x14ac:dyDescent="0.3">
      <c r="A2" s="5"/>
      <c r="B2" s="5"/>
      <c r="C2" s="5"/>
    </row>
    <row r="3" spans="1:7" ht="62.25" customHeight="1" thickBot="1" x14ac:dyDescent="0.25">
      <c r="A3" s="217" t="s">
        <v>4</v>
      </c>
      <c r="B3" s="218"/>
      <c r="C3" s="159" t="s">
        <v>80</v>
      </c>
      <c r="D3" s="159" t="s">
        <v>81</v>
      </c>
      <c r="E3" s="159" t="s">
        <v>23</v>
      </c>
      <c r="F3" s="160" t="s">
        <v>24</v>
      </c>
    </row>
    <row r="4" spans="1:7" ht="15" customHeight="1" thickTop="1" thickBot="1" x14ac:dyDescent="0.25">
      <c r="A4" s="116"/>
      <c r="B4" s="117"/>
      <c r="C4" s="120"/>
      <c r="D4" s="121"/>
      <c r="E4" s="121"/>
      <c r="F4" s="118"/>
      <c r="G4" s="12"/>
    </row>
    <row r="5" spans="1:7" s="12" customFormat="1" x14ac:dyDescent="0.2">
      <c r="A5" s="224" t="s">
        <v>7</v>
      </c>
      <c r="B5" s="238" t="s">
        <v>77</v>
      </c>
      <c r="C5" s="125" t="s">
        <v>18</v>
      </c>
      <c r="D5" s="126">
        <f>((0.5-0.0015)/0.5)*100</f>
        <v>99.7</v>
      </c>
      <c r="E5" s="127">
        <f>E$7*((100-D5)/100)</f>
        <v>4.4591999999999574</v>
      </c>
      <c r="F5" s="128">
        <f>$E$7-E5</f>
        <v>1481.9408000000001</v>
      </c>
    </row>
    <row r="6" spans="1:7" x14ac:dyDescent="0.2">
      <c r="A6" s="225"/>
      <c r="B6" s="240"/>
      <c r="C6" s="129" t="s">
        <v>9</v>
      </c>
      <c r="D6" s="130">
        <f>((0.5-0.05)/0.5)*100</f>
        <v>90</v>
      </c>
      <c r="E6" s="131">
        <f>E$7*((100-D6)/100)</f>
        <v>148.64000000000001</v>
      </c>
      <c r="F6" s="132">
        <f>$E$7-E6</f>
        <v>1337.76</v>
      </c>
    </row>
    <row r="7" spans="1:7" ht="15" thickBot="1" x14ac:dyDescent="0.25">
      <c r="A7" s="191"/>
      <c r="B7" s="239"/>
      <c r="C7" s="133" t="s">
        <v>89</v>
      </c>
      <c r="D7" s="134">
        <v>0</v>
      </c>
      <c r="E7" s="135">
        <v>1486.4</v>
      </c>
      <c r="F7" s="136">
        <v>0</v>
      </c>
    </row>
    <row r="8" spans="1:7" x14ac:dyDescent="0.2">
      <c r="A8" s="226" t="s">
        <v>8</v>
      </c>
      <c r="B8" s="241" t="s">
        <v>77</v>
      </c>
      <c r="C8" s="122" t="s">
        <v>19</v>
      </c>
      <c r="D8" s="123">
        <f>D5</f>
        <v>99.7</v>
      </c>
      <c r="E8" s="124">
        <f>E$10*((100-D8)/100)</f>
        <v>4.0682999999999607</v>
      </c>
      <c r="F8" s="98">
        <f>$E$10-E8</f>
        <v>1352.0317</v>
      </c>
    </row>
    <row r="9" spans="1:7" x14ac:dyDescent="0.2">
      <c r="A9" s="234"/>
      <c r="B9" s="241"/>
      <c r="C9" s="10" t="s">
        <v>10</v>
      </c>
      <c r="D9" s="100">
        <f>D6</f>
        <v>90</v>
      </c>
      <c r="E9" s="97">
        <f>E$10*((100-D9)/100)</f>
        <v>135.60999999999999</v>
      </c>
      <c r="F9" s="99">
        <f>$E$10-E9</f>
        <v>1220.49</v>
      </c>
    </row>
    <row r="10" spans="1:7" ht="15" thickBot="1" x14ac:dyDescent="0.25">
      <c r="A10" s="235"/>
      <c r="B10" s="241"/>
      <c r="C10" s="137" t="s">
        <v>89</v>
      </c>
      <c r="D10" s="138">
        <v>0</v>
      </c>
      <c r="E10" s="139">
        <v>1356.1</v>
      </c>
      <c r="F10" s="140">
        <v>0</v>
      </c>
    </row>
    <row r="11" spans="1:7" ht="14.45" customHeight="1" x14ac:dyDescent="0.2">
      <c r="A11" s="236" t="s">
        <v>13</v>
      </c>
      <c r="B11" s="238" t="s">
        <v>93</v>
      </c>
      <c r="C11" s="144" t="s">
        <v>18</v>
      </c>
      <c r="D11" s="145">
        <v>50</v>
      </c>
      <c r="E11" s="127">
        <f>E$12*((100-D11)/100)</f>
        <v>3</v>
      </c>
      <c r="F11" s="146">
        <f>E12-E11</f>
        <v>3</v>
      </c>
      <c r="G11" s="93"/>
    </row>
    <row r="12" spans="1:7" ht="36" customHeight="1" thickBot="1" x14ac:dyDescent="0.25">
      <c r="A12" s="237"/>
      <c r="B12" s="239"/>
      <c r="C12" s="147" t="s">
        <v>92</v>
      </c>
      <c r="D12" s="134">
        <v>0</v>
      </c>
      <c r="E12" s="148">
        <v>6</v>
      </c>
      <c r="F12" s="149">
        <v>0</v>
      </c>
    </row>
    <row r="13" spans="1:7" x14ac:dyDescent="0.2">
      <c r="A13" s="228" t="s">
        <v>6</v>
      </c>
      <c r="B13" s="230" t="s">
        <v>21</v>
      </c>
      <c r="C13" s="141" t="s">
        <v>79</v>
      </c>
      <c r="D13" s="142">
        <v>98.5</v>
      </c>
      <c r="E13" s="142">
        <f>$E$15*(100-D13)/100</f>
        <v>1.4999999999999999E-4</v>
      </c>
      <c r="F13" s="143">
        <f>$E$15-E13</f>
        <v>9.8499999999999994E-3</v>
      </c>
    </row>
    <row r="14" spans="1:7" x14ac:dyDescent="0.2">
      <c r="A14" s="229"/>
      <c r="B14" s="231"/>
      <c r="C14" s="11" t="s">
        <v>78</v>
      </c>
      <c r="D14" s="9">
        <v>50</v>
      </c>
      <c r="E14" s="9">
        <f>$E$15*(100-D14)/100</f>
        <v>5.0000000000000001E-3</v>
      </c>
      <c r="F14" s="90">
        <f>$E$15-E14</f>
        <v>5.0000000000000001E-3</v>
      </c>
    </row>
    <row r="15" spans="1:7" ht="15" thickBot="1" x14ac:dyDescent="0.25">
      <c r="A15" s="194"/>
      <c r="B15" s="232"/>
      <c r="C15" s="150" t="s">
        <v>20</v>
      </c>
      <c r="D15" s="151">
        <v>0</v>
      </c>
      <c r="E15" s="151">
        <v>0.01</v>
      </c>
      <c r="F15" s="152">
        <v>0</v>
      </c>
    </row>
    <row r="16" spans="1:7" ht="15" thickBot="1" x14ac:dyDescent="0.25">
      <c r="A16" s="153" t="s">
        <v>14</v>
      </c>
      <c r="B16" s="154" t="s">
        <v>15</v>
      </c>
      <c r="C16" s="155" t="s">
        <v>17</v>
      </c>
      <c r="D16" s="156">
        <v>0</v>
      </c>
      <c r="E16" s="156">
        <v>2.0000000000000001E-4</v>
      </c>
      <c r="F16" s="157">
        <v>0</v>
      </c>
    </row>
    <row r="17" spans="1:3" x14ac:dyDescent="0.2">
      <c r="A17" s="1" t="s">
        <v>22</v>
      </c>
      <c r="C17" s="7"/>
    </row>
    <row r="19" spans="1:3" ht="16.5" x14ac:dyDescent="0.2">
      <c r="A19" s="91" t="s">
        <v>22</v>
      </c>
      <c r="B19" s="94"/>
    </row>
  </sheetData>
  <mergeCells count="10">
    <mergeCell ref="A13:A15"/>
    <mergeCell ref="B13:B15"/>
    <mergeCell ref="A1:F1"/>
    <mergeCell ref="A3:B3"/>
    <mergeCell ref="A8:A10"/>
    <mergeCell ref="A5:A7"/>
    <mergeCell ref="A11:A12"/>
    <mergeCell ref="B11:B12"/>
    <mergeCell ref="B5:B7"/>
    <mergeCell ref="B8:B10"/>
  </mergeCells>
  <printOptions horizontalCentered="1"/>
  <pageMargins left="0.7" right="0.7" top="0.75" bottom="0.75" header="0.3" footer="0.3"/>
  <pageSetup scale="80" firstPageNumber="93" orientation="landscape" useFirstPageNumber="1" r:id="rId1"/>
  <headerFooter>
    <oddHeader>&amp;L&amp;"Times New Roman,Bold"&amp;14Appendix III.D.7, Public Notice Draft May 10, 2019</oddHeader>
    <oddFooter>&amp;L&amp;"Arial,Regular"&amp;8GVEA - North Pole Facility
PM&amp;Y2.5&amp;Y Serious NAA BACT Analysis&amp;R&amp;"Arial,Regular"&amp;8August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L41"/>
  <sheetViews>
    <sheetView tabSelected="1" view="pageLayout" topLeftCell="A7" zoomScaleNormal="80" workbookViewId="0">
      <selection activeCell="C51" sqref="C51"/>
    </sheetView>
  </sheetViews>
  <sheetFormatPr defaultRowHeight="15" x14ac:dyDescent="0.25"/>
  <cols>
    <col min="1" max="1" width="9.42578125" customWidth="1"/>
    <col min="2" max="2" width="34.7109375" customWidth="1"/>
    <col min="3" max="3" width="50.7109375" customWidth="1"/>
    <col min="4" max="5" width="13.7109375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1:11" x14ac:dyDescent="0.25">
      <c r="B1" s="242" t="s">
        <v>74</v>
      </c>
      <c r="C1" s="242"/>
      <c r="D1" s="242"/>
      <c r="E1" s="242"/>
      <c r="F1" s="242"/>
      <c r="G1" s="242"/>
      <c r="H1" s="242"/>
      <c r="I1" s="242"/>
      <c r="J1" s="242"/>
      <c r="K1" s="242"/>
    </row>
    <row r="2" spans="1:11" x14ac:dyDescent="0.25">
      <c r="B2" s="243" t="s">
        <v>73</v>
      </c>
      <c r="C2" s="243"/>
      <c r="D2" s="243"/>
      <c r="E2" s="243"/>
      <c r="F2" s="243"/>
      <c r="G2" s="243"/>
      <c r="H2" s="243"/>
      <c r="I2" s="243"/>
      <c r="J2" s="243"/>
      <c r="K2" s="243"/>
    </row>
    <row r="3" spans="1:11" ht="62.25" customHeight="1" x14ac:dyDescent="0.25">
      <c r="A3" s="185"/>
      <c r="B3" s="185"/>
      <c r="C3" s="184"/>
      <c r="I3" s="245" t="s">
        <v>25</v>
      </c>
      <c r="J3" s="246"/>
      <c r="K3" s="247"/>
    </row>
    <row r="4" spans="1:11" ht="18" x14ac:dyDescent="0.35">
      <c r="B4" s="13" t="s">
        <v>26</v>
      </c>
      <c r="C4" s="14"/>
      <c r="D4" s="15" t="s">
        <v>83</v>
      </c>
      <c r="E4" s="14"/>
      <c r="F4" s="14"/>
      <c r="G4" s="14"/>
      <c r="H4" s="14"/>
      <c r="I4" s="14"/>
      <c r="J4" s="16" t="s">
        <v>27</v>
      </c>
      <c r="K4" s="17"/>
    </row>
    <row r="5" spans="1:11" x14ac:dyDescent="0.25">
      <c r="B5" s="13"/>
      <c r="C5" s="14"/>
      <c r="D5" s="14"/>
      <c r="E5" s="14"/>
      <c r="F5" s="14"/>
      <c r="G5" s="14"/>
      <c r="H5" s="14"/>
      <c r="I5" s="14"/>
      <c r="J5" s="16" t="s">
        <v>28</v>
      </c>
      <c r="K5" s="17"/>
    </row>
    <row r="6" spans="1:11" ht="15.75" thickBot="1" x14ac:dyDescent="0.3">
      <c r="B6" s="18"/>
      <c r="C6" s="19"/>
      <c r="D6" s="19"/>
      <c r="E6" s="19"/>
      <c r="F6" s="19"/>
      <c r="G6" s="19"/>
      <c r="H6" s="19"/>
      <c r="I6" s="19"/>
      <c r="J6" s="20" t="s">
        <v>29</v>
      </c>
      <c r="K6" s="21"/>
    </row>
    <row r="7" spans="1:11" ht="16.5" thickBot="1" x14ac:dyDescent="0.3">
      <c r="B7" s="248" t="s">
        <v>30</v>
      </c>
      <c r="C7" s="249"/>
      <c r="D7" s="249"/>
      <c r="E7" s="249"/>
      <c r="F7" s="249"/>
      <c r="G7" s="249"/>
      <c r="H7" s="249"/>
      <c r="I7" s="249"/>
      <c r="J7" s="249"/>
      <c r="K7" s="250"/>
    </row>
    <row r="8" spans="1:11" ht="15.75" x14ac:dyDescent="0.25">
      <c r="B8" s="22" t="s">
        <v>31</v>
      </c>
      <c r="C8" s="23"/>
      <c r="D8" s="24"/>
      <c r="E8" s="25" t="s">
        <v>32</v>
      </c>
      <c r="F8" s="25" t="s">
        <v>33</v>
      </c>
      <c r="G8" s="26"/>
      <c r="H8" s="27" t="s">
        <v>34</v>
      </c>
      <c r="I8" s="27" t="s">
        <v>35</v>
      </c>
      <c r="J8" s="24"/>
      <c r="K8" s="28" t="s">
        <v>36</v>
      </c>
    </row>
    <row r="9" spans="1:11" x14ac:dyDescent="0.25">
      <c r="B9" s="29" t="s">
        <v>37</v>
      </c>
      <c r="C9" s="14" t="s">
        <v>38</v>
      </c>
      <c r="D9" s="14"/>
      <c r="E9" s="30"/>
      <c r="F9" s="31" t="s">
        <v>39</v>
      </c>
      <c r="G9" s="31"/>
      <c r="H9" s="32"/>
      <c r="I9" s="32">
        <f>'[1]Total Capital Investment'!K44*E9/E38</f>
        <v>0</v>
      </c>
      <c r="J9" s="33"/>
      <c r="K9" s="34">
        <f>I9</f>
        <v>0</v>
      </c>
    </row>
    <row r="10" spans="1:11" x14ac:dyDescent="0.25">
      <c r="B10" s="29" t="s">
        <v>40</v>
      </c>
      <c r="C10" s="14" t="s">
        <v>41</v>
      </c>
      <c r="D10" s="14"/>
      <c r="E10" s="30"/>
      <c r="F10" s="31" t="s">
        <v>39</v>
      </c>
      <c r="G10" s="31"/>
      <c r="H10" s="32"/>
      <c r="I10" s="32">
        <f>E10*'[1]Total Capital Investment'!K47/10</f>
        <v>0</v>
      </c>
      <c r="J10" s="33"/>
      <c r="K10" s="34">
        <f t="shared" ref="K10" si="0">I10</f>
        <v>0</v>
      </c>
    </row>
    <row r="11" spans="1:11" x14ac:dyDescent="0.25">
      <c r="B11" s="29" t="s">
        <v>42</v>
      </c>
      <c r="C11" s="14" t="s">
        <v>43</v>
      </c>
      <c r="D11" s="14"/>
      <c r="E11" s="35"/>
      <c r="F11" s="31" t="s">
        <v>44</v>
      </c>
      <c r="G11" s="35"/>
      <c r="H11" s="36" t="s">
        <v>45</v>
      </c>
      <c r="I11" s="32"/>
      <c r="J11" s="33"/>
      <c r="K11" s="34"/>
    </row>
    <row r="12" spans="1:11" ht="36" customHeight="1" x14ac:dyDescent="0.25">
      <c r="B12" s="29" t="s">
        <v>46</v>
      </c>
      <c r="C12" s="14" t="s">
        <v>47</v>
      </c>
      <c r="D12" s="14"/>
      <c r="E12" s="37"/>
      <c r="F12" s="37"/>
      <c r="G12" s="32"/>
      <c r="H12" s="32"/>
      <c r="I12" s="32"/>
      <c r="J12" s="33"/>
      <c r="K12" s="34"/>
    </row>
    <row r="13" spans="1:11" x14ac:dyDescent="0.25">
      <c r="B13" s="13"/>
      <c r="C13" s="38" t="s">
        <v>48</v>
      </c>
      <c r="D13" s="14" t="s">
        <v>49</v>
      </c>
      <c r="E13" s="89">
        <v>45282461.539999999</v>
      </c>
      <c r="F13" s="37" t="s">
        <v>50</v>
      </c>
      <c r="G13" s="35">
        <v>0.26679999999999998</v>
      </c>
      <c r="H13" s="32">
        <f>E13*G13</f>
        <v>12081360.738871999</v>
      </c>
      <c r="I13" s="32"/>
      <c r="J13" s="33"/>
      <c r="K13" s="34">
        <f>H13</f>
        <v>12081360.738871999</v>
      </c>
    </row>
    <row r="14" spans="1:11" x14ac:dyDescent="0.25">
      <c r="B14" s="39"/>
      <c r="C14" s="40"/>
      <c r="D14" s="14"/>
      <c r="E14" s="41"/>
      <c r="F14" s="16"/>
      <c r="G14" s="33"/>
      <c r="H14" s="32"/>
      <c r="I14" s="42"/>
      <c r="J14" s="32"/>
      <c r="K14" s="34"/>
    </row>
    <row r="15" spans="1:11" x14ac:dyDescent="0.25">
      <c r="B15" s="43" t="s">
        <v>51</v>
      </c>
      <c r="C15" s="44"/>
      <c r="D15" s="45"/>
      <c r="E15" s="46"/>
      <c r="F15" s="47"/>
      <c r="G15" s="48"/>
      <c r="H15" s="49"/>
      <c r="I15" s="50"/>
      <c r="J15" s="51" t="s">
        <v>52</v>
      </c>
      <c r="K15" s="52">
        <f>SUM(K9:K13)</f>
        <v>12081360.738871999</v>
      </c>
    </row>
    <row r="16" spans="1:11" x14ac:dyDescent="0.25">
      <c r="B16" s="13"/>
      <c r="C16" s="40"/>
      <c r="D16" s="14"/>
      <c r="E16" s="37"/>
      <c r="F16" s="14"/>
      <c r="G16" s="32"/>
      <c r="H16" s="32"/>
      <c r="I16" s="42"/>
      <c r="J16" s="53"/>
      <c r="K16" s="34"/>
    </row>
    <row r="17" spans="2:12" ht="15.75" x14ac:dyDescent="0.25">
      <c r="B17" s="54" t="s">
        <v>53</v>
      </c>
      <c r="C17" s="55"/>
      <c r="D17" s="56"/>
      <c r="E17" s="37"/>
      <c r="F17" s="37"/>
      <c r="G17" s="32"/>
      <c r="H17" s="32"/>
      <c r="I17" s="32"/>
      <c r="J17" s="32"/>
      <c r="K17" s="34"/>
    </row>
    <row r="18" spans="2:12" x14ac:dyDescent="0.25">
      <c r="B18" s="29" t="s">
        <v>54</v>
      </c>
      <c r="C18" s="14" t="s">
        <v>55</v>
      </c>
      <c r="D18" s="14"/>
      <c r="E18" s="35"/>
      <c r="F18" s="37" t="s">
        <v>39</v>
      </c>
      <c r="G18" s="31"/>
      <c r="H18" s="36" t="s">
        <v>45</v>
      </c>
      <c r="I18" s="32">
        <f>E18*G18</f>
        <v>0</v>
      </c>
      <c r="J18" s="33"/>
      <c r="K18" s="34">
        <f>I18</f>
        <v>0</v>
      </c>
    </row>
    <row r="19" spans="2:12" x14ac:dyDescent="0.25">
      <c r="B19" s="29" t="s">
        <v>56</v>
      </c>
      <c r="C19" s="14" t="s">
        <v>57</v>
      </c>
      <c r="D19" s="14"/>
      <c r="E19" s="57"/>
      <c r="F19" s="37" t="s">
        <v>58</v>
      </c>
      <c r="G19" s="31"/>
      <c r="H19" s="36"/>
      <c r="I19" s="32">
        <f>E19*'[1]Total Capital Investment'!K62</f>
        <v>0</v>
      </c>
      <c r="J19" s="33"/>
      <c r="K19" s="34">
        <f>I19</f>
        <v>0</v>
      </c>
    </row>
    <row r="20" spans="2:12" x14ac:dyDescent="0.25">
      <c r="B20" s="29"/>
      <c r="C20" s="38" t="s">
        <v>59</v>
      </c>
      <c r="D20" s="14"/>
      <c r="E20" s="41">
        <f>($E$37/100*POWER((1+($E$37/100)),$E$38))/((POWER(((1+$E$37/100)),$E$38))-1)</f>
        <v>8.3679330034933205E-2</v>
      </c>
      <c r="F20" s="31"/>
      <c r="G20" s="32"/>
      <c r="H20" s="32"/>
      <c r="I20" s="32"/>
      <c r="J20" s="33"/>
      <c r="K20" s="58"/>
      <c r="L20" s="59"/>
    </row>
    <row r="21" spans="2:12" x14ac:dyDescent="0.25">
      <c r="B21" s="29" t="s">
        <v>60</v>
      </c>
      <c r="C21" s="14" t="s">
        <v>61</v>
      </c>
      <c r="D21" s="14"/>
      <c r="E21" s="14"/>
      <c r="F21" s="14"/>
      <c r="G21" s="32"/>
      <c r="H21" s="60"/>
      <c r="I21" s="32"/>
      <c r="J21" s="61" t="s">
        <v>62</v>
      </c>
      <c r="K21" s="34">
        <f>E20*'[1]Total Capital Investment'!K62</f>
        <v>0</v>
      </c>
      <c r="L21" s="59"/>
    </row>
    <row r="22" spans="2:12" x14ac:dyDescent="0.25">
      <c r="B22" s="13"/>
      <c r="C22" s="14"/>
      <c r="D22" s="14"/>
      <c r="E22" s="37"/>
      <c r="F22" s="14"/>
      <c r="G22" s="32"/>
      <c r="H22" s="32"/>
      <c r="I22" s="32"/>
      <c r="J22" s="32"/>
      <c r="K22" s="34"/>
    </row>
    <row r="23" spans="2:12" x14ac:dyDescent="0.25">
      <c r="B23" s="43" t="s">
        <v>112</v>
      </c>
      <c r="C23" s="44"/>
      <c r="D23" s="62"/>
      <c r="E23" s="63"/>
      <c r="F23" s="47"/>
      <c r="G23" s="50"/>
      <c r="H23" s="64"/>
      <c r="I23" s="50"/>
      <c r="J23" s="51" t="s">
        <v>63</v>
      </c>
      <c r="K23" s="52">
        <f>'5-10 TCI ULSD EU1-2'!B13</f>
        <v>1345052.1862565055</v>
      </c>
    </row>
    <row r="24" spans="2:12" x14ac:dyDescent="0.25">
      <c r="B24" s="65"/>
      <c r="C24" s="66"/>
      <c r="D24" s="14"/>
      <c r="E24" s="37"/>
      <c r="F24" s="14"/>
      <c r="G24" s="32"/>
      <c r="H24" s="32"/>
      <c r="I24" s="32"/>
      <c r="J24" s="32"/>
      <c r="K24" s="34"/>
    </row>
    <row r="25" spans="2:12" ht="15.75" x14ac:dyDescent="0.25">
      <c r="B25" s="67" t="s">
        <v>64</v>
      </c>
      <c r="C25" s="68"/>
      <c r="D25" s="69"/>
      <c r="E25" s="70"/>
      <c r="F25" s="69"/>
      <c r="G25" s="49"/>
      <c r="H25" s="71"/>
      <c r="I25" s="49"/>
      <c r="J25" s="51" t="s">
        <v>65</v>
      </c>
      <c r="K25" s="52">
        <f>K15+K23</f>
        <v>13426412.925128505</v>
      </c>
    </row>
    <row r="26" spans="2:12" ht="15.75" thickBot="1" x14ac:dyDescent="0.3">
      <c r="B26" s="13"/>
      <c r="C26" s="14"/>
      <c r="D26" s="14"/>
      <c r="E26" s="37"/>
      <c r="F26" s="14"/>
      <c r="G26" s="14"/>
      <c r="H26" s="14"/>
      <c r="I26" s="14"/>
      <c r="J26" s="14"/>
      <c r="K26" s="72"/>
    </row>
    <row r="27" spans="2:12" ht="16.5" thickBot="1" x14ac:dyDescent="0.3">
      <c r="B27" s="251" t="s">
        <v>66</v>
      </c>
      <c r="C27" s="252"/>
      <c r="D27" s="252"/>
      <c r="E27" s="252"/>
      <c r="F27" s="252"/>
      <c r="G27" s="252"/>
      <c r="H27" s="252"/>
      <c r="I27" s="252"/>
      <c r="J27" s="252"/>
      <c r="K27" s="253"/>
    </row>
    <row r="28" spans="2:12" x14ac:dyDescent="0.25">
      <c r="B28" s="13"/>
      <c r="C28" s="14"/>
      <c r="D28" s="14"/>
      <c r="E28" s="14"/>
      <c r="F28" s="14"/>
      <c r="G28" s="14"/>
      <c r="H28" s="14"/>
      <c r="I28" s="14"/>
      <c r="J28" s="14"/>
      <c r="K28" s="72"/>
    </row>
    <row r="29" spans="2:12" ht="18.75" x14ac:dyDescent="0.35">
      <c r="B29" s="73" t="s">
        <v>91</v>
      </c>
      <c r="C29" s="55"/>
      <c r="D29" s="14"/>
      <c r="E29" s="14"/>
      <c r="F29" s="14"/>
      <c r="G29" s="14"/>
      <c r="H29" s="14"/>
      <c r="I29" s="14"/>
      <c r="J29" s="74" t="s">
        <v>67</v>
      </c>
      <c r="K29" s="95">
        <f>'5-3 Ranking-SO2'!F5</f>
        <v>1481.9408000000001</v>
      </c>
    </row>
    <row r="30" spans="2:12" x14ac:dyDescent="0.25">
      <c r="B30" s="13"/>
      <c r="C30" s="14"/>
      <c r="D30" s="14"/>
      <c r="E30" s="14"/>
      <c r="F30" s="14"/>
      <c r="G30" s="14"/>
      <c r="H30" s="14"/>
      <c r="I30" s="14"/>
      <c r="J30" s="14"/>
      <c r="K30" s="72"/>
    </row>
    <row r="31" spans="2:12" ht="15.75" x14ac:dyDescent="0.25">
      <c r="B31" s="73" t="s">
        <v>114</v>
      </c>
      <c r="C31" s="55"/>
      <c r="D31" s="14"/>
      <c r="E31" s="14"/>
      <c r="F31" s="14"/>
      <c r="G31" s="14"/>
      <c r="H31" s="106"/>
      <c r="I31" s="14"/>
      <c r="J31" s="107" t="s">
        <v>68</v>
      </c>
      <c r="K31" s="182">
        <f>K25/K29</f>
        <v>9060.0197559366097</v>
      </c>
    </row>
    <row r="32" spans="2:12" ht="18" x14ac:dyDescent="0.25">
      <c r="B32" s="73" t="s">
        <v>117</v>
      </c>
      <c r="C32" s="55"/>
      <c r="D32" s="14"/>
      <c r="E32" s="14"/>
      <c r="F32" s="14"/>
      <c r="G32" s="14"/>
      <c r="H32" s="106"/>
      <c r="I32" s="14"/>
      <c r="J32" s="107" t="s">
        <v>68</v>
      </c>
      <c r="K32" s="108">
        <f>+('5-10 TCI ULSD EU1-2'!C13+G13*833*672/0.13)/142.3</f>
        <v>11842.953005405105</v>
      </c>
    </row>
    <row r="33" spans="2:11" ht="20.25" thickBot="1" x14ac:dyDescent="0.4">
      <c r="B33" s="75" t="s">
        <v>116</v>
      </c>
      <c r="C33" s="76"/>
      <c r="D33" s="77"/>
      <c r="E33" s="77"/>
      <c r="F33" s="77"/>
      <c r="G33" s="77"/>
      <c r="H33" s="78"/>
      <c r="I33" s="77"/>
      <c r="J33" s="79" t="s">
        <v>68</v>
      </c>
      <c r="K33" s="96">
        <f>+K32*6</f>
        <v>71057.718032430625</v>
      </c>
    </row>
    <row r="34" spans="2:11" ht="15.75" thickTop="1" x14ac:dyDescent="0.25"/>
    <row r="35" spans="2:11" ht="15.75" thickBot="1" x14ac:dyDescent="0.3"/>
    <row r="36" spans="2:11" x14ac:dyDescent="0.25">
      <c r="D36" s="80" t="s">
        <v>69</v>
      </c>
      <c r="E36" s="24"/>
      <c r="F36" s="81"/>
      <c r="G36" s="82"/>
    </row>
    <row r="37" spans="2:11" x14ac:dyDescent="0.25">
      <c r="D37" s="83" t="s">
        <v>70</v>
      </c>
      <c r="E37" s="84">
        <v>5.5</v>
      </c>
      <c r="F37" s="85" t="s">
        <v>39</v>
      </c>
    </row>
    <row r="38" spans="2:11" ht="15.75" thickBot="1" x14ac:dyDescent="0.3">
      <c r="D38" s="86" t="s">
        <v>71</v>
      </c>
      <c r="E38" s="87">
        <v>20</v>
      </c>
      <c r="F38" s="88" t="s">
        <v>72</v>
      </c>
    </row>
    <row r="40" spans="2:11" ht="42" customHeight="1" x14ac:dyDescent="0.25">
      <c r="B40" s="158">
        <v>1</v>
      </c>
      <c r="C40" s="244" t="s">
        <v>124</v>
      </c>
      <c r="D40" s="244"/>
      <c r="E40" s="244"/>
      <c r="F40" s="244"/>
      <c r="G40" s="244"/>
      <c r="H40" s="244"/>
      <c r="I40" s="244"/>
      <c r="J40" s="244"/>
      <c r="K40" s="244"/>
    </row>
    <row r="41" spans="2:11" ht="60" customHeight="1" x14ac:dyDescent="0.25">
      <c r="B41" s="158">
        <v>2</v>
      </c>
      <c r="C41" s="244" t="s">
        <v>119</v>
      </c>
      <c r="D41" s="244"/>
      <c r="E41" s="244"/>
      <c r="F41" s="244"/>
      <c r="G41" s="244"/>
      <c r="H41" s="244"/>
      <c r="I41" s="244"/>
      <c r="J41" s="244"/>
      <c r="K41" s="244"/>
    </row>
  </sheetData>
  <mergeCells count="7">
    <mergeCell ref="B1:K1"/>
    <mergeCell ref="B2:K2"/>
    <mergeCell ref="C40:K40"/>
    <mergeCell ref="C41:K41"/>
    <mergeCell ref="I3:K3"/>
    <mergeCell ref="B7:K7"/>
    <mergeCell ref="B27:K27"/>
  </mergeCells>
  <printOptions horizontalCentered="1"/>
  <pageMargins left="0.7" right="0.7" top="0.75" bottom="0.75" header="0.3" footer="0.3"/>
  <pageSetup scale="55" firstPageNumber="93" orientation="landscape" useFirstPageNumber="1" r:id="rId1"/>
  <headerFooter>
    <oddHeader>&amp;L&amp;"Times New Roman,Bold"&amp;14Appendix III.D.7, Public Notice Draft May 10, 2019</oddHeader>
    <oddFooter>&amp;L&amp;"Arial,Regular"&amp;8GVEA - North Pole Facility
PM&amp;Y2.5&amp;Y Serious NAA BACT Analysis&amp;R&amp;"Arial,Regular"&amp;8August 2017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L41"/>
  <sheetViews>
    <sheetView view="pageLayout" topLeftCell="A13" zoomScale="80" zoomScaleNormal="90" zoomScalePageLayoutView="80" workbookViewId="0">
      <selection activeCell="C51" sqref="C51"/>
    </sheetView>
  </sheetViews>
  <sheetFormatPr defaultRowHeight="15" x14ac:dyDescent="0.25"/>
  <cols>
    <col min="1" max="1" width="9.42578125" customWidth="1"/>
    <col min="2" max="2" width="34.7109375" customWidth="1"/>
    <col min="3" max="3" width="50.7109375" customWidth="1"/>
    <col min="4" max="5" width="13.7109375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1:11" x14ac:dyDescent="0.25">
      <c r="B1" s="242" t="s">
        <v>75</v>
      </c>
      <c r="C1" s="242"/>
      <c r="D1" s="242"/>
      <c r="E1" s="242"/>
      <c r="F1" s="242"/>
      <c r="G1" s="242"/>
      <c r="H1" s="242"/>
      <c r="I1" s="242"/>
      <c r="J1" s="242"/>
      <c r="K1" s="242"/>
    </row>
    <row r="2" spans="1:11" x14ac:dyDescent="0.25">
      <c r="B2" s="254" t="s">
        <v>76</v>
      </c>
      <c r="C2" s="254"/>
      <c r="D2" s="254"/>
      <c r="E2" s="254"/>
      <c r="F2" s="254"/>
      <c r="G2" s="254"/>
      <c r="H2" s="254"/>
      <c r="I2" s="254"/>
      <c r="J2" s="254"/>
      <c r="K2" s="254"/>
    </row>
    <row r="3" spans="1:11" ht="62.25" customHeight="1" x14ac:dyDescent="0.25">
      <c r="A3" s="185"/>
      <c r="B3" s="185"/>
      <c r="C3" s="184"/>
      <c r="I3" s="245" t="s">
        <v>25</v>
      </c>
      <c r="J3" s="246"/>
      <c r="K3" s="247"/>
    </row>
    <row r="4" spans="1:11" ht="18" x14ac:dyDescent="0.35">
      <c r="B4" s="13" t="s">
        <v>26</v>
      </c>
      <c r="C4" s="14"/>
      <c r="D4" s="15" t="s">
        <v>84</v>
      </c>
      <c r="E4" s="14"/>
      <c r="F4" s="14"/>
      <c r="G4" s="14"/>
      <c r="H4" s="14"/>
      <c r="I4" s="14"/>
      <c r="J4" s="16" t="s">
        <v>27</v>
      </c>
      <c r="K4" s="17"/>
    </row>
    <row r="5" spans="1:11" x14ac:dyDescent="0.25">
      <c r="B5" s="13"/>
      <c r="C5" s="14"/>
      <c r="D5" s="14"/>
      <c r="E5" s="14"/>
      <c r="F5" s="14"/>
      <c r="G5" s="14"/>
      <c r="H5" s="14"/>
      <c r="I5" s="14"/>
      <c r="J5" s="16" t="s">
        <v>28</v>
      </c>
      <c r="K5" s="17"/>
    </row>
    <row r="6" spans="1:11" ht="15.75" thickBot="1" x14ac:dyDescent="0.3">
      <c r="B6" s="18"/>
      <c r="C6" s="19"/>
      <c r="D6" s="19"/>
      <c r="E6" s="19"/>
      <c r="F6" s="19"/>
      <c r="G6" s="19"/>
      <c r="H6" s="19"/>
      <c r="I6" s="19"/>
      <c r="J6" s="20" t="s">
        <v>29</v>
      </c>
      <c r="K6" s="21"/>
    </row>
    <row r="7" spans="1:11" ht="16.5" thickBot="1" x14ac:dyDescent="0.3">
      <c r="B7" s="248" t="s">
        <v>30</v>
      </c>
      <c r="C7" s="249"/>
      <c r="D7" s="249"/>
      <c r="E7" s="249"/>
      <c r="F7" s="249"/>
      <c r="G7" s="249"/>
      <c r="H7" s="249"/>
      <c r="I7" s="249"/>
      <c r="J7" s="249"/>
      <c r="K7" s="250"/>
    </row>
    <row r="8" spans="1:11" ht="15.75" x14ac:dyDescent="0.25">
      <c r="B8" s="22" t="s">
        <v>31</v>
      </c>
      <c r="C8" s="23"/>
      <c r="D8" s="24"/>
      <c r="E8" s="25" t="s">
        <v>32</v>
      </c>
      <c r="F8" s="25" t="s">
        <v>33</v>
      </c>
      <c r="G8" s="26"/>
      <c r="H8" s="27" t="s">
        <v>34</v>
      </c>
      <c r="I8" s="27" t="s">
        <v>35</v>
      </c>
      <c r="J8" s="24"/>
      <c r="K8" s="28" t="s">
        <v>36</v>
      </c>
    </row>
    <row r="9" spans="1:11" x14ac:dyDescent="0.25">
      <c r="B9" s="29" t="s">
        <v>37</v>
      </c>
      <c r="C9" s="14" t="s">
        <v>38</v>
      </c>
      <c r="D9" s="14"/>
      <c r="E9" s="30"/>
      <c r="F9" s="31" t="s">
        <v>39</v>
      </c>
      <c r="G9" s="31"/>
      <c r="H9" s="32"/>
      <c r="I9" s="32">
        <f>'[2]Total Capital Investment'!K44*E9/E38</f>
        <v>0</v>
      </c>
      <c r="J9" s="33"/>
      <c r="K9" s="34">
        <f>I9</f>
        <v>0</v>
      </c>
    </row>
    <row r="10" spans="1:11" x14ac:dyDescent="0.25">
      <c r="B10" s="29" t="s">
        <v>40</v>
      </c>
      <c r="C10" s="14" t="s">
        <v>41</v>
      </c>
      <c r="D10" s="14"/>
      <c r="E10" s="30"/>
      <c r="F10" s="31" t="s">
        <v>39</v>
      </c>
      <c r="G10" s="31"/>
      <c r="H10" s="32"/>
      <c r="I10" s="32">
        <f>E10*'[2]Total Capital Investment'!K47/10</f>
        <v>0</v>
      </c>
      <c r="J10" s="33"/>
      <c r="K10" s="34">
        <f t="shared" ref="K10" si="0">I10</f>
        <v>0</v>
      </c>
    </row>
    <row r="11" spans="1:11" x14ac:dyDescent="0.25">
      <c r="B11" s="29" t="s">
        <v>42</v>
      </c>
      <c r="C11" s="14" t="s">
        <v>43</v>
      </c>
      <c r="D11" s="14"/>
      <c r="E11" s="35"/>
      <c r="F11" s="31" t="s">
        <v>44</v>
      </c>
      <c r="G11" s="35"/>
      <c r="H11" s="36" t="s">
        <v>45</v>
      </c>
      <c r="I11" s="32"/>
      <c r="J11" s="33"/>
      <c r="K11" s="34"/>
    </row>
    <row r="12" spans="1:11" ht="36" customHeight="1" x14ac:dyDescent="0.25">
      <c r="B12" s="29" t="s">
        <v>46</v>
      </c>
      <c r="C12" s="14" t="s">
        <v>47</v>
      </c>
      <c r="D12" s="14"/>
      <c r="E12" s="37"/>
      <c r="F12" s="37"/>
      <c r="G12" s="32"/>
      <c r="H12" s="32"/>
      <c r="I12" s="32"/>
      <c r="J12" s="33"/>
      <c r="K12" s="34"/>
    </row>
    <row r="13" spans="1:11" x14ac:dyDescent="0.25">
      <c r="B13" s="13"/>
      <c r="C13" s="38" t="s">
        <v>48</v>
      </c>
      <c r="D13" s="14" t="s">
        <v>49</v>
      </c>
      <c r="E13" s="89">
        <v>41312492.310000002</v>
      </c>
      <c r="F13" s="37" t="s">
        <v>50</v>
      </c>
      <c r="G13" s="35">
        <v>0.26679999999999998</v>
      </c>
      <c r="H13" s="32">
        <f>E13*G13</f>
        <v>11022172.948308</v>
      </c>
      <c r="I13" s="32"/>
      <c r="J13" s="33"/>
      <c r="K13" s="34">
        <f>H13</f>
        <v>11022172.948308</v>
      </c>
    </row>
    <row r="14" spans="1:11" x14ac:dyDescent="0.25">
      <c r="B14" s="39"/>
      <c r="C14" s="40"/>
      <c r="D14" s="14"/>
      <c r="E14" s="41"/>
      <c r="F14" s="16"/>
      <c r="G14" s="33"/>
      <c r="H14" s="32"/>
      <c r="I14" s="42"/>
      <c r="J14" s="32"/>
      <c r="K14" s="34"/>
    </row>
    <row r="15" spans="1:11" x14ac:dyDescent="0.25">
      <c r="B15" s="43" t="s">
        <v>51</v>
      </c>
      <c r="C15" s="44"/>
      <c r="D15" s="45"/>
      <c r="E15" s="46"/>
      <c r="F15" s="47"/>
      <c r="G15" s="48"/>
      <c r="H15" s="49"/>
      <c r="I15" s="50"/>
      <c r="J15" s="51" t="s">
        <v>52</v>
      </c>
      <c r="K15" s="52">
        <f>SUM(K9:K13)</f>
        <v>11022172.948308</v>
      </c>
    </row>
    <row r="16" spans="1:11" x14ac:dyDescent="0.25">
      <c r="B16" s="13"/>
      <c r="C16" s="40"/>
      <c r="D16" s="14"/>
      <c r="E16" s="37"/>
      <c r="F16" s="14"/>
      <c r="G16" s="32"/>
      <c r="H16" s="32"/>
      <c r="I16" s="42"/>
      <c r="J16" s="53"/>
      <c r="K16" s="34"/>
    </row>
    <row r="17" spans="2:12" ht="15.75" x14ac:dyDescent="0.25">
      <c r="B17" s="54" t="s">
        <v>53</v>
      </c>
      <c r="C17" s="55"/>
      <c r="D17" s="56"/>
      <c r="E17" s="37"/>
      <c r="F17" s="37"/>
      <c r="G17" s="32"/>
      <c r="H17" s="32"/>
      <c r="I17" s="32"/>
      <c r="J17" s="32"/>
      <c r="K17" s="34"/>
    </row>
    <row r="18" spans="2:12" x14ac:dyDescent="0.25">
      <c r="B18" s="29" t="s">
        <v>54</v>
      </c>
      <c r="C18" s="14" t="s">
        <v>55</v>
      </c>
      <c r="D18" s="14"/>
      <c r="E18" s="35"/>
      <c r="F18" s="37" t="s">
        <v>39</v>
      </c>
      <c r="G18" s="31"/>
      <c r="H18" s="36" t="s">
        <v>45</v>
      </c>
      <c r="I18" s="32">
        <f>E18*G18</f>
        <v>0</v>
      </c>
      <c r="J18" s="33"/>
      <c r="K18" s="34">
        <f>I18</f>
        <v>0</v>
      </c>
    </row>
    <row r="19" spans="2:12" x14ac:dyDescent="0.25">
      <c r="B19" s="29" t="s">
        <v>56</v>
      </c>
      <c r="C19" s="14" t="s">
        <v>57</v>
      </c>
      <c r="D19" s="14"/>
      <c r="E19" s="57"/>
      <c r="F19" s="37" t="s">
        <v>58</v>
      </c>
      <c r="G19" s="31"/>
      <c r="H19" s="36"/>
      <c r="I19" s="32">
        <f>E19*'[2]Total Capital Investment'!K62</f>
        <v>0</v>
      </c>
      <c r="J19" s="33"/>
      <c r="K19" s="34">
        <f>I19</f>
        <v>0</v>
      </c>
    </row>
    <row r="20" spans="2:12" x14ac:dyDescent="0.25">
      <c r="B20" s="29"/>
      <c r="C20" s="38" t="s">
        <v>59</v>
      </c>
      <c r="D20" s="14"/>
      <c r="E20" s="41">
        <f>($E$37/100*POWER((1+($E$37/100)),$E$38))/((POWER(((1+$E$37/100)),$E$38))-1)</f>
        <v>8.3679330034933205E-2</v>
      </c>
      <c r="F20" s="31"/>
      <c r="G20" s="32"/>
      <c r="H20" s="32"/>
      <c r="I20" s="32"/>
      <c r="J20" s="33"/>
      <c r="K20" s="58"/>
      <c r="L20" s="59"/>
    </row>
    <row r="21" spans="2:12" x14ac:dyDescent="0.25">
      <c r="B21" s="29" t="s">
        <v>60</v>
      </c>
      <c r="C21" s="14" t="s">
        <v>61</v>
      </c>
      <c r="D21" s="14"/>
      <c r="E21" s="14"/>
      <c r="F21" s="14"/>
      <c r="G21" s="32"/>
      <c r="H21" s="60"/>
      <c r="I21" s="32"/>
      <c r="J21" s="61" t="s">
        <v>62</v>
      </c>
      <c r="K21" s="34">
        <f>E20*'[2]Total Capital Investment'!K62</f>
        <v>0</v>
      </c>
      <c r="L21" s="59"/>
    </row>
    <row r="22" spans="2:12" x14ac:dyDescent="0.25">
      <c r="B22" s="13"/>
      <c r="C22" s="14"/>
      <c r="D22" s="14"/>
      <c r="E22" s="37"/>
      <c r="F22" s="14"/>
      <c r="G22" s="32"/>
      <c r="H22" s="32"/>
      <c r="I22" s="32"/>
      <c r="J22" s="32"/>
      <c r="K22" s="34"/>
    </row>
    <row r="23" spans="2:12" x14ac:dyDescent="0.25">
      <c r="B23" s="43" t="s">
        <v>113</v>
      </c>
      <c r="C23" s="44"/>
      <c r="D23" s="62"/>
      <c r="E23" s="63"/>
      <c r="F23" s="47"/>
      <c r="G23" s="50"/>
      <c r="H23" s="64"/>
      <c r="I23" s="50"/>
      <c r="J23" s="51" t="s">
        <v>63</v>
      </c>
      <c r="K23" s="52">
        <f>'5-10 TCI ULSD EU1-2'!B13</f>
        <v>1345052.1862565055</v>
      </c>
    </row>
    <row r="24" spans="2:12" x14ac:dyDescent="0.25">
      <c r="B24" s="65"/>
      <c r="C24" s="66"/>
      <c r="D24" s="14"/>
      <c r="E24" s="37"/>
      <c r="F24" s="14"/>
      <c r="G24" s="32"/>
      <c r="H24" s="32"/>
      <c r="I24" s="32"/>
      <c r="J24" s="32"/>
      <c r="K24" s="34"/>
    </row>
    <row r="25" spans="2:12" ht="15.75" x14ac:dyDescent="0.25">
      <c r="B25" s="67" t="s">
        <v>64</v>
      </c>
      <c r="C25" s="68"/>
      <c r="D25" s="69"/>
      <c r="E25" s="70"/>
      <c r="F25" s="69"/>
      <c r="G25" s="49"/>
      <c r="H25" s="71"/>
      <c r="I25" s="49"/>
      <c r="J25" s="51" t="s">
        <v>65</v>
      </c>
      <c r="K25" s="52">
        <f>K15+K23</f>
        <v>12367225.134564506</v>
      </c>
    </row>
    <row r="26" spans="2:12" ht="15.75" thickBot="1" x14ac:dyDescent="0.3">
      <c r="B26" s="13"/>
      <c r="C26" s="14"/>
      <c r="D26" s="14"/>
      <c r="E26" s="37"/>
      <c r="F26" s="14"/>
      <c r="G26" s="14"/>
      <c r="H26" s="14"/>
      <c r="I26" s="14"/>
      <c r="J26" s="14"/>
      <c r="K26" s="72"/>
    </row>
    <row r="27" spans="2:12" ht="16.5" thickBot="1" x14ac:dyDescent="0.3">
      <c r="B27" s="251" t="s">
        <v>66</v>
      </c>
      <c r="C27" s="252"/>
      <c r="D27" s="252"/>
      <c r="E27" s="252"/>
      <c r="F27" s="252"/>
      <c r="G27" s="252"/>
      <c r="H27" s="252"/>
      <c r="I27" s="252"/>
      <c r="J27" s="252"/>
      <c r="K27" s="253"/>
    </row>
    <row r="28" spans="2:12" x14ac:dyDescent="0.25">
      <c r="B28" s="13"/>
      <c r="C28" s="14"/>
      <c r="D28" s="14"/>
      <c r="E28" s="14"/>
      <c r="F28" s="14"/>
      <c r="G28" s="14"/>
      <c r="H28" s="14"/>
      <c r="I28" s="14"/>
      <c r="J28" s="14"/>
      <c r="K28" s="72"/>
    </row>
    <row r="29" spans="2:12" ht="18.75" x14ac:dyDescent="0.35">
      <c r="B29" s="73" t="s">
        <v>91</v>
      </c>
      <c r="C29" s="55"/>
      <c r="D29" s="14"/>
      <c r="E29" s="14"/>
      <c r="F29" s="14"/>
      <c r="G29" s="14"/>
      <c r="H29" s="14"/>
      <c r="I29" s="14"/>
      <c r="J29" s="74" t="s">
        <v>67</v>
      </c>
      <c r="K29" s="95">
        <f>'5-3 Ranking-SO2'!F8</f>
        <v>1352.0317</v>
      </c>
    </row>
    <row r="30" spans="2:12" x14ac:dyDescent="0.25">
      <c r="B30" s="13"/>
      <c r="C30" s="14"/>
      <c r="D30" s="14"/>
      <c r="E30" s="14"/>
      <c r="F30" s="14"/>
      <c r="G30" s="14"/>
      <c r="H30" s="14"/>
      <c r="I30" s="14"/>
      <c r="J30" s="14"/>
      <c r="K30" s="72"/>
    </row>
    <row r="31" spans="2:12" ht="15.75" x14ac:dyDescent="0.25">
      <c r="B31" s="73" t="s">
        <v>114</v>
      </c>
      <c r="C31" s="55"/>
      <c r="D31" s="14"/>
      <c r="E31" s="14"/>
      <c r="F31" s="14"/>
      <c r="G31" s="14"/>
      <c r="H31" s="106"/>
      <c r="I31" s="14"/>
      <c r="J31" s="107" t="s">
        <v>68</v>
      </c>
      <c r="K31" s="108">
        <f>K25/K29</f>
        <v>9147.1413980637481</v>
      </c>
    </row>
    <row r="32" spans="2:12" ht="18" x14ac:dyDescent="0.25">
      <c r="B32" s="73" t="s">
        <v>118</v>
      </c>
      <c r="C32" s="55"/>
      <c r="D32" s="14"/>
      <c r="E32" s="14"/>
      <c r="F32" s="14"/>
      <c r="G32" s="14"/>
      <c r="H32" s="106"/>
      <c r="I32" s="14"/>
      <c r="J32" s="107" t="s">
        <v>68</v>
      </c>
      <c r="K32" s="108">
        <f>+('5-10 TCI ULSD EU1-2'!C13+G13*2472*672/0.13)/422.3</f>
        <v>9343.3112087103418</v>
      </c>
    </row>
    <row r="33" spans="2:11" ht="20.25" thickBot="1" x14ac:dyDescent="0.4">
      <c r="B33" s="75" t="s">
        <v>115</v>
      </c>
      <c r="C33" s="76"/>
      <c r="D33" s="77"/>
      <c r="E33" s="77"/>
      <c r="F33" s="77"/>
      <c r="G33" s="77"/>
      <c r="H33" s="78"/>
      <c r="I33" s="77"/>
      <c r="J33" s="79" t="s">
        <v>68</v>
      </c>
      <c r="K33" s="96">
        <f>+K32*6</f>
        <v>56059.867252262047</v>
      </c>
    </row>
    <row r="34" spans="2:11" ht="15.75" thickTop="1" x14ac:dyDescent="0.25"/>
    <row r="35" spans="2:11" ht="15.75" thickBot="1" x14ac:dyDescent="0.3"/>
    <row r="36" spans="2:11" x14ac:dyDescent="0.25">
      <c r="D36" s="80" t="s">
        <v>69</v>
      </c>
      <c r="E36" s="24"/>
      <c r="F36" s="81"/>
      <c r="G36" s="82"/>
    </row>
    <row r="37" spans="2:11" x14ac:dyDescent="0.25">
      <c r="D37" s="83" t="s">
        <v>70</v>
      </c>
      <c r="E37" s="84">
        <v>5.5</v>
      </c>
      <c r="F37" s="85" t="s">
        <v>39</v>
      </c>
    </row>
    <row r="38" spans="2:11" ht="15.75" thickBot="1" x14ac:dyDescent="0.3">
      <c r="D38" s="86" t="s">
        <v>71</v>
      </c>
      <c r="E38" s="87">
        <v>20</v>
      </c>
      <c r="F38" s="88" t="s">
        <v>72</v>
      </c>
    </row>
    <row r="40" spans="2:11" ht="36" customHeight="1" x14ac:dyDescent="0.25">
      <c r="B40" s="158">
        <v>1</v>
      </c>
      <c r="C40" s="244" t="s">
        <v>125</v>
      </c>
      <c r="D40" s="244"/>
      <c r="E40" s="244"/>
      <c r="F40" s="244"/>
      <c r="G40" s="244"/>
      <c r="H40" s="244"/>
      <c r="I40" s="244"/>
      <c r="J40" s="244"/>
      <c r="K40" s="244"/>
    </row>
    <row r="41" spans="2:11" ht="39" customHeight="1" x14ac:dyDescent="0.25">
      <c r="B41" s="158">
        <v>2</v>
      </c>
      <c r="C41" s="244" t="s">
        <v>119</v>
      </c>
      <c r="D41" s="244"/>
      <c r="E41" s="244"/>
      <c r="F41" s="244"/>
      <c r="G41" s="244"/>
      <c r="H41" s="244"/>
      <c r="I41" s="244"/>
      <c r="J41" s="244"/>
      <c r="K41" s="244"/>
    </row>
  </sheetData>
  <mergeCells count="7">
    <mergeCell ref="B1:K1"/>
    <mergeCell ref="B2:K2"/>
    <mergeCell ref="C40:K40"/>
    <mergeCell ref="C41:K41"/>
    <mergeCell ref="I3:K3"/>
    <mergeCell ref="B7:K7"/>
    <mergeCell ref="B27:K27"/>
  </mergeCells>
  <printOptions horizontalCentered="1"/>
  <pageMargins left="0.7" right="0.7" top="0.75" bottom="0.75" header="0.3" footer="0.3"/>
  <pageSetup scale="55" firstPageNumber="93" orientation="landscape" useFirstPageNumber="1" r:id="rId1"/>
  <headerFooter>
    <oddHeader>&amp;L&amp;"Times New Roman,Bold"&amp;14Appendix III.D.7, Public Notice Draft May 10, 2019</oddHeader>
    <oddFooter>&amp;L&amp;"Arial,Regular"&amp;8GVEA - North Pole Facility
PM&amp;Y2.5&amp;Y Serious NAA BACT Analysis&amp;R&amp;"Arial,Regular"&amp;8August 2017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Layout" zoomScale="90" zoomScaleNormal="100" zoomScalePageLayoutView="90" workbookViewId="0">
      <selection activeCell="C51" sqref="C51"/>
    </sheetView>
  </sheetViews>
  <sheetFormatPr defaultColWidth="9.140625" defaultRowHeight="14.25" x14ac:dyDescent="0.25"/>
  <cols>
    <col min="1" max="2" width="37.7109375" style="103" customWidth="1"/>
    <col min="3" max="3" width="39.28515625" style="103" customWidth="1"/>
    <col min="4" max="5" width="19.7109375" style="103" customWidth="1"/>
    <col min="6" max="16384" width="9.140625" style="103"/>
  </cols>
  <sheetData>
    <row r="1" spans="1:5" s="102" customFormat="1" ht="15" x14ac:dyDescent="0.25">
      <c r="A1" s="101" t="s">
        <v>111</v>
      </c>
      <c r="B1" s="101"/>
      <c r="C1" s="101"/>
    </row>
    <row r="2" spans="1:5" s="102" customFormat="1" ht="15" x14ac:dyDescent="0.25">
      <c r="A2" s="101" t="s">
        <v>120</v>
      </c>
      <c r="B2" s="101"/>
      <c r="C2" s="101"/>
    </row>
    <row r="3" spans="1:5" ht="62.25" customHeight="1" x14ac:dyDescent="0.25">
      <c r="C3" s="183"/>
    </row>
    <row r="4" spans="1:5" ht="15" thickBot="1" x14ac:dyDescent="0.3"/>
    <row r="5" spans="1:5" ht="45.75" thickBot="1" x14ac:dyDescent="0.3">
      <c r="A5" s="186"/>
      <c r="B5" s="187" t="s">
        <v>122</v>
      </c>
      <c r="C5" s="188" t="s">
        <v>126</v>
      </c>
      <c r="D5" s="187" t="s">
        <v>123</v>
      </c>
      <c r="E5" s="188" t="s">
        <v>127</v>
      </c>
    </row>
    <row r="6" spans="1:5" ht="15" thickTop="1" x14ac:dyDescent="0.2">
      <c r="A6" s="104" t="s">
        <v>121</v>
      </c>
      <c r="B6" s="257">
        <v>30425000</v>
      </c>
      <c r="C6" s="258"/>
      <c r="D6" s="259">
        <v>21050000</v>
      </c>
      <c r="E6" s="260"/>
    </row>
    <row r="7" spans="1:5" ht="28.5" x14ac:dyDescent="0.25">
      <c r="A7" s="161" t="s">
        <v>94</v>
      </c>
      <c r="B7" s="162">
        <v>32256</v>
      </c>
      <c r="C7" s="163">
        <v>12864</v>
      </c>
      <c r="D7" s="162">
        <v>32256</v>
      </c>
      <c r="E7" s="163">
        <v>12864</v>
      </c>
    </row>
    <row r="8" spans="1:5" x14ac:dyDescent="0.25">
      <c r="A8" s="161" t="s">
        <v>95</v>
      </c>
      <c r="B8" s="164">
        <f>B7/(B7+C7)</f>
        <v>0.71489361702127663</v>
      </c>
      <c r="C8" s="165">
        <f>C7/(B7+C7)</f>
        <v>0.28510638297872343</v>
      </c>
      <c r="D8" s="164">
        <f>D7/(D7+E7)</f>
        <v>0.71489361702127663</v>
      </c>
      <c r="E8" s="165">
        <f>E7/(D7+E7)</f>
        <v>0.28510638297872343</v>
      </c>
    </row>
    <row r="9" spans="1:5" ht="28.5" x14ac:dyDescent="0.25">
      <c r="A9" s="166" t="s">
        <v>96</v>
      </c>
      <c r="B9" s="167">
        <f>B8*$B$6</f>
        <v>21750638.297872342</v>
      </c>
      <c r="C9" s="168">
        <f>C8*$B$6</f>
        <v>8674361.7021276597</v>
      </c>
      <c r="D9" s="167">
        <f>D8*$D$6</f>
        <v>15048510.638297873</v>
      </c>
      <c r="E9" s="168">
        <f>E8*$D$6</f>
        <v>6001489.3617021283</v>
      </c>
    </row>
    <row r="10" spans="1:5" ht="28.5" x14ac:dyDescent="0.25">
      <c r="A10" s="161" t="s">
        <v>97</v>
      </c>
      <c r="B10" s="167">
        <f>B9/2</f>
        <v>10875319.148936171</v>
      </c>
      <c r="C10" s="168">
        <f>C9/2</f>
        <v>4337180.8510638298</v>
      </c>
      <c r="D10" s="167">
        <f>D9/2</f>
        <v>7524255.3191489363</v>
      </c>
      <c r="E10" s="168">
        <f>E9/2</f>
        <v>3000744.6808510642</v>
      </c>
    </row>
    <row r="11" spans="1:5" ht="28.5" x14ac:dyDescent="0.25">
      <c r="A11" s="161" t="s">
        <v>98</v>
      </c>
      <c r="B11" s="169">
        <f>B10*B15</f>
        <v>910039.42029905878</v>
      </c>
      <c r="C11" s="170">
        <f>C10*B15</f>
        <v>362932.38785736269</v>
      </c>
      <c r="D11" s="169">
        <f>D10*B15</f>
        <v>629624.64411816548</v>
      </c>
      <c r="E11" s="170">
        <f>E10*B15</f>
        <v>251100.30449950651</v>
      </c>
    </row>
    <row r="12" spans="1:5" ht="42.75" x14ac:dyDescent="0.25">
      <c r="A12" s="161" t="s">
        <v>99</v>
      </c>
      <c r="B12" s="167">
        <f>C23*B10</f>
        <v>435012.76595744683</v>
      </c>
      <c r="C12" s="168">
        <f>C23*C10</f>
        <v>173487.2340425532</v>
      </c>
      <c r="D12" s="167">
        <f>C23*D10</f>
        <v>300970.21276595746</v>
      </c>
      <c r="E12" s="168">
        <f>C23*E10</f>
        <v>120029.78723404257</v>
      </c>
    </row>
    <row r="13" spans="1:5" ht="30.75" thickBot="1" x14ac:dyDescent="0.3">
      <c r="A13" s="171" t="s">
        <v>100</v>
      </c>
      <c r="B13" s="172">
        <f>SUM(B11:B12)</f>
        <v>1345052.1862565055</v>
      </c>
      <c r="C13" s="173">
        <f>SUM(C11:C12)</f>
        <v>536419.62189991586</v>
      </c>
      <c r="D13" s="172">
        <f>SUM(D11:D12)</f>
        <v>930594.85688412294</v>
      </c>
      <c r="E13" s="173">
        <f>SUM(E11:E12)</f>
        <v>371130.09173354908</v>
      </c>
    </row>
    <row r="14" spans="1:5" x14ac:dyDescent="0.25">
      <c r="A14" s="174"/>
      <c r="B14" s="174"/>
      <c r="C14" s="174"/>
      <c r="D14" s="174"/>
      <c r="E14" s="174"/>
    </row>
    <row r="15" spans="1:5" x14ac:dyDescent="0.25">
      <c r="A15" s="174" t="s">
        <v>101</v>
      </c>
      <c r="B15" s="175">
        <f>($C$18/100*POWER((1+($C$18/100)),$C$20))/((POWER(((1+$C$18/100)),$C$20))-1)</f>
        <v>8.3679330034933205E-2</v>
      </c>
      <c r="C15" s="174"/>
      <c r="D15" s="174"/>
      <c r="E15" s="174"/>
    </row>
    <row r="16" spans="1:5" x14ac:dyDescent="0.25">
      <c r="A16" s="174"/>
      <c r="B16" s="174"/>
      <c r="C16" s="174"/>
      <c r="D16" s="174"/>
      <c r="E16" s="174"/>
    </row>
    <row r="17" spans="1:5" ht="15" x14ac:dyDescent="0.25">
      <c r="A17" s="176" t="s">
        <v>69</v>
      </c>
      <c r="B17" s="177"/>
      <c r="C17" s="178"/>
      <c r="D17" s="177"/>
      <c r="E17" s="174"/>
    </row>
    <row r="18" spans="1:5" x14ac:dyDescent="0.25">
      <c r="A18" s="177" t="s">
        <v>102</v>
      </c>
      <c r="B18" s="177"/>
      <c r="C18" s="179">
        <v>5.5</v>
      </c>
      <c r="D18" s="174" t="s">
        <v>103</v>
      </c>
      <c r="E18" s="174"/>
    </row>
    <row r="19" spans="1:5" x14ac:dyDescent="0.25">
      <c r="A19" s="177" t="s">
        <v>104</v>
      </c>
      <c r="B19" s="177"/>
      <c r="C19" s="177"/>
      <c r="D19" s="174"/>
      <c r="E19" s="174"/>
    </row>
    <row r="20" spans="1:5" x14ac:dyDescent="0.25">
      <c r="A20" s="177" t="s">
        <v>105</v>
      </c>
      <c r="B20" s="177"/>
      <c r="C20" s="180">
        <v>20</v>
      </c>
      <c r="D20" s="174" t="s">
        <v>72</v>
      </c>
      <c r="E20" s="174"/>
    </row>
    <row r="21" spans="1:5" x14ac:dyDescent="0.25">
      <c r="A21" s="177" t="s">
        <v>106</v>
      </c>
      <c r="B21" s="177"/>
      <c r="C21" s="177"/>
      <c r="D21" s="174"/>
      <c r="E21" s="174"/>
    </row>
    <row r="22" spans="1:5" x14ac:dyDescent="0.25">
      <c r="A22" s="174"/>
      <c r="B22" s="174"/>
      <c r="C22" s="174"/>
      <c r="D22" s="174"/>
      <c r="E22" s="174"/>
    </row>
    <row r="23" spans="1:5" ht="29.25" customHeight="1" x14ac:dyDescent="0.25">
      <c r="A23" s="255" t="s">
        <v>107</v>
      </c>
      <c r="B23" s="256"/>
      <c r="C23" s="181">
        <v>0.04</v>
      </c>
      <c r="D23" s="174"/>
      <c r="E23" s="174"/>
    </row>
    <row r="24" spans="1:5" ht="14.25" customHeight="1" x14ac:dyDescent="0.25">
      <c r="A24" s="255" t="s">
        <v>108</v>
      </c>
      <c r="B24" s="255"/>
      <c r="C24" s="174"/>
      <c r="D24" s="174"/>
      <c r="E24" s="174"/>
    </row>
    <row r="25" spans="1:5" x14ac:dyDescent="0.25">
      <c r="A25" s="174" t="s">
        <v>109</v>
      </c>
      <c r="B25" s="174"/>
      <c r="C25" s="174"/>
      <c r="D25" s="174"/>
      <c r="E25" s="174"/>
    </row>
    <row r="27" spans="1:5" x14ac:dyDescent="0.25">
      <c r="A27" s="105" t="s">
        <v>110</v>
      </c>
      <c r="B27" s="105"/>
    </row>
  </sheetData>
  <mergeCells count="4">
    <mergeCell ref="A23:B23"/>
    <mergeCell ref="A24:B24"/>
    <mergeCell ref="B6:C6"/>
    <mergeCell ref="D6:E6"/>
  </mergeCells>
  <printOptions horizontalCentered="1"/>
  <pageMargins left="0.7" right="0.7" top="0.75" bottom="0.75" header="0.3" footer="0.3"/>
  <pageSetup scale="80" firstPageNumber="93" orientation="landscape" useFirstPageNumber="1" r:id="rId1"/>
  <headerFooter>
    <oddHeader>&amp;L&amp;"Times New Roman,Bold"&amp;14Appendix III.D.7, Public Notice Draft May 10, 2019</oddHeader>
    <oddFooter>&amp;L&amp;"Arial,Regular"&amp;8GVEA - North Pole Facility
PM&amp;Y2.5&amp;Y Serious NAA BACT Analysis&amp;R&amp;"Arial,Regular"&amp;8August 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DFFD117A687F4BBEEF3206719FB718" ma:contentTypeVersion="0" ma:contentTypeDescription="Create a new document." ma:contentTypeScope="" ma:versionID="950c161123550eef76ac92b61c93b34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0A56E9-97D1-4D3B-8A6E-CE1D771BFAE0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615A6FC-CADD-4242-A42F-9E1C4B6281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9EC1B9-6102-4549-8094-873554EA0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5-1 Available-SO2</vt:lpstr>
      <vt:lpstr>5-2 Feasible-SO2</vt:lpstr>
      <vt:lpstr>5-3 Ranking-SO2</vt:lpstr>
      <vt:lpstr>5-4 EU ID 1 ULSD CE</vt:lpstr>
      <vt:lpstr>5-5 EU ID 2 ULSD CE</vt:lpstr>
      <vt:lpstr>5-10 TCI ULSD EU1-2</vt:lpstr>
      <vt:lpstr>'5-3 Ranking-SO2'!Print_Area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2019-05-14T19:50:27Z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ffbd0ccf-7e8a-48ac-953e-03a18e98db69</vt:lpwstr>
  </property>
  <property fmtid="{D5CDD505-2E9C-101B-9397-08002B2CF9AE}" pid="3" name="ContentTypeId">
    <vt:lpwstr>0x010100C8DFFD117A687F4BBEEF3206719FB718</vt:lpwstr>
  </property>
  <property fmtid="{D5CDD505-2E9C-101B-9397-08002B2CF9AE}" pid="4" name="ESRI_WORKBOOK_ID">
    <vt:lpwstr>a54d013660d948c69dbfa506f417c38e</vt:lpwstr>
  </property>
</Properties>
</file>