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" windowWidth="12120" windowHeight="5772" tabRatio="707" activeTab="1"/>
  </bookViews>
  <sheets>
    <sheet name="LAF and SSF" sheetId="30" r:id="rId1"/>
    <sheet name="NOx - SCR - Cap Cost" sheetId="17" r:id="rId2"/>
    <sheet name="NOx - SCR - Ann Cost" sheetId="15" r:id="rId3"/>
    <sheet name="NOx - SNCR - Cap Cost" sheetId="18" r:id="rId4"/>
    <sheet name="NOx - SNCR - Ann Cost" sheetId="24" r:id="rId5"/>
    <sheet name="Capital Recovery Factors" sheetId="21" r:id="rId6"/>
  </sheets>
  <definedNames>
    <definedName name="_xlnm.Print_Area" localSheetId="2">'NOx - SCR - Ann Cost'!$A$1:$B$59</definedName>
    <definedName name="_xlnm.Print_Area" localSheetId="1">'NOx - SCR - Cap Cost'!$A$1:$B$44</definedName>
  </definedNames>
  <calcPr calcId="145621"/>
</workbook>
</file>

<file path=xl/calcChain.xml><?xml version="1.0" encoding="utf-8"?>
<calcChain xmlns="http://schemas.openxmlformats.org/spreadsheetml/2006/main">
  <c r="B70" i="24" l="1"/>
  <c r="B67" i="24" l="1"/>
  <c r="B53" i="15" l="1"/>
  <c r="C67" i="24"/>
  <c r="B69" i="24"/>
  <c r="E64" i="24"/>
  <c r="E66" i="24"/>
  <c r="E63" i="24"/>
  <c r="C63" i="24"/>
  <c r="E67" i="24" l="1"/>
  <c r="C69" i="24"/>
  <c r="F32" i="24"/>
  <c r="B32" i="24"/>
  <c r="E69" i="24" l="1"/>
  <c r="B22" i="18"/>
  <c r="B23" i="18" s="1"/>
  <c r="C10" i="30" l="1"/>
  <c r="B8" i="17"/>
  <c r="B7" i="15" l="1"/>
  <c r="B8" i="15"/>
  <c r="B3" i="15" s="1"/>
  <c r="B19" i="17"/>
  <c r="B25" i="17" l="1"/>
  <c r="B25" i="15"/>
  <c r="B6" i="15"/>
  <c r="B28" i="15"/>
  <c r="B32" i="15"/>
  <c r="B51" i="15"/>
  <c r="F33" i="24"/>
  <c r="F12" i="24"/>
  <c r="F6" i="24"/>
  <c r="F13" i="24" s="1"/>
  <c r="F38" i="24" s="1"/>
  <c r="F41" i="18"/>
  <c r="B41" i="18"/>
  <c r="B12" i="24"/>
  <c r="B6" i="24"/>
  <c r="B13" i="24" s="1"/>
  <c r="B33" i="24"/>
  <c r="F22" i="18"/>
  <c r="F23" i="18" s="1"/>
  <c r="B27" i="17" l="1"/>
  <c r="B29" i="17" s="1"/>
  <c r="B26" i="17"/>
  <c r="B30" i="15"/>
  <c r="F25" i="18"/>
  <c r="F7" i="24"/>
  <c r="F8" i="24"/>
  <c r="B38" i="24"/>
  <c r="B7" i="24"/>
  <c r="B8" i="24"/>
  <c r="B25" i="18"/>
  <c r="F30" i="18" l="1"/>
  <c r="F29" i="18"/>
  <c r="B29" i="18"/>
  <c r="B30" i="18"/>
  <c r="F31" i="18"/>
  <c r="F28" i="18"/>
  <c r="F32" i="18"/>
  <c r="F9" i="24"/>
  <c r="F20" i="24"/>
  <c r="B20" i="24"/>
  <c r="B9" i="24"/>
  <c r="B31" i="18"/>
  <c r="B28" i="18"/>
  <c r="B32" i="18"/>
  <c r="F34" i="18" l="1"/>
  <c r="F17" i="24"/>
  <c r="F40" i="24" s="1"/>
  <c r="F10" i="24"/>
  <c r="F36" i="24" s="1"/>
  <c r="F42" i="24"/>
  <c r="F24" i="24"/>
  <c r="F44" i="24" s="1"/>
  <c r="B24" i="24"/>
  <c r="B44" i="24" s="1"/>
  <c r="B42" i="24"/>
  <c r="B17" i="24"/>
  <c r="B40" i="24" s="1"/>
  <c r="B10" i="24"/>
  <c r="B36" i="24" s="1"/>
  <c r="F36" i="18"/>
  <c r="F37" i="18" s="1"/>
  <c r="B34" i="18"/>
  <c r="F40" i="18" l="1"/>
  <c r="F44" i="18" s="1"/>
  <c r="B36" i="18"/>
  <c r="B37" i="18" s="1"/>
  <c r="B40" i="18" s="1"/>
  <c r="F34" i="24" l="1"/>
  <c r="F46" i="24" s="1"/>
  <c r="F50" i="18"/>
  <c r="F52" i="24"/>
  <c r="B52" i="18"/>
  <c r="F51" i="24"/>
  <c r="B44" i="18"/>
  <c r="B50" i="18" s="1"/>
  <c r="F50" i="24" l="1"/>
  <c r="F54" i="24" s="1"/>
  <c r="B52" i="24"/>
  <c r="B51" i="24"/>
  <c r="B40" i="15"/>
  <c r="B36" i="15"/>
  <c r="B34" i="24"/>
  <c r="F56" i="24" l="1"/>
  <c r="C65" i="24" s="1"/>
  <c r="B46" i="24"/>
  <c r="B50" i="24"/>
  <c r="B54" i="24" s="1"/>
  <c r="C70" i="24" l="1"/>
  <c r="B34" i="17"/>
  <c r="B56" i="24"/>
  <c r="B65" i="24" s="1"/>
  <c r="B32" i="17"/>
  <c r="B33" i="17"/>
  <c r="E65" i="24" l="1"/>
  <c r="E70" i="24" s="1"/>
  <c r="B36" i="17"/>
  <c r="B38" i="17" s="1"/>
  <c r="B40" i="17" s="1"/>
  <c r="B42" i="15" l="1"/>
  <c r="B41" i="15"/>
  <c r="B43" i="15"/>
  <c r="B44" i="15"/>
  <c r="B46" i="15" l="1"/>
  <c r="B48" i="15" s="1"/>
  <c r="B54" i="15" s="1"/>
</calcChain>
</file>

<file path=xl/sharedStrings.xml><?xml version="1.0" encoding="utf-8"?>
<sst xmlns="http://schemas.openxmlformats.org/spreadsheetml/2006/main" count="270" uniqueCount="166">
  <si>
    <t>INDIRECT COSTS</t>
  </si>
  <si>
    <t>TOTAL INDIRECT COSTS</t>
  </si>
  <si>
    <t>DIRECT ANNUAL COSTS</t>
  </si>
  <si>
    <t>INDIRECT ANNUAL COSTS</t>
  </si>
  <si>
    <t>Administrative charges (2% of total capital investment)</t>
  </si>
  <si>
    <t>Insurance (1% of total capital investment)</t>
  </si>
  <si>
    <t>Property tax (1% of total capital investment)</t>
  </si>
  <si>
    <t>DIRECT COSTS</t>
  </si>
  <si>
    <t>Construction management (10% of total purchased equipment costs)</t>
  </si>
  <si>
    <t>Construction fee (10% of total purchased equipment costs)</t>
  </si>
  <si>
    <t>Performance test (1% of total purchased equipment costs)</t>
  </si>
  <si>
    <t>Operating labor</t>
  </si>
  <si>
    <t xml:space="preserve">     Supervision (15% of operator labor cost)</t>
  </si>
  <si>
    <t>Overhead (80% of total operation and maintenance labor)</t>
  </si>
  <si>
    <t>Ammonia Risk Management Professional (1040 hr/yr @ $40/hr)</t>
  </si>
  <si>
    <t>Capital recovery (16.275% of total capital investment: 10 yr at 10% interest)</t>
  </si>
  <si>
    <t xml:space="preserve">Capital costs were estimated using equations from the EPA document "Cost of Selective Catalytic </t>
  </si>
  <si>
    <t>Reduction (SCR) Application for NOx Control on Coal-fired Boilers" (EPA/600/R-01/087, October 2001).</t>
  </si>
  <si>
    <t>CAPITAL RECOVERY FACTORS</t>
  </si>
  <si>
    <t>Equipment
life, yr</t>
  </si>
  <si>
    <t>Annual Compounded Interest, %</t>
  </si>
  <si>
    <t>TOTAL CAPITAL COST</t>
  </si>
  <si>
    <r>
      <t>Q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= Boiler size (MMBtu/hr)</t>
    </r>
  </si>
  <si>
    <r>
      <t>η</t>
    </r>
    <r>
      <rPr>
        <vertAlign val="subscript"/>
        <sz val="11"/>
        <rFont val="Arial"/>
        <family val="2"/>
      </rPr>
      <t>NOx</t>
    </r>
    <r>
      <rPr>
        <sz val="11"/>
        <rFont val="Arial"/>
        <family val="2"/>
      </rPr>
      <t xml:space="preserve"> = NOx removal efficiency</t>
    </r>
  </si>
  <si>
    <t>Composite CE Index for 1998 (cost year of equation)</t>
  </si>
  <si>
    <t>TOTAL INDIRECT COSTS (B)</t>
  </si>
  <si>
    <t>Project Contingency (C = 0.15 x (A + B))</t>
  </si>
  <si>
    <t>Total Plant Cost (D = A + B + C)</t>
  </si>
  <si>
    <t>Allowance for Funds During Construction (E = 0, assumed for SNCR)</t>
  </si>
  <si>
    <t>Royalty Allowance (F = 0, assumed for SNCR)</t>
  </si>
  <si>
    <t>Preproduction Cost (G = 0.02 x (D + E))</t>
  </si>
  <si>
    <t>Initial Catalyst and Chemicals (I = 0, assumed for SNCR)</t>
  </si>
  <si>
    <t>TOTAL CAPITAL COST (D + E + F + G + H + I)</t>
  </si>
  <si>
    <t>TOTAL DIRECT COSTS (A)</t>
  </si>
  <si>
    <t>using the Composite CE Price Index.</t>
  </si>
  <si>
    <t>Composite CE Index for 2015 (cost year of review)</t>
  </si>
  <si>
    <t xml:space="preserve">Capital costs were estimated using equations from the EPA document "EPA AIR POLLUTION CONTROL </t>
  </si>
  <si>
    <t>COST MANUAL, Sixth Edition" (EPA/452/B-02-001, January 2002).</t>
  </si>
  <si>
    <t xml:space="preserve">These equations estimate costs in CY1998 dollars.  Therefore, all costs were corrected to 2015 dollars </t>
  </si>
  <si>
    <r>
      <t>Direct Capital Cost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(includes urea-based SNCR equipment, instrumentation, sales tax, freight, field measurements, numerical modeling, system design; installation of auxiliary equipment (e.g., ductwork, compressor), foundations and supports, handling and erection, electrical, piping, insulation, and painting; and asbestos removal)</t>
    </r>
    <r>
      <rPr>
        <vertAlign val="superscript"/>
        <sz val="11"/>
        <rFont val="Arial"/>
        <family val="2"/>
      </rPr>
      <t>a</t>
    </r>
  </si>
  <si>
    <t>a.  EPA AIR POLLUTION CONTROL COST MANUAL, Sixth Edition (EPA/452/B-02-001, January 2002)</t>
  </si>
  <si>
    <t>b.  Section 4.2, Chapter 1, Section 1.2.5 of the Cost Control Manual states that "Retrofit installation of the SNCR system generally calls for additional expenditures in the range of 10% to 30% of the SNCR system cost."</t>
  </si>
  <si>
    <t>TOTAL CAPITAL COST FOR CHENA POWER PLANT</t>
  </si>
  <si>
    <t>(one, 269 MMBtu/hr boiler and three, 76 MMBtu/hr boilers)</t>
  </si>
  <si>
    <t>Composite CE Index for 2000 (cost year of equation)</t>
  </si>
  <si>
    <t>D = capital cost ($/kW) =</t>
  </si>
  <si>
    <r>
      <t>B = NOx (lb/10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Btu) at the inlet of SCR reactor =</t>
    </r>
  </si>
  <si>
    <t>C = NOx removal efficiency (percent) =</t>
  </si>
  <si>
    <t>2015 dollars using the Composite CE Price Index.</t>
  </si>
  <si>
    <t>These equations estimate retrofit costs in CY2000 dollars.  Therefore, all costs were corrected to</t>
  </si>
  <si>
    <t xml:space="preserve">a. Capital costs were estimated using equations from the EPA document "Cost of Selective Catalytic </t>
  </si>
  <si>
    <t>Maintenance (labor and material cost, including nozzle tip replacement for the injectors) (0.015 x TOTAL CAPITAL COST)</t>
  </si>
  <si>
    <r>
      <t>Reagent (q</t>
    </r>
    <r>
      <rPr>
        <vertAlign val="subscript"/>
        <sz val="11"/>
        <rFont val="Arial"/>
        <family val="2"/>
      </rPr>
      <t>sol</t>
    </r>
    <r>
      <rPr>
        <sz val="11"/>
        <rFont val="Arial"/>
        <family val="2"/>
      </rPr>
      <t xml:space="preserve"> x Cost</t>
    </r>
    <r>
      <rPr>
        <vertAlign val="subscript"/>
        <sz val="11"/>
        <rFont val="Arial"/>
        <family val="2"/>
      </rPr>
      <t>reag</t>
    </r>
    <r>
      <rPr>
        <sz val="11"/>
        <rFont val="Arial"/>
        <family val="2"/>
      </rPr>
      <t xml:space="preserve"> x 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>)</t>
    </r>
  </si>
  <si>
    <r>
      <t>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REMOVAL EFFICIENCY, %</t>
    </r>
  </si>
  <si>
    <r>
      <t>TOTAL 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REMOVED, tons</t>
    </r>
  </si>
  <si>
    <r>
      <t>η</t>
    </r>
    <r>
      <rPr>
        <vertAlign val="subscript"/>
        <sz val="11"/>
        <rFont val="Arial"/>
        <family val="2"/>
      </rPr>
      <t>NOx</t>
    </r>
    <r>
      <rPr>
        <sz val="11"/>
        <rFont val="Arial"/>
        <family val="2"/>
      </rPr>
      <t xml:space="preserve"> =NOx removal efficiency</t>
    </r>
  </si>
  <si>
    <r>
      <t>NOx</t>
    </r>
    <r>
      <rPr>
        <vertAlign val="subscript"/>
        <sz val="11"/>
        <rFont val="Arial"/>
        <family val="2"/>
      </rPr>
      <t>in</t>
    </r>
    <r>
      <rPr>
        <sz val="11"/>
        <rFont val="Arial"/>
        <family val="2"/>
      </rPr>
      <t xml:space="preserve"> (lb/10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Btu)</t>
    </r>
  </si>
  <si>
    <r>
      <t>Utilization = η</t>
    </r>
    <r>
      <rPr>
        <vertAlign val="subscript"/>
        <sz val="11"/>
        <rFont val="Arial"/>
        <family val="2"/>
      </rPr>
      <t>NOx</t>
    </r>
    <r>
      <rPr>
        <sz val="11"/>
        <rFont val="Arial"/>
        <family val="2"/>
      </rPr>
      <t>/NSR</t>
    </r>
  </si>
  <si>
    <r>
      <t>NSR = Normalized Stoichiometric Ratio = [(2 x NOx</t>
    </r>
    <r>
      <rPr>
        <vertAlign val="subscript"/>
        <sz val="11"/>
        <rFont val="Arial"/>
        <family val="2"/>
      </rPr>
      <t>in</t>
    </r>
    <r>
      <rPr>
        <sz val="11"/>
        <rFont val="Arial"/>
        <family val="2"/>
      </rPr>
      <t>)+0.7]x η</t>
    </r>
    <r>
      <rPr>
        <vertAlign val="subscript"/>
        <sz val="11"/>
        <rFont val="Arial"/>
        <family val="2"/>
      </rPr>
      <t>NOx</t>
    </r>
    <r>
      <rPr>
        <sz val="11"/>
        <rFont val="Arial"/>
        <family val="2"/>
      </rPr>
      <t>/NOx</t>
    </r>
    <r>
      <rPr>
        <vertAlign val="subscript"/>
        <sz val="11"/>
        <rFont val="Arial"/>
        <family val="2"/>
      </rPr>
      <t>in</t>
    </r>
  </si>
  <si>
    <r>
      <t>m</t>
    </r>
    <r>
      <rPr>
        <vertAlign val="subscript"/>
        <sz val="11"/>
        <rFont val="Arial"/>
        <family val="2"/>
      </rPr>
      <t>sol</t>
    </r>
    <r>
      <rPr>
        <sz val="11"/>
        <rFont val="Arial"/>
        <family val="2"/>
      </rPr>
      <t xml:space="preserve"> (50% solution) (lb/hr) = m</t>
    </r>
    <r>
      <rPr>
        <vertAlign val="subscript"/>
        <sz val="11"/>
        <rFont val="Arial"/>
        <family val="2"/>
      </rPr>
      <t>reagent</t>
    </r>
    <r>
      <rPr>
        <sz val="11"/>
        <rFont val="Arial"/>
        <family val="2"/>
      </rPr>
      <t>/0.5</t>
    </r>
  </si>
  <si>
    <r>
      <t>q</t>
    </r>
    <r>
      <rPr>
        <vertAlign val="subscript"/>
        <sz val="11"/>
        <rFont val="Arial"/>
        <family val="2"/>
      </rPr>
      <t>sol</t>
    </r>
    <r>
      <rPr>
        <sz val="11"/>
        <rFont val="Arial"/>
        <family val="2"/>
      </rPr>
      <t xml:space="preserve"> (gal/hr) = m</t>
    </r>
    <r>
      <rPr>
        <vertAlign val="subscript"/>
        <sz val="11"/>
        <rFont val="Arial"/>
        <family val="2"/>
      </rPr>
      <t>sol</t>
    </r>
    <r>
      <rPr>
        <sz val="11"/>
        <rFont val="Arial"/>
        <family val="2"/>
      </rPr>
      <t xml:space="preserve"> x 7.481 gal/ft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/ 71.0 lb/ft</t>
    </r>
    <r>
      <rPr>
        <vertAlign val="superscript"/>
        <sz val="11"/>
        <rFont val="Arial"/>
        <family val="2"/>
      </rPr>
      <t>3</t>
    </r>
  </si>
  <si>
    <r>
      <t>Cost</t>
    </r>
    <r>
      <rPr>
        <vertAlign val="subscript"/>
        <sz val="11"/>
        <rFont val="Arial"/>
        <family val="2"/>
      </rPr>
      <t>reag</t>
    </r>
    <r>
      <rPr>
        <sz val="11"/>
        <rFont val="Arial"/>
        <family val="2"/>
      </rPr>
      <t xml:space="preserve"> (50% urea solution) ($/gal)</t>
    </r>
  </si>
  <si>
    <r>
      <t>Power Consumption (P) (kW) =  0.47 x NOx</t>
    </r>
    <r>
      <rPr>
        <vertAlign val="subscript"/>
        <sz val="11"/>
        <rFont val="Arial"/>
        <family val="2"/>
      </rPr>
      <t>in</t>
    </r>
    <r>
      <rPr>
        <sz val="11"/>
        <rFont val="Arial"/>
        <family val="2"/>
      </rPr>
      <t xml:space="preserve"> x NSR x Q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/ 9.5)</t>
    </r>
  </si>
  <si>
    <r>
      <t>m</t>
    </r>
    <r>
      <rPr>
        <vertAlign val="subscript"/>
        <sz val="11"/>
        <rFont val="Arial"/>
        <family val="2"/>
      </rPr>
      <t>reagent</t>
    </r>
    <r>
      <rPr>
        <sz val="11"/>
        <rFont val="Arial"/>
        <family val="2"/>
      </rPr>
      <t xml:space="preserve"> (assume urea) (lb/hr)
       = NOx</t>
    </r>
    <r>
      <rPr>
        <vertAlign val="subscript"/>
        <sz val="11"/>
        <rFont val="Arial"/>
        <family val="2"/>
      </rPr>
      <t>in</t>
    </r>
    <r>
      <rPr>
        <sz val="11"/>
        <rFont val="Arial"/>
        <family val="2"/>
      </rPr>
      <t xml:space="preserve"> x Q</t>
    </r>
    <r>
      <rPr>
        <vertAlign val="subscript"/>
        <sz val="11"/>
        <rFont val="Arial"/>
        <family val="2"/>
      </rPr>
      <t>B</t>
    </r>
    <r>
      <rPr>
        <sz val="11"/>
        <rFont val="Arial"/>
        <family val="2"/>
      </rPr>
      <t xml:space="preserve"> x η</t>
    </r>
    <r>
      <rPr>
        <vertAlign val="subscript"/>
        <sz val="11"/>
        <rFont val="Arial"/>
        <family val="2"/>
      </rPr>
      <t>NOx</t>
    </r>
    <r>
      <rPr>
        <sz val="11"/>
        <rFont val="Arial"/>
        <family val="2"/>
      </rPr>
      <t xml:space="preserve"> x NSR x 60.06 g/mole/2 x 46.01 g/mole)</t>
    </r>
  </si>
  <si>
    <r>
      <t>Cost</t>
    </r>
    <r>
      <rPr>
        <vertAlign val="subscript"/>
        <sz val="11"/>
        <rFont val="Arial"/>
        <family val="2"/>
      </rPr>
      <t>elec</t>
    </r>
    <r>
      <rPr>
        <sz val="11"/>
        <rFont val="Arial"/>
        <family val="2"/>
      </rPr>
      <t xml:space="preserve"> ($/kW)</t>
    </r>
  </si>
  <si>
    <r>
      <t>Electricity (P x Cost</t>
    </r>
    <r>
      <rPr>
        <vertAlign val="subscript"/>
        <sz val="11"/>
        <rFont val="Arial"/>
        <family val="2"/>
      </rPr>
      <t>elec</t>
    </r>
    <r>
      <rPr>
        <sz val="11"/>
        <rFont val="Arial"/>
        <family val="2"/>
      </rPr>
      <t xml:space="preserve"> x 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>)</t>
    </r>
  </si>
  <si>
    <r>
      <t>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 xml:space="preserve"> (SNCR operating time) (hr/yr) (80% capacity factor)</t>
    </r>
  </si>
  <si>
    <r>
      <t>Concentration of urea solution stored (C</t>
    </r>
    <r>
      <rPr>
        <vertAlign val="subscript"/>
        <sz val="11"/>
        <rFont val="Arial"/>
        <family val="2"/>
      </rPr>
      <t>urea sol stored</t>
    </r>
    <r>
      <rPr>
        <sz val="11"/>
        <rFont val="Arial"/>
        <family val="2"/>
      </rPr>
      <t>)</t>
    </r>
  </si>
  <si>
    <r>
      <t>Concentration of urea solution injected (C</t>
    </r>
    <r>
      <rPr>
        <vertAlign val="subscript"/>
        <sz val="11"/>
        <rFont val="Arial"/>
        <family val="2"/>
      </rPr>
      <t>urea sol inj</t>
    </r>
    <r>
      <rPr>
        <sz val="11"/>
        <rFont val="Arial"/>
        <family val="2"/>
      </rPr>
      <t>)</t>
    </r>
  </si>
  <si>
    <r>
      <t>Water to dilute urea (q</t>
    </r>
    <r>
      <rPr>
        <vertAlign val="subscript"/>
        <sz val="11"/>
        <rFont val="Arial"/>
        <family val="2"/>
      </rPr>
      <t>water</t>
    </r>
    <r>
      <rPr>
        <sz val="11"/>
        <rFont val="Arial"/>
        <family val="2"/>
      </rPr>
      <t>) (gal/hr) 
       = m</t>
    </r>
    <r>
      <rPr>
        <vertAlign val="subscript"/>
        <sz val="11"/>
        <rFont val="Arial"/>
        <family val="2"/>
      </rPr>
      <t xml:space="preserve">sol </t>
    </r>
    <r>
      <rPr>
        <sz val="11"/>
        <rFont val="Arial"/>
        <family val="2"/>
      </rPr>
      <t>/ ρ</t>
    </r>
    <r>
      <rPr>
        <vertAlign val="subscript"/>
        <sz val="11"/>
        <rFont val="Arial"/>
        <family val="2"/>
      </rPr>
      <t>water</t>
    </r>
    <r>
      <rPr>
        <sz val="11"/>
        <rFont val="Arial"/>
        <family val="2"/>
      </rPr>
      <t xml:space="preserve"> x (C</t>
    </r>
    <r>
      <rPr>
        <vertAlign val="subscript"/>
        <sz val="11"/>
        <rFont val="Arial"/>
        <family val="2"/>
      </rPr>
      <t>urea sol stored</t>
    </r>
    <r>
      <rPr>
        <sz val="11"/>
        <rFont val="Arial"/>
        <family val="2"/>
      </rPr>
      <t>/C</t>
    </r>
    <r>
      <rPr>
        <vertAlign val="subscript"/>
        <sz val="11"/>
        <rFont val="Arial"/>
        <family val="2"/>
      </rPr>
      <t>urea sol inj</t>
    </r>
    <r>
      <rPr>
        <sz val="11"/>
        <rFont val="Arial"/>
        <family val="2"/>
      </rPr>
      <t xml:space="preserve"> - 1)</t>
    </r>
  </si>
  <si>
    <r>
      <t>Cost</t>
    </r>
    <r>
      <rPr>
        <vertAlign val="subscript"/>
        <sz val="11"/>
        <rFont val="Arial"/>
        <family val="2"/>
      </rPr>
      <t>water</t>
    </r>
    <r>
      <rPr>
        <sz val="11"/>
        <rFont val="Arial"/>
        <family val="2"/>
      </rPr>
      <t xml:space="preserve"> ($/1,000 gal)</t>
    </r>
  </si>
  <si>
    <r>
      <t>Water (q</t>
    </r>
    <r>
      <rPr>
        <vertAlign val="subscript"/>
        <sz val="11"/>
        <rFont val="Arial"/>
        <family val="2"/>
      </rPr>
      <t>water</t>
    </r>
    <r>
      <rPr>
        <sz val="11"/>
        <rFont val="Arial"/>
        <family val="2"/>
      </rPr>
      <t>/1,000 x Cost</t>
    </r>
    <r>
      <rPr>
        <vertAlign val="subscript"/>
        <sz val="11"/>
        <rFont val="Arial"/>
        <family val="2"/>
      </rPr>
      <t>water</t>
    </r>
    <r>
      <rPr>
        <sz val="11"/>
        <rFont val="Arial"/>
        <family val="2"/>
      </rPr>
      <t xml:space="preserve"> x 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>)</t>
    </r>
  </si>
  <si>
    <r>
      <t>Heat of Vaporization (H</t>
    </r>
    <r>
      <rPr>
        <vertAlign val="subscript"/>
        <sz val="11"/>
        <rFont val="Arial"/>
        <family val="2"/>
      </rPr>
      <t>v</t>
    </r>
    <r>
      <rPr>
        <sz val="11"/>
        <rFont val="Arial"/>
        <family val="2"/>
      </rPr>
      <t>) of water at 310 F (Btu/lb)</t>
    </r>
  </si>
  <si>
    <r>
      <rPr>
        <sz val="11"/>
        <rFont val="Calibri"/>
        <family val="2"/>
      </rPr>
      <t>Δ</t>
    </r>
    <r>
      <rPr>
        <sz val="11"/>
        <rFont val="Arial"/>
        <family val="2"/>
      </rPr>
      <t>Coal (MMBtu/hr) = H</t>
    </r>
    <r>
      <rPr>
        <vertAlign val="subscript"/>
        <sz val="11"/>
        <rFont val="Arial"/>
        <family val="2"/>
      </rPr>
      <t>vwater</t>
    </r>
    <r>
      <rPr>
        <sz val="11"/>
        <rFont val="Arial"/>
        <family val="2"/>
      </rPr>
      <t xml:space="preserve"> x m</t>
    </r>
    <r>
      <rPr>
        <vertAlign val="subscript"/>
        <sz val="11"/>
        <rFont val="Arial"/>
        <family val="2"/>
      </rPr>
      <t>reagent</t>
    </r>
    <r>
      <rPr>
        <sz val="11"/>
        <rFont val="Arial"/>
        <family val="2"/>
      </rPr>
      <t xml:space="preserve"> x (1/C</t>
    </r>
    <r>
      <rPr>
        <vertAlign val="subscript"/>
        <sz val="11"/>
        <rFont val="Arial"/>
        <family val="2"/>
      </rPr>
      <t>urea sol inj</t>
    </r>
    <r>
      <rPr>
        <sz val="11"/>
        <rFont val="Arial"/>
        <family val="2"/>
      </rPr>
      <t xml:space="preserve"> -1) / 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Btu/MMBtu</t>
    </r>
  </si>
  <si>
    <r>
      <t>Cost</t>
    </r>
    <r>
      <rPr>
        <vertAlign val="subscript"/>
        <sz val="11"/>
        <rFont val="Arial"/>
        <family val="2"/>
      </rPr>
      <t>coal</t>
    </r>
    <r>
      <rPr>
        <sz val="11"/>
        <rFont val="Arial"/>
        <family val="2"/>
      </rPr>
      <t xml:space="preserve"> ($/MMBtu)</t>
    </r>
  </si>
  <si>
    <r>
      <t>Coal (ΔCoal x Cost</t>
    </r>
    <r>
      <rPr>
        <vertAlign val="subscript"/>
        <sz val="11"/>
        <rFont val="Arial"/>
        <family val="2"/>
      </rPr>
      <t>coal</t>
    </r>
    <r>
      <rPr>
        <sz val="11"/>
        <rFont val="Arial"/>
        <family val="2"/>
      </rPr>
      <t xml:space="preserve"> x 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>)</t>
    </r>
  </si>
  <si>
    <t>High Heating Value (HHV) of coal (Btu/lb)</t>
  </si>
  <si>
    <t>wt% ash</t>
  </si>
  <si>
    <r>
      <rPr>
        <sz val="11"/>
        <rFont val="Calibri"/>
        <family val="2"/>
      </rPr>
      <t>Δ</t>
    </r>
    <r>
      <rPr>
        <sz val="11"/>
        <rFont val="Arial"/>
        <family val="2"/>
      </rPr>
      <t xml:space="preserve">Ash (ton/hr) = </t>
    </r>
    <r>
      <rPr>
        <sz val="11"/>
        <rFont val="Calibri"/>
        <family val="2"/>
      </rPr>
      <t>Δ</t>
    </r>
    <r>
      <rPr>
        <sz val="11"/>
        <rFont val="Arial"/>
        <family val="2"/>
      </rPr>
      <t>Coal x 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Btu/MMBtu x wt% ash / HHV / 2,000 lb/ton</t>
    </r>
  </si>
  <si>
    <r>
      <t>Cost</t>
    </r>
    <r>
      <rPr>
        <vertAlign val="subscript"/>
        <sz val="11"/>
        <rFont val="Arial"/>
        <family val="2"/>
      </rPr>
      <t>ash</t>
    </r>
    <r>
      <rPr>
        <sz val="11"/>
        <rFont val="Arial"/>
        <family val="2"/>
      </rPr>
      <t xml:space="preserve"> ($/ton)</t>
    </r>
  </si>
  <si>
    <r>
      <t>Ash (ΔAsh x Cost</t>
    </r>
    <r>
      <rPr>
        <vertAlign val="subscript"/>
        <sz val="11"/>
        <rFont val="Arial"/>
        <family val="2"/>
      </rPr>
      <t>ash</t>
    </r>
    <r>
      <rPr>
        <sz val="11"/>
        <rFont val="Arial"/>
        <family val="2"/>
      </rPr>
      <t xml:space="preserve"> x t</t>
    </r>
    <r>
      <rPr>
        <vertAlign val="subscript"/>
        <sz val="11"/>
        <rFont val="Arial"/>
        <family val="2"/>
      </rPr>
      <t>op</t>
    </r>
    <r>
      <rPr>
        <sz val="11"/>
        <rFont val="Arial"/>
        <family val="2"/>
      </rPr>
      <t>)</t>
    </r>
  </si>
  <si>
    <r>
      <t>Inventory Capital (H = Vol</t>
    </r>
    <r>
      <rPr>
        <vertAlign val="subscript"/>
        <sz val="11"/>
        <rFont val="Arial"/>
        <family val="2"/>
      </rPr>
      <t>reagent</t>
    </r>
    <r>
      <rPr>
        <sz val="11"/>
        <rFont val="Arial"/>
        <family val="2"/>
      </rPr>
      <t>(gal) x Cost</t>
    </r>
    <r>
      <rPr>
        <vertAlign val="subscript"/>
        <sz val="11"/>
        <rFont val="Arial"/>
        <family val="2"/>
      </rPr>
      <t>reagent</t>
    </r>
    <r>
      <rPr>
        <sz val="11"/>
        <rFont val="Arial"/>
        <family val="2"/>
      </rPr>
      <t>($0.85/gal), assume 2-week supply of 50% urea)</t>
    </r>
  </si>
  <si>
    <t>CHENA POWER PLANT CAPACITY
(one, 269 MMBtu/hr boiler and three, 76 MMBtu/hr boilers)</t>
  </si>
  <si>
    <r>
      <t>OVERALL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COST-EFFECTIVENESS, total $/ton removed</t>
    </r>
  </si>
  <si>
    <t>VARIABLE OPERATION AND MAINTENANCE</t>
  </si>
  <si>
    <t>1.005 = design margin that accounts for NH3 slip (see the appendix)</t>
  </si>
  <si>
    <r>
      <t>TOTAL UNCONTROLLED NO</t>
    </r>
    <r>
      <rPr>
        <vertAlign val="subscript"/>
        <sz val="11"/>
        <rFont val="Arial"/>
        <family val="2"/>
      </rPr>
      <t>x</t>
    </r>
    <r>
      <rPr>
        <sz val="11"/>
        <rFont val="Arial"/>
        <family val="2"/>
      </rPr>
      <t xml:space="preserve"> EMISSIONS, tons</t>
    </r>
  </si>
  <si>
    <t xml:space="preserve">G = annual capacity factor (expressed as a fraction) = </t>
  </si>
  <si>
    <r>
      <t>H = heat input (10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Btu/hr) = </t>
    </r>
  </si>
  <si>
    <r>
      <t>FIXED OPERATION AND MAINTENANCE (E) (includes annual maintenance material and labor cost)</t>
    </r>
    <r>
      <rPr>
        <vertAlign val="superscript"/>
        <sz val="11"/>
        <rFont val="Arial"/>
        <family val="2"/>
      </rPr>
      <t>a</t>
    </r>
  </si>
  <si>
    <r>
      <t>Ammonia</t>
    </r>
    <r>
      <rPr>
        <vertAlign val="superscript"/>
        <sz val="11"/>
        <rFont val="Arial"/>
        <family val="2"/>
      </rPr>
      <t>a</t>
    </r>
  </si>
  <si>
    <r>
      <t>Anhydrous NH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 xml:space="preserve"> cost ($/ton [year 2000 $]) = </t>
    </r>
  </si>
  <si>
    <r>
      <t>NH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 xml:space="preserve"> use cost ($/yr) = G x (Anh. NH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 xml:space="preserve"> Cost, [Yr 2000 $/ton]) x CEI(2015)/CEI(2000) x (0.37B x H 
                                            x C/100 x 8760/2000) x 1.005 x 1.05</t>
    </r>
  </si>
  <si>
    <r>
      <t>Annual Catalyst Replacement</t>
    </r>
    <r>
      <rPr>
        <vertAlign val="superscript"/>
        <sz val="11"/>
        <rFont val="Arial"/>
        <family val="2"/>
      </rPr>
      <t>a</t>
    </r>
  </si>
  <si>
    <t>0.025 = catalyst deactivation factor for coal-fired units (yr-1)</t>
  </si>
  <si>
    <r>
      <t>Capital cost (D) = 75 {300,000 [(B/1.5)</t>
    </r>
    <r>
      <rPr>
        <vertAlign val="superscript"/>
        <sz val="11"/>
        <rFont val="Arial"/>
        <family val="2"/>
      </rPr>
      <t>0.05</t>
    </r>
    <r>
      <rPr>
        <sz val="11"/>
        <rFont val="Arial"/>
        <family val="2"/>
      </rPr>
      <t xml:space="preserve"> (C/100) </t>
    </r>
    <r>
      <rPr>
        <vertAlign val="superscript"/>
        <sz val="11"/>
        <rFont val="Arial"/>
        <family val="2"/>
      </rPr>
      <t xml:space="preserve">0.4 </t>
    </r>
    <r>
      <rPr>
        <sz val="11"/>
        <rFont val="Arial"/>
        <family val="2"/>
      </rPr>
      <t>]/A}</t>
    </r>
    <r>
      <rPr>
        <vertAlign val="superscript"/>
        <sz val="11"/>
        <rFont val="Arial"/>
        <family val="2"/>
      </rPr>
      <t>0.35</t>
    </r>
    <r>
      <rPr>
        <sz val="11"/>
        <rFont val="Arial"/>
        <family val="2"/>
      </rPr>
      <t xml:space="preserve"> [CEI(2015)/CEI(2000)]</t>
    </r>
  </si>
  <si>
    <t>Energy requirement cost ($/yr) = G * 2.12 * A</t>
  </si>
  <si>
    <t xml:space="preserve">2.12 = a constant ($/kW-yr) = 0.03 (cost of energy in Yr 2000 $/kWh) * CEI(2015)/CEI(2000) </t>
  </si>
  <si>
    <t>* 8760 (h/yr) * 0.0055 (fraction cost of auxiliary power/unit of generation)</t>
  </si>
  <si>
    <t>requires 2 moles of NH3 per mole of NO2 instead of 1 mole of NH3 per 1 mole of NO)</t>
  </si>
  <si>
    <t>1.05 = design margin that accounts for small amount of NO2 in flue gas (SCR chemistry</t>
  </si>
  <si>
    <t>a.  Operation and maintenance costs, catalyst replacement costs, and electricity costs were estimated using</t>
  </si>
  <si>
    <t>on Coal-fired Boilers" (EPA/600/R-01/087, October 2001).</t>
  </si>
  <si>
    <t>equations from the EPA document "Cost of Selective Catalytic Reduction (SCR) Application for NOx Control</t>
  </si>
  <si>
    <t>Item</t>
  </si>
  <si>
    <t>Cost ($)</t>
  </si>
  <si>
    <r>
      <t>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COST-EFFECTIVENESS, $/ton removed</t>
    </r>
  </si>
  <si>
    <t xml:space="preserve">Engineering (0.10 A) </t>
  </si>
  <si>
    <t>Process Contingency (0.05 A)</t>
  </si>
  <si>
    <t>TOTAL DIRECT ANNUAL OPERATING COSTS</t>
  </si>
  <si>
    <t>TOTAL INDIRECT ANNUAL OPERATING COSTS</t>
  </si>
  <si>
    <t>TOTAL ANNUALIZED OPERATING COSTS</t>
  </si>
  <si>
    <t>TOTAL ANNUALIZED OPERATING COSTS, $</t>
  </si>
  <si>
    <r>
      <t>CAPITAL COST SUMMARY - SCR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</t>
    </r>
  </si>
  <si>
    <r>
      <t>ANNUALIZED COST SUMMARY - SCR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</t>
    </r>
  </si>
  <si>
    <r>
      <t>A = plant capacity (kW) = (H x 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x G x 0.00029 kW/Btu/hr / conv. eff.) =</t>
    </r>
  </si>
  <si>
    <t>assumed boiler conversion efficiency</t>
  </si>
  <si>
    <r>
      <t>CAPITAL COST SUMMARY - SNCR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IN 269 MMBtu/hr BOILER</t>
    </r>
  </si>
  <si>
    <r>
      <t>CAPITAL COST SUMMARY - SNCR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IN 76 MMBtu/hr BOILER</t>
    </r>
  </si>
  <si>
    <r>
      <t>ANNUALIZED COST SUMMARY - SNCR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IN 269 MMBtu/hr BOILER</t>
    </r>
  </si>
  <si>
    <r>
      <t>ANNUALIZED COST SUMMARY - SNCR FOR NO</t>
    </r>
    <r>
      <rPr>
        <b/>
        <vertAlign val="subscript"/>
        <sz val="11"/>
        <rFont val="Arial"/>
        <family val="2"/>
      </rPr>
      <t>x</t>
    </r>
    <r>
      <rPr>
        <b/>
        <sz val="11"/>
        <rFont val="Arial"/>
        <family val="2"/>
      </rPr>
      <t xml:space="preserve"> CONTROL IN 76 MMBtu/hr BOILER</t>
    </r>
  </si>
  <si>
    <t>General Facilities (0.05 A) (Startup, Performance Test, and Model Study)</t>
  </si>
  <si>
    <t>Retrofit Factor</t>
  </si>
  <si>
    <r>
      <t>Additional Retrofit Cost (10 to 30% of SNCR system cost)</t>
    </r>
    <r>
      <rPr>
        <vertAlign val="superscript"/>
        <sz val="11"/>
        <rFont val="Arial"/>
        <family val="2"/>
      </rPr>
      <t>b</t>
    </r>
  </si>
  <si>
    <t>Construction/field expenses (0.20 A)</t>
  </si>
  <si>
    <t>Construction Fee (0.10 A)</t>
  </si>
  <si>
    <t>CORRECTED TOTAL CAPITAL COST (notes c and d)</t>
  </si>
  <si>
    <t>TOTAL DIRECT COSTS</t>
  </si>
  <si>
    <r>
      <t>DIRECT CAPITAL COSTS (includes equipment, installation, engineering, contingency, spare parts, and commissioning)</t>
    </r>
    <r>
      <rPr>
        <vertAlign val="superscript"/>
        <sz val="11"/>
        <rFont val="Arial"/>
        <family val="2"/>
      </rPr>
      <t>a</t>
    </r>
    <r>
      <rPr>
        <sz val="11"/>
        <rFont val="Arial"/>
        <family val="2"/>
      </rPr>
      <t xml:space="preserve"> (A x D)</t>
    </r>
  </si>
  <si>
    <t>Freight (0.05 x Direct Capital Cost)</t>
  </si>
  <si>
    <t>Taxes (0.05 x Direct Capital Cost)</t>
  </si>
  <si>
    <t>b.  Cost methodology based on "Guidance for Estimating Capital and Annual Costs of Air Pollution Control Systems", by PEDCo Environmental, Inc., March 1983 (Ohio EPA Engineering Guide #46) unless otherwise specified.</t>
  </si>
  <si>
    <t>c.  LAF = 2.2 Location Adjustment Factor for Fairbanks, AK from DoD Facilities Pricing Guide\2\/2/, UFC 3-701-01, Change 8, July 2015.</t>
  </si>
  <si>
    <t xml:space="preserve">E = [D x LAF x SSF] x A x 0.0066/yr </t>
  </si>
  <si>
    <r>
      <t>Annual catalyst replacement cost ($/yr) = G x 0.025 x [D x LAF x SSF] x A x [(B/1.5)</t>
    </r>
    <r>
      <rPr>
        <vertAlign val="superscript"/>
        <sz val="11"/>
        <rFont val="Arial"/>
        <family val="2"/>
      </rPr>
      <t xml:space="preserve">0.05
                                                          </t>
    </r>
    <r>
      <rPr>
        <sz val="11"/>
        <rFont val="Arial"/>
        <family val="2"/>
      </rPr>
      <t xml:space="preserve">(C/100) </t>
    </r>
    <r>
      <rPr>
        <vertAlign val="superscript"/>
        <sz val="11"/>
        <rFont val="Arial"/>
        <family val="2"/>
      </rPr>
      <t>0.4</t>
    </r>
    <r>
      <rPr>
        <sz val="11"/>
        <rFont val="Arial"/>
        <family val="2"/>
      </rPr>
      <t>]</t>
    </r>
  </si>
  <si>
    <r>
      <t>A = plant capacity (kW) = (H x 10</t>
    </r>
    <r>
      <rPr>
        <vertAlign val="superscript"/>
        <sz val="11"/>
        <rFont val="Arial"/>
        <family val="2"/>
      </rPr>
      <t>6</t>
    </r>
    <r>
      <rPr>
        <sz val="11"/>
        <rFont val="Arial"/>
        <family val="2"/>
      </rPr>
      <t xml:space="preserve"> x G x 0.00029kW/Btu/hr / conv. eff.) =</t>
    </r>
  </si>
  <si>
    <r>
      <t xml:space="preserve">Electricity </t>
    </r>
    <r>
      <rPr>
        <vertAlign val="superscript"/>
        <sz val="11"/>
        <rFont val="Arial"/>
        <family val="2"/>
      </rPr>
      <t>a</t>
    </r>
  </si>
  <si>
    <t>b.  LAF = 2.2 Location Adjustment Factor for Fairbanks, AK from DoD Facilities Pricing Guide\2\/2/, UFC 3-701-01, Change 8, July 2015.</t>
  </si>
  <si>
    <t>SSF</t>
  </si>
  <si>
    <t>Labor Availability</t>
  </si>
  <si>
    <t>Slightly Below</t>
  </si>
  <si>
    <t>+0.041</t>
  </si>
  <si>
    <t>LAF = 2.2 Location Adjustment Factor for Fairbanks, AK from DoD Facilities Pricing Guide\2\/2/, UFC 3-701-01, Change 8, July 2015.</t>
  </si>
  <si>
    <t>SSF = 1.101 Site Sensitivity Factor (related to limited labor and housing, limited material availability, and congested work area) from Programming Cost Estimates for Military Construction, UFC3-370-01, 6 June 2011..</t>
  </si>
  <si>
    <t>Housing Availability</t>
  </si>
  <si>
    <t>+0.022</t>
  </si>
  <si>
    <t>Material Availability</t>
  </si>
  <si>
    <t>+0.01</t>
  </si>
  <si>
    <t>Local Site Peculiarities</t>
  </si>
  <si>
    <t>Congested Work Area</t>
  </si>
  <si>
    <t>+0.028</t>
  </si>
  <si>
    <t>Inadequate local labor force, however, labor is available within daily commuting distance.</t>
  </si>
  <si>
    <t>Adequate housing not available in local area; however, housing is available within commuting distance.</t>
  </si>
  <si>
    <t>Project requirements do not exceed the capabilities of the local area, but site is outside normal delivery range.</t>
  </si>
  <si>
    <t>Loss productivity caused by congested work area.</t>
  </si>
  <si>
    <t>Total SSF</t>
  </si>
  <si>
    <t>d.  SSF = 1.101 Site Sensitivity Factor (related to limited labor and housing, limited material availability, and congested work area) from Programming Cost Estimates for Military Construction, UFC3-370-01, 6 June 2011.</t>
  </si>
  <si>
    <t>c.  SSF = 1.101 Site Sensitivity Factor (related to limited labor and housing, limited material availability, and congested work area) from Programming Cost Estimates for Military Construction, UFC3-370-01, 6 June 2011.</t>
  </si>
  <si>
    <t xml:space="preserve">     Operator labor ($63.13/hr x 4 man-hours/day, on-site wages; EG46)</t>
  </si>
  <si>
    <t xml:space="preserve">     Operator labor ($63.13/hr x 4 man-hours/day, on-site data; EG46)</t>
  </si>
  <si>
    <t>3 - 76 MMBtu/hr Boilers</t>
  </si>
  <si>
    <t>269 MMBtu/hr Boiler</t>
  </si>
  <si>
    <t xml:space="preserve">Total      </t>
  </si>
  <si>
    <t>TOTAL CAPITAL COST - one, 269 MMBtu/hr boiler</t>
  </si>
  <si>
    <t>TOTAL UNCONTROLLED NOx EMISSIONS, tons</t>
  </si>
  <si>
    <t>TOTAL CAPITAL COST - three, 76 MMBtu/hr boilers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</si>
</sst>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7" formatCode="_(* #,##0.0000_);_(* \(#,##0.0000\);_(* &quot;-&quot;??_);_(@_)"/>
    <numFmt numFmtId="171" formatCode="&quot;$&quot;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u/>
      <sz val="11"/>
      <name val="Arial"/>
      <family val="2"/>
    </font>
    <font>
      <vertAlign val="subscript"/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vertAlign val="sub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3" fontId="7" fillId="0" borderId="0" xfId="0" applyNumberFormat="1" applyFont="1" applyFill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Alignment="1">
      <alignment horizontal="justify" vertical="top" wrapText="1"/>
    </xf>
    <xf numFmtId="0" fontId="7" fillId="0" borderId="2" xfId="0" applyFont="1" applyBorder="1" applyAlignment="1">
      <alignment horizontal="justify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justify" vertical="top" wrapText="1"/>
    </xf>
    <xf numFmtId="3" fontId="6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2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indent="2"/>
    </xf>
    <xf numFmtId="164" fontId="7" fillId="0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 vertical="top" wrapText="1"/>
    </xf>
    <xf numFmtId="38" fontId="7" fillId="0" borderId="0" xfId="0" applyNumberFormat="1" applyFont="1" applyFill="1" applyAlignment="1">
      <alignment horizontal="right" vertical="top" wrapText="1"/>
    </xf>
    <xf numFmtId="0" fontId="7" fillId="0" borderId="0" xfId="0" applyFont="1" applyAlignment="1">
      <alignment horizontal="left" vertical="center" wrapText="1"/>
    </xf>
    <xf numFmtId="43" fontId="7" fillId="0" borderId="0" xfId="0" applyNumberFormat="1" applyFont="1"/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right" vertical="top" wrapText="1"/>
    </xf>
    <xf numFmtId="0" fontId="7" fillId="2" borderId="0" xfId="0" applyFont="1" applyFill="1"/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7" fillId="0" borderId="0" xfId="0" applyFont="1" applyFill="1" applyAlignment="1">
      <alignment horizontal="right" vertical="top" wrapText="1"/>
    </xf>
    <xf numFmtId="165" fontId="7" fillId="0" borderId="0" xfId="1" applyNumberFormat="1" applyFont="1" applyFill="1" applyAlignment="1">
      <alignment vertical="top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Alignment="1">
      <alignment horizontal="left" vertical="top" wrapText="1" indent="1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vertical="top" indent="6"/>
    </xf>
    <xf numFmtId="0" fontId="7" fillId="0" borderId="0" xfId="0" applyFont="1" applyFill="1" applyAlignment="1">
      <alignment horizontal="left" vertical="top" wrapText="1" indent="2"/>
    </xf>
    <xf numFmtId="0" fontId="9" fillId="0" borderId="0" xfId="0" applyFont="1" applyFill="1" applyAlignment="1">
      <alignment vertical="top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justify" vertical="top" wrapText="1"/>
    </xf>
    <xf numFmtId="0" fontId="7" fillId="0" borderId="0" xfId="0" applyFont="1" applyBorder="1"/>
    <xf numFmtId="0" fontId="9" fillId="0" borderId="0" xfId="0" applyFont="1" applyFill="1" applyBorder="1" applyAlignment="1">
      <alignment horizontal="justify" vertical="top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top" wrapText="1"/>
    </xf>
    <xf numFmtId="38" fontId="6" fillId="0" borderId="0" xfId="0" applyNumberFormat="1" applyFont="1" applyFill="1" applyAlignment="1">
      <alignment horizontal="right" vertical="top" wrapText="1"/>
    </xf>
    <xf numFmtId="0" fontId="6" fillId="0" borderId="0" xfId="0" applyFont="1" applyFill="1" applyAlignment="1">
      <alignment horizontal="justify" vertical="top" wrapText="1"/>
    </xf>
    <xf numFmtId="0" fontId="6" fillId="0" borderId="2" xfId="0" applyFont="1" applyFill="1" applyBorder="1" applyAlignment="1">
      <alignment horizontal="justify" vertical="top" wrapText="1"/>
    </xf>
    <xf numFmtId="38" fontId="6" fillId="0" borderId="2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>
      <alignment horizontal="justify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vertical="top"/>
    </xf>
    <xf numFmtId="0" fontId="6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9" fontId="7" fillId="0" borderId="0" xfId="3" applyFont="1" applyBorder="1" applyAlignment="1">
      <alignment horizontal="righ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9" fontId="7" fillId="0" borderId="0" xfId="3" applyFont="1" applyFill="1" applyAlignment="1">
      <alignment horizontal="right"/>
    </xf>
    <xf numFmtId="44" fontId="7" fillId="0" borderId="0" xfId="0" applyNumberFormat="1" applyFont="1"/>
    <xf numFmtId="0" fontId="2" fillId="0" borderId="0" xfId="0" applyFont="1"/>
    <xf numFmtId="0" fontId="2" fillId="0" borderId="0" xfId="0" quotePrefix="1" applyFont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quotePrefix="1" applyFont="1" applyBorder="1"/>
    <xf numFmtId="0" fontId="2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/>
    <xf numFmtId="9" fontId="7" fillId="0" borderId="0" xfId="3" applyFont="1" applyAlignment="1">
      <alignment horizontal="right" vertical="center" wrapText="1"/>
    </xf>
    <xf numFmtId="0" fontId="6" fillId="0" borderId="1" xfId="0" applyFont="1" applyBorder="1" applyAlignment="1">
      <alignment horizontal="right" vertical="center" indent="34"/>
    </xf>
    <xf numFmtId="0" fontId="7" fillId="0" borderId="0" xfId="0" applyFont="1" applyBorder="1" applyAlignment="1">
      <alignment horizontal="right" vertical="center" indent="34"/>
    </xf>
    <xf numFmtId="171" fontId="7" fillId="0" borderId="0" xfId="2" applyNumberFormat="1" applyFont="1" applyBorder="1" applyAlignment="1">
      <alignment horizontal="right" vertical="center" indent="34"/>
    </xf>
    <xf numFmtId="1" fontId="7" fillId="0" borderId="0" xfId="0" applyNumberFormat="1" applyFont="1" applyBorder="1" applyAlignment="1">
      <alignment horizontal="right" vertical="center" indent="34"/>
    </xf>
    <xf numFmtId="9" fontId="7" fillId="0" borderId="0" xfId="0" applyNumberFormat="1" applyFont="1" applyBorder="1" applyAlignment="1">
      <alignment horizontal="right" vertical="center" indent="34"/>
    </xf>
    <xf numFmtId="3" fontId="6" fillId="0" borderId="0" xfId="0" applyNumberFormat="1" applyFont="1" applyBorder="1" applyAlignment="1">
      <alignment horizontal="right" vertical="top" wrapText="1" indent="34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/>
    </xf>
    <xf numFmtId="171" fontId="7" fillId="0" borderId="0" xfId="2" applyNumberFormat="1" applyFont="1" applyBorder="1" applyAlignment="1">
      <alignment horizontal="right" vertical="center" wrapText="1"/>
    </xf>
    <xf numFmtId="171" fontId="7" fillId="0" borderId="0" xfId="0" applyNumberFormat="1" applyFont="1"/>
    <xf numFmtId="171" fontId="6" fillId="0" borderId="0" xfId="2" applyNumberFormat="1" applyFont="1"/>
    <xf numFmtId="171" fontId="6" fillId="0" borderId="0" xfId="0" applyNumberFormat="1" applyFont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8" xfId="0" applyFont="1" applyFill="1" applyBorder="1" applyAlignment="1">
      <alignment horizontal="left" indent="2"/>
    </xf>
    <xf numFmtId="0" fontId="7" fillId="0" borderId="10" xfId="0" applyFont="1" applyFill="1" applyBorder="1" applyAlignment="1">
      <alignment vertical="center"/>
    </xf>
    <xf numFmtId="0" fontId="7" fillId="0" borderId="7" xfId="0" applyFont="1" applyBorder="1" applyAlignment="1">
      <alignment horizontal="left" indent="2"/>
    </xf>
    <xf numFmtId="4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left" vertical="top" indent="2"/>
    </xf>
    <xf numFmtId="2" fontId="7" fillId="0" borderId="6" xfId="0" applyNumberFormat="1" applyFont="1" applyBorder="1" applyAlignment="1">
      <alignment vertical="center"/>
    </xf>
    <xf numFmtId="9" fontId="7" fillId="0" borderId="6" xfId="3" applyFont="1" applyBorder="1" applyAlignment="1">
      <alignment vertical="center"/>
    </xf>
    <xf numFmtId="0" fontId="7" fillId="0" borderId="7" xfId="0" applyFont="1" applyBorder="1" applyAlignment="1">
      <alignment horizontal="left" vertical="top" wrapText="1" indent="2"/>
    </xf>
    <xf numFmtId="164" fontId="7" fillId="0" borderId="6" xfId="0" applyNumberFormat="1" applyFont="1" applyBorder="1" applyAlignment="1">
      <alignment vertical="center"/>
    </xf>
    <xf numFmtId="4" fontId="7" fillId="0" borderId="6" xfId="1" applyNumberFormat="1" applyFont="1" applyBorder="1" applyAlignment="1">
      <alignment vertical="center" wrapText="1"/>
    </xf>
    <xf numFmtId="3" fontId="7" fillId="0" borderId="6" xfId="1" applyNumberFormat="1" applyFont="1" applyBorder="1" applyAlignment="1">
      <alignment vertical="center" wrapText="1"/>
    </xf>
    <xf numFmtId="2" fontId="7" fillId="0" borderId="6" xfId="0" applyNumberFormat="1" applyFont="1" applyBorder="1" applyAlignment="1">
      <alignment vertical="center" wrapText="1"/>
    </xf>
    <xf numFmtId="43" fontId="7" fillId="0" borderId="6" xfId="1" applyNumberFormat="1" applyFont="1" applyBorder="1" applyAlignment="1">
      <alignment horizontal="right" vertical="top" wrapText="1"/>
    </xf>
    <xf numFmtId="9" fontId="7" fillId="0" borderId="6" xfId="3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167" fontId="7" fillId="0" borderId="6" xfId="1" applyNumberFormat="1" applyFont="1" applyBorder="1" applyAlignment="1">
      <alignment horizontal="right" vertical="top" wrapText="1"/>
    </xf>
    <xf numFmtId="0" fontId="7" fillId="0" borderId="7" xfId="0" applyFont="1" applyBorder="1"/>
    <xf numFmtId="0" fontId="7" fillId="0" borderId="6" xfId="0" applyFont="1" applyBorder="1"/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9" fillId="0" borderId="7" xfId="0" applyFont="1" applyBorder="1" applyAlignment="1">
      <alignment horizontal="justify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165" fontId="7" fillId="0" borderId="6" xfId="1" applyNumberFormat="1" applyFont="1" applyBorder="1" applyAlignment="1">
      <alignment horizontal="right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38" fontId="6" fillId="0" borderId="6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 wrapText="1"/>
    </xf>
    <xf numFmtId="38" fontId="7" fillId="0" borderId="6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left" vertical="top"/>
    </xf>
    <xf numFmtId="38" fontId="7" fillId="0" borderId="6" xfId="0" applyNumberFormat="1" applyFont="1" applyFill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0" fontId="6" fillId="0" borderId="7" xfId="0" applyFont="1" applyBorder="1" applyAlignment="1">
      <alignment horizontal="justify" vertical="top" wrapText="1"/>
    </xf>
    <xf numFmtId="0" fontId="7" fillId="0" borderId="13" xfId="0" applyFont="1" applyBorder="1" applyAlignment="1">
      <alignment horizontal="justify" vertical="top" wrapText="1"/>
    </xf>
    <xf numFmtId="38" fontId="7" fillId="0" borderId="14" xfId="0" applyNumberFormat="1" applyFont="1" applyBorder="1" applyAlignment="1">
      <alignment horizontal="right" vertical="top" wrapText="1"/>
    </xf>
    <xf numFmtId="0" fontId="7" fillId="0" borderId="8" xfId="0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justify" vertical="top" wrapText="1"/>
    </xf>
    <xf numFmtId="0" fontId="7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right" vertical="top" wrapText="1"/>
    </xf>
    <xf numFmtId="0" fontId="7" fillId="0" borderId="6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justify" vertical="top" wrapText="1"/>
    </xf>
    <xf numFmtId="0" fontId="9" fillId="0" borderId="6" xfId="0" applyFont="1" applyBorder="1" applyAlignment="1">
      <alignment horizontal="justify" vertical="top" wrapText="1"/>
    </xf>
    <xf numFmtId="3" fontId="7" fillId="0" borderId="0" xfId="0" applyNumberFormat="1" applyFont="1" applyBorder="1" applyAlignment="1">
      <alignment horizontal="right" vertical="top" wrapText="1"/>
    </xf>
    <xf numFmtId="3" fontId="6" fillId="0" borderId="0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171" fontId="7" fillId="0" borderId="0" xfId="2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top" wrapText="1"/>
    </xf>
    <xf numFmtId="9" fontId="7" fillId="0" borderId="0" xfId="3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7</xdr:row>
      <xdr:rowOff>38100</xdr:rowOff>
    </xdr:from>
    <xdr:ext cx="6762750" cy="6962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1" y="1504950"/>
              <a:ext cx="6762750" cy="696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𝐷𝑖𝑟𝑒𝑐𝑡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𝐶𝑎𝑝𝑖𝑡𝑎𝑙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𝐶𝑜𝑠𝑡</m:t>
                    </m:r>
                    <m:r>
                      <a:rPr lang="en-US" sz="1100" b="0" i="1">
                        <a:latin typeface="Cambria Math"/>
                      </a:rPr>
                      <m:t> (</m:t>
                    </m:r>
                    <m:r>
                      <a:rPr lang="en-US" sz="1100" b="0" i="1">
                        <a:latin typeface="Cambria Math"/>
                      </a:rPr>
                      <m:t>𝐷</m:t>
                    </m:r>
                    <m:r>
                      <a:rPr lang="en-US" sz="1100" b="0" i="1">
                        <a:latin typeface="Cambria Math"/>
                      </a:rPr>
                      <m:t>)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$</m:t>
                        </m:r>
                      </m:e>
                    </m:d>
                    <m:r>
                      <a:rPr lang="en-US" sz="1100" b="0" i="1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$950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𝑀𝑀𝐵𝑡𝑢</m:t>
                        </m:r>
                      </m:den>
                    </m:f>
                    <m:r>
                      <a:rPr lang="en-US" sz="1100" b="0" i="1">
                        <a:latin typeface="Cambria Math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𝐵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</a:rPr>
                              <m:t>𝑀𝑀𝐵𝑡𝑢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/>
                              </a:rPr>
                              <m:t>h𝑟</m:t>
                            </m:r>
                          </m:den>
                        </m:f>
                      </m:e>
                    </m:d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2375</m:t>
                                </m:r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𝑀𝑀𝐵𝑡𝑢</m:t>
                                    </m:r>
                                  </m:num>
                                  <m:den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h𝑟</m:t>
                                    </m:r>
                                  </m:den>
                                </m:f>
                              </m:num>
                              <m:den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𝑄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𝐵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𝑀𝑀𝐵𝑡𝑢</m:t>
                                        </m:r>
                                      </m:num>
                                      <m:den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h𝑟</m:t>
                                        </m:r>
                                      </m:den>
                                    </m:f>
                                  </m:e>
                                </m:d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0.577</m:t>
                        </m:r>
                      </m:sup>
                    </m:sSup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0.66+0.85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𝜂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𝑁𝑂𝑥</m:t>
                            </m:r>
                          </m:sub>
                        </m:sSub>
                      </m:e>
                    </m:d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𝐶𝐸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2016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𝐶𝐸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𝑒𝑞𝑢𝑎𝑡𝑖𝑜𝑛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1" y="1504950"/>
              <a:ext cx="6762750" cy="696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𝐷𝑖𝑟𝑒𝑐𝑡 𝐶𝑎𝑝𝑖𝑡𝑎𝑙 𝐶𝑜𝑠𝑡 (𝐷)($)=  $950/𝑀𝑀𝐵𝑡𝑢  𝑄_𝐵 (𝑀𝑀𝐵𝑡𝑢/ℎ𝑟)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[(2375 𝑀𝑀𝐵𝑡𝑢/ℎ𝑟)/(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𝑄_𝐵 (𝑀𝑀𝐵𝑡𝑢/ℎ𝑟)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)]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1100" b="0" i="0">
                  <a:latin typeface="Cambria Math"/>
                </a:rPr>
                <a:t>0.577 (0.66+0.85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𝜂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</a:t>
              </a:r>
              <a:r>
                <a:rPr lang="en-US" sz="1100" b="0" i="0">
                  <a:latin typeface="Cambria Math"/>
                </a:rPr>
                <a:t>𝑁𝑂𝑥 )(〖𝐶𝐸〗_2016/〖𝐶𝐸〗_𝑒𝑞𝑢𝑎𝑡𝑖𝑜𝑛 )</a:t>
              </a:r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oneCellAnchor>
    <xdr:from>
      <xdr:col>4</xdr:col>
      <xdr:colOff>1</xdr:colOff>
      <xdr:row>7</xdr:row>
      <xdr:rowOff>38100</xdr:rowOff>
    </xdr:from>
    <xdr:ext cx="6762750" cy="6962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1" y="1323975"/>
              <a:ext cx="6762750" cy="696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𝐷𝑖𝑟𝑒𝑐𝑡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𝐶𝑎𝑝𝑖𝑡𝑎𝑙</m:t>
                    </m:r>
                    <m:r>
                      <a:rPr lang="en-US" sz="1100" b="0" i="1">
                        <a:latin typeface="Cambria Math"/>
                      </a:rPr>
                      <m:t> </m:t>
                    </m:r>
                    <m:r>
                      <a:rPr lang="en-US" sz="1100" b="0" i="1">
                        <a:latin typeface="Cambria Math"/>
                      </a:rPr>
                      <m:t>𝐶𝑜𝑠𝑡</m:t>
                    </m:r>
                    <m:r>
                      <a:rPr lang="en-US" sz="1100" b="0" i="1">
                        <a:latin typeface="Cambria Math"/>
                      </a:rPr>
                      <m:t> (</m:t>
                    </m:r>
                    <m:r>
                      <a:rPr lang="en-US" sz="1100" b="0" i="1">
                        <a:latin typeface="Cambria Math"/>
                      </a:rPr>
                      <m:t>𝐷</m:t>
                    </m:r>
                    <m:r>
                      <a:rPr lang="en-US" sz="1100" b="0" i="1">
                        <a:latin typeface="Cambria Math"/>
                      </a:rPr>
                      <m:t>)</m:t>
                    </m:r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$</m:t>
                        </m:r>
                      </m:e>
                    </m:d>
                    <m:r>
                      <a:rPr lang="en-US" sz="1100" b="0" i="1">
                        <a:latin typeface="Cambria Math"/>
                      </a:rPr>
                      <m:t>= </m:t>
                    </m:r>
                    <m:f>
                      <m:fPr>
                        <m:ctrlPr>
                          <a:rPr lang="en-US" sz="1100" b="0" i="1">
                            <a:latin typeface="Cambria Math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/>
                          </a:rPr>
                          <m:t>$950</m:t>
                        </m:r>
                      </m:num>
                      <m:den>
                        <m:r>
                          <a:rPr lang="en-US" sz="1100" b="0" i="1">
                            <a:latin typeface="Cambria Math"/>
                          </a:rPr>
                          <m:t>𝑀𝑀𝐵𝑡𝑢</m:t>
                        </m:r>
                      </m:den>
                    </m:f>
                    <m:r>
                      <a:rPr lang="en-US" sz="1100" b="0" i="1">
                        <a:latin typeface="Cambria Math"/>
                      </a:rPr>
                      <m:t> </m:t>
                    </m:r>
                    <m:sSub>
                      <m:sSubPr>
                        <m:ctrlPr>
                          <a:rPr lang="en-US" sz="1100" b="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𝑄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𝐵</m:t>
                        </m:r>
                      </m:sub>
                    </m:sSub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100" b="0" i="1">
                                <a:latin typeface="Cambria Math"/>
                              </a:rPr>
                              <m:t>𝑀𝑀𝐵𝑡𝑢</m:t>
                            </m:r>
                          </m:num>
                          <m:den>
                            <m:r>
                              <a:rPr lang="en-US" sz="1100" b="0" i="1">
                                <a:latin typeface="Cambria Math"/>
                              </a:rPr>
                              <m:t>h𝑟</m:t>
                            </m:r>
                          </m:den>
                        </m:f>
                      </m:e>
                    </m:d>
                    <m:sSup>
                      <m:sSupPr>
                        <m:ctrlPr>
                          <a:rPr lang="en-US" sz="1100" b="0" i="1">
                            <a:latin typeface="Cambria Math"/>
                          </a:rPr>
                        </m:ctrlPr>
                      </m:sSupPr>
                      <m:e>
                        <m:d>
                          <m:dPr>
                            <m:begChr m:val="["/>
                            <m:endChr m:val="]"/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f>
                              <m:fPr>
                                <m:ctrlP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</m:ctrlPr>
                              </m:fPr>
                              <m:num>
                                <m:r>
                                  <a:rPr lang="en-US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/>
                                    <a:ea typeface="+mn-ea"/>
                                    <a:cs typeface="+mn-cs"/>
                                  </a:rPr>
                                  <m:t>2375</m:t>
                                </m:r>
                                <m:f>
                                  <m:f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𝑀𝑀𝐵𝑡𝑢</m:t>
                                    </m:r>
                                  </m:num>
                                  <m:den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h𝑟</m:t>
                                    </m:r>
                                  </m:den>
                                </m:f>
                              </m:num>
                              <m:den>
                                <m:sSub>
                                  <m:sSub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𝑄</m:t>
                                    </m:r>
                                  </m:e>
                                  <m:sub>
                                    <m: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  <m:t>𝐵</m:t>
                                    </m:r>
                                  </m:sub>
                                </m:sSub>
                                <m:d>
                                  <m:dPr>
                                    <m:ctrlPr>
                                      <a:rPr lang="en-US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𝑀𝑀𝐵𝑡𝑢</m:t>
                                        </m:r>
                                      </m:num>
                                      <m:den>
                                        <m:r>
                                          <a:rPr lang="en-US" sz="1100" b="0" i="1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/>
                                            <a:ea typeface="+mn-ea"/>
                                            <a:cs typeface="+mn-cs"/>
                                          </a:rPr>
                                          <m:t>h𝑟</m:t>
                                        </m:r>
                                      </m:den>
                                    </m:f>
                                  </m:e>
                                </m:d>
                              </m:den>
                            </m:f>
                          </m:e>
                        </m:d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0.577</m:t>
                        </m:r>
                      </m:sup>
                    </m:sSup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/>
                          </a:rPr>
                          <m:t>0.66+0.85</m:t>
                        </m:r>
                        <m:sSub>
                          <m:sSub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/>
                                <a:ea typeface="+mn-ea"/>
                                <a:cs typeface="+mn-cs"/>
                              </a:rPr>
                              <m:t>𝜂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𝑁𝑂𝑥</m:t>
                            </m:r>
                          </m:sub>
                        </m:sSub>
                      </m:e>
                    </m:d>
                    <m:d>
                      <m:dPr>
                        <m:ctrlPr>
                          <a:rPr lang="en-US" sz="1100" b="0" i="1">
                            <a:latin typeface="Cambria Math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US" sz="1100" b="0" i="1">
                                <a:latin typeface="Cambria Math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𝐶𝐸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2016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sz="1100" b="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US" sz="1100" b="0" i="1">
                                    <a:latin typeface="Cambria Math"/>
                                  </a:rPr>
                                  <m:t>𝐶𝐸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𝑒𝑞𝑢𝑎𝑡𝑖𝑜𝑛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" y="1323975"/>
              <a:ext cx="6762750" cy="6962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100" b="0" i="0">
                  <a:latin typeface="Cambria Math"/>
                </a:rPr>
                <a:t>𝐷𝑖𝑟𝑒𝑐𝑡 𝐶𝑎𝑝𝑖𝑡𝑎𝑙 𝐶𝑜𝑠𝑡 (𝐷)($)=  $950/𝑀𝑀𝐵𝑡𝑢  𝑄_𝐵 (𝑀𝑀𝐵𝑡𝑢/ℎ𝑟)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[(2375 𝑀𝑀𝐵𝑡𝑢/ℎ𝑟)/(𝑄_𝐵 (𝑀𝑀𝐵𝑡𝑢/ℎ𝑟) )]^</a:t>
              </a:r>
              <a:r>
                <a:rPr lang="en-US" sz="1100" b="0" i="0">
                  <a:latin typeface="Cambria Math"/>
                </a:rPr>
                <a:t>0.577 (0.66+0.85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𝜂_</a:t>
              </a:r>
              <a:r>
                <a:rPr lang="en-US" sz="1100" b="0" i="0">
                  <a:latin typeface="Cambria Math"/>
                </a:rPr>
                <a:t>𝑁𝑂𝑥 )(〖𝐶𝐸〗_2016/〖𝐶𝐸〗_𝑒𝑞𝑢𝑎𝑡𝑖𝑜𝑛 )</a:t>
              </a:r>
              <a:endParaRPr lang="en-US" sz="11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workbookViewId="0">
      <selection activeCell="A2" sqref="A2:M2"/>
    </sheetView>
  </sheetViews>
  <sheetFormatPr defaultRowHeight="13.2" x14ac:dyDescent="0.25"/>
  <cols>
    <col min="1" max="1" width="20" customWidth="1"/>
    <col min="2" max="2" width="19.33203125" bestFit="1" customWidth="1"/>
  </cols>
  <sheetData>
    <row r="2" spans="1:13" ht="27" customHeight="1" x14ac:dyDescent="0.25">
      <c r="A2" s="149" t="s">
        <v>142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27" customHeight="1" x14ac:dyDescent="0.25">
      <c r="A3" s="149" t="s">
        <v>143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</row>
    <row r="5" spans="1:13" x14ac:dyDescent="0.25">
      <c r="A5" s="148" t="s">
        <v>138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x14ac:dyDescent="0.25">
      <c r="A6" s="85" t="s">
        <v>139</v>
      </c>
      <c r="B6" s="83" t="s">
        <v>140</v>
      </c>
      <c r="C6" s="84" t="s">
        <v>141</v>
      </c>
      <c r="D6" s="83" t="s">
        <v>151</v>
      </c>
    </row>
    <row r="7" spans="1:13" x14ac:dyDescent="0.25">
      <c r="A7" s="85" t="s">
        <v>144</v>
      </c>
      <c r="B7" s="83" t="s">
        <v>140</v>
      </c>
      <c r="C7" s="84" t="s">
        <v>145</v>
      </c>
      <c r="D7" s="83" t="s">
        <v>152</v>
      </c>
    </row>
    <row r="8" spans="1:13" x14ac:dyDescent="0.25">
      <c r="A8" s="85" t="s">
        <v>146</v>
      </c>
      <c r="B8" s="83" t="s">
        <v>140</v>
      </c>
      <c r="C8" s="84" t="s">
        <v>147</v>
      </c>
      <c r="D8" s="83" t="s">
        <v>153</v>
      </c>
    </row>
    <row r="9" spans="1:13" x14ac:dyDescent="0.25">
      <c r="A9" s="85" t="s">
        <v>148</v>
      </c>
      <c r="B9" s="86" t="s">
        <v>149</v>
      </c>
      <c r="C9" s="87" t="s">
        <v>150</v>
      </c>
      <c r="D9" s="83" t="s">
        <v>154</v>
      </c>
    </row>
    <row r="10" spans="1:13" x14ac:dyDescent="0.25">
      <c r="B10" s="88" t="s">
        <v>155</v>
      </c>
      <c r="C10">
        <f>1+C6+C7+C8+C9</f>
        <v>1.101</v>
      </c>
    </row>
  </sheetData>
  <mergeCells count="3">
    <mergeCell ref="A5:M5"/>
    <mergeCell ref="A3:M3"/>
    <mergeCell ref="A2:M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47"/>
  <sheetViews>
    <sheetView tabSelected="1" topLeftCell="A16" zoomScaleNormal="100" zoomScaleSheetLayoutView="75" workbookViewId="0">
      <selection activeCell="A25" sqref="A25"/>
    </sheetView>
  </sheetViews>
  <sheetFormatPr defaultColWidth="9.109375" defaultRowHeight="13.8" x14ac:dyDescent="0.25"/>
  <cols>
    <col min="1" max="1" width="75.6640625" style="4" customWidth="1"/>
    <col min="2" max="2" width="18.44140625" style="4" customWidth="1"/>
    <col min="3" max="16384" width="9.109375" style="4"/>
  </cols>
  <sheetData>
    <row r="1" spans="1:255" ht="16.2" x14ac:dyDescent="0.35">
      <c r="A1" s="151" t="s">
        <v>113</v>
      </c>
      <c r="B1" s="151"/>
    </row>
    <row r="2" spans="1:255" x14ac:dyDescent="0.25">
      <c r="A2" s="29"/>
      <c r="B2" s="29"/>
    </row>
    <row r="3" spans="1:255" x14ac:dyDescent="0.25">
      <c r="A3" s="6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6" t="s">
        <v>17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</row>
    <row r="5" spans="1:255" x14ac:dyDescent="0.25">
      <c r="A5" s="6" t="s">
        <v>49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 spans="1:255" x14ac:dyDescent="0.25">
      <c r="A6" s="6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ht="16.2" x14ac:dyDescent="0.25">
      <c r="A8" s="26" t="s">
        <v>115</v>
      </c>
      <c r="B8" s="10">
        <f>B12*1000000*B11*0.00029/B13</f>
        <v>192173.33333333334</v>
      </c>
    </row>
    <row r="9" spans="1:255" ht="16.2" x14ac:dyDescent="0.25">
      <c r="A9" s="26" t="s">
        <v>46</v>
      </c>
      <c r="B9" s="9">
        <v>0.36</v>
      </c>
    </row>
    <row r="10" spans="1:255" x14ac:dyDescent="0.25">
      <c r="A10" s="26" t="s">
        <v>47</v>
      </c>
      <c r="B10" s="10">
        <v>72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x14ac:dyDescent="0.25">
      <c r="A11" s="31" t="s">
        <v>87</v>
      </c>
      <c r="B11" s="53">
        <v>0.8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</row>
    <row r="12" spans="1:255" ht="16.2" x14ac:dyDescent="0.25">
      <c r="A12" s="31" t="s">
        <v>88</v>
      </c>
      <c r="B12" s="53">
        <v>497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</row>
    <row r="13" spans="1:255" x14ac:dyDescent="0.25">
      <c r="A13" s="31" t="s">
        <v>116</v>
      </c>
      <c r="B13" s="53">
        <v>0.6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</row>
    <row r="14" spans="1:255" x14ac:dyDescent="0.25">
      <c r="A14" s="26"/>
      <c r="B14" s="1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</row>
    <row r="15" spans="1:255" x14ac:dyDescent="0.25">
      <c r="A15" s="26" t="s">
        <v>44</v>
      </c>
      <c r="B15" s="27">
        <v>394.1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</row>
    <row r="16" spans="1:255" x14ac:dyDescent="0.25">
      <c r="A16" s="26" t="s">
        <v>35</v>
      </c>
      <c r="B16" s="32">
        <v>578.4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</row>
    <row r="17" spans="1:25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</row>
    <row r="18" spans="1:255" ht="16.2" x14ac:dyDescent="0.25">
      <c r="A18" s="7" t="s">
        <v>95</v>
      </c>
    </row>
    <row r="19" spans="1:255" x14ac:dyDescent="0.25">
      <c r="A19" s="26" t="s">
        <v>45</v>
      </c>
      <c r="B19" s="8">
        <f>75*(300000*((B9/1.5)^0.05*(B10/100)^0.4)/B8)^0.35*B16/B15</f>
        <v>119.82935041818806</v>
      </c>
    </row>
    <row r="20" spans="1:255" x14ac:dyDescent="0.25">
      <c r="A20" s="11"/>
      <c r="B20" s="29"/>
    </row>
    <row r="21" spans="1:255" x14ac:dyDescent="0.25">
      <c r="A21" s="58" t="s">
        <v>104</v>
      </c>
      <c r="B21" s="59" t="s">
        <v>105</v>
      </c>
    </row>
    <row r="22" spans="1:255" x14ac:dyDescent="0.25">
      <c r="A22" s="60"/>
      <c r="B22" s="61"/>
    </row>
    <row r="23" spans="1:255" x14ac:dyDescent="0.25">
      <c r="A23" s="62" t="s">
        <v>7</v>
      </c>
      <c r="B23" s="35"/>
    </row>
    <row r="24" spans="1:255" x14ac:dyDescent="0.25">
      <c r="A24" s="150"/>
      <c r="B24" s="150"/>
    </row>
    <row r="25" spans="1:255" ht="33.75" customHeight="1" x14ac:dyDescent="0.25">
      <c r="A25" s="16" t="s">
        <v>128</v>
      </c>
      <c r="B25" s="14">
        <f>B19*B8</f>
        <v>23028005.70103126</v>
      </c>
    </row>
    <row r="26" spans="1:255" x14ac:dyDescent="0.25">
      <c r="A26" s="16" t="s">
        <v>130</v>
      </c>
      <c r="B26" s="14">
        <f>0.05*B25</f>
        <v>1151400.2850515631</v>
      </c>
    </row>
    <row r="27" spans="1:255" x14ac:dyDescent="0.25">
      <c r="A27" s="16" t="s">
        <v>129</v>
      </c>
      <c r="B27" s="14">
        <f>0.05*B25</f>
        <v>1151400.2850515631</v>
      </c>
    </row>
    <row r="28" spans="1:255" x14ac:dyDescent="0.25">
      <c r="A28" s="16"/>
      <c r="B28" s="14"/>
    </row>
    <row r="29" spans="1:255" x14ac:dyDescent="0.25">
      <c r="A29" s="22" t="s">
        <v>127</v>
      </c>
      <c r="B29" s="23">
        <f>SUM(B25:B27)</f>
        <v>25330806.271134384</v>
      </c>
    </row>
    <row r="30" spans="1:255" x14ac:dyDescent="0.25">
      <c r="A30" s="153"/>
      <c r="B30" s="153"/>
    </row>
    <row r="31" spans="1:255" x14ac:dyDescent="0.25">
      <c r="A31" s="152" t="s">
        <v>0</v>
      </c>
      <c r="B31" s="152"/>
    </row>
    <row r="32" spans="1:255" x14ac:dyDescent="0.25">
      <c r="A32" s="30" t="s">
        <v>8</v>
      </c>
      <c r="B32" s="14">
        <f>0.1*B25</f>
        <v>2302800.5701031261</v>
      </c>
    </row>
    <row r="33" spans="1:2" x14ac:dyDescent="0.25">
      <c r="A33" s="30" t="s">
        <v>9</v>
      </c>
      <c r="B33" s="14">
        <f>0.1*B25</f>
        <v>2302800.5701031261</v>
      </c>
    </row>
    <row r="34" spans="1:2" x14ac:dyDescent="0.25">
      <c r="A34" s="30" t="s">
        <v>10</v>
      </c>
      <c r="B34" s="14">
        <f>0.01*B25</f>
        <v>230280.05701031259</v>
      </c>
    </row>
    <row r="35" spans="1:2" x14ac:dyDescent="0.25">
      <c r="A35" s="153"/>
      <c r="B35" s="153"/>
    </row>
    <row r="36" spans="1:2" x14ac:dyDescent="0.25">
      <c r="A36" s="22" t="s">
        <v>1</v>
      </c>
      <c r="B36" s="23">
        <f>SUM(B32:B34)</f>
        <v>4835881.1972165648</v>
      </c>
    </row>
    <row r="37" spans="1:2" x14ac:dyDescent="0.25">
      <c r="A37" s="28"/>
      <c r="B37" s="14"/>
    </row>
    <row r="38" spans="1:2" x14ac:dyDescent="0.25">
      <c r="A38" s="22" t="s">
        <v>21</v>
      </c>
      <c r="B38" s="23">
        <f>B29+B36</f>
        <v>30166687.468350947</v>
      </c>
    </row>
    <row r="39" spans="1:2" x14ac:dyDescent="0.25">
      <c r="A39" s="22"/>
      <c r="B39" s="23"/>
    </row>
    <row r="40" spans="1:2" x14ac:dyDescent="0.25">
      <c r="A40" s="22" t="s">
        <v>126</v>
      </c>
      <c r="B40" s="23">
        <f>B38*2.2*1.101</f>
        <v>73069750.385839671</v>
      </c>
    </row>
    <row r="41" spans="1:2" x14ac:dyDescent="0.25">
      <c r="A41" s="19"/>
      <c r="B41" s="20"/>
    </row>
    <row r="42" spans="1:2" x14ac:dyDescent="0.25">
      <c r="A42" s="16"/>
      <c r="B42" s="16"/>
    </row>
    <row r="43" spans="1:2" ht="16.95" customHeight="1" x14ac:dyDescent="0.25">
      <c r="A43" s="6" t="s">
        <v>50</v>
      </c>
      <c r="B43" s="21"/>
    </row>
    <row r="44" spans="1:2" x14ac:dyDescent="0.25">
      <c r="A44" s="6" t="s">
        <v>17</v>
      </c>
    </row>
    <row r="45" spans="1:2" ht="42.6" customHeight="1" x14ac:dyDescent="0.25">
      <c r="A45" s="149" t="s">
        <v>131</v>
      </c>
      <c r="B45" s="149"/>
    </row>
    <row r="46" spans="1:2" ht="28.95" customHeight="1" x14ac:dyDescent="0.25">
      <c r="A46" s="149" t="s">
        <v>132</v>
      </c>
      <c r="B46" s="149"/>
    </row>
    <row r="47" spans="1:2" ht="41.4" customHeight="1" x14ac:dyDescent="0.25">
      <c r="A47" s="149" t="s">
        <v>156</v>
      </c>
      <c r="B47" s="149"/>
    </row>
  </sheetData>
  <mergeCells count="8">
    <mergeCell ref="A24:B24"/>
    <mergeCell ref="A1:B1"/>
    <mergeCell ref="A31:B31"/>
    <mergeCell ref="A45:B45"/>
    <mergeCell ref="A47:B47"/>
    <mergeCell ref="A46:B46"/>
    <mergeCell ref="A35:B35"/>
    <mergeCell ref="A30:B30"/>
  </mergeCells>
  <phoneticPr fontId="3" type="noConversion"/>
  <printOptions horizontalCentered="1"/>
  <pageMargins left="1" right="1" top="1" bottom="1" header="0.5" footer="0.5"/>
  <pageSetup scale="8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opLeftCell="A43" zoomScale="80" zoomScaleNormal="80" workbookViewId="0">
      <selection activeCell="B54" sqref="B54"/>
    </sheetView>
  </sheetViews>
  <sheetFormatPr defaultColWidth="8.88671875" defaultRowHeight="13.8" x14ac:dyDescent="0.25"/>
  <cols>
    <col min="1" max="1" width="88.6640625" style="6" customWidth="1"/>
    <col min="2" max="2" width="14.109375" style="6" customWidth="1"/>
    <col min="3" max="16384" width="8.88671875" style="6"/>
  </cols>
  <sheetData>
    <row r="1" spans="1:2" ht="16.2" x14ac:dyDescent="0.25">
      <c r="A1" s="154" t="s">
        <v>114</v>
      </c>
      <c r="B1" s="154"/>
    </row>
    <row r="2" spans="1:2" x14ac:dyDescent="0.25">
      <c r="A2" s="39"/>
      <c r="B2" s="39"/>
    </row>
    <row r="3" spans="1:2" ht="16.2" x14ac:dyDescent="0.25">
      <c r="A3" s="26" t="s">
        <v>135</v>
      </c>
      <c r="B3" s="10">
        <f>B8*1000000*B7*0.00029/B9</f>
        <v>192173.33333333334</v>
      </c>
    </row>
    <row r="4" spans="1:2" ht="16.2" x14ac:dyDescent="0.25">
      <c r="A4" s="26" t="s">
        <v>46</v>
      </c>
      <c r="B4" s="9">
        <v>0.36</v>
      </c>
    </row>
    <row r="5" spans="1:2" x14ac:dyDescent="0.25">
      <c r="A5" s="26" t="s">
        <v>47</v>
      </c>
      <c r="B5" s="10">
        <v>72</v>
      </c>
    </row>
    <row r="6" spans="1:2" x14ac:dyDescent="0.25">
      <c r="A6" s="26" t="s">
        <v>45</v>
      </c>
      <c r="B6" s="8">
        <f>'NOx - SCR - Cap Cost'!B19</f>
        <v>119.82935041818806</v>
      </c>
    </row>
    <row r="7" spans="1:2" x14ac:dyDescent="0.25">
      <c r="A7" s="31" t="s">
        <v>87</v>
      </c>
      <c r="B7" s="53">
        <f>'NOx - SCR - Cap Cost'!B11</f>
        <v>0.8</v>
      </c>
    </row>
    <row r="8" spans="1:2" ht="16.2" x14ac:dyDescent="0.25">
      <c r="A8" s="31" t="s">
        <v>88</v>
      </c>
      <c r="B8" s="53">
        <f>'NOx - SCR - Cap Cost'!B12</f>
        <v>497</v>
      </c>
    </row>
    <row r="9" spans="1:2" x14ac:dyDescent="0.25">
      <c r="A9" s="31" t="s">
        <v>116</v>
      </c>
      <c r="B9" s="53">
        <v>0.6</v>
      </c>
    </row>
    <row r="10" spans="1:2" ht="16.2" x14ac:dyDescent="0.25">
      <c r="A10" s="31" t="s">
        <v>91</v>
      </c>
      <c r="B10" s="53">
        <v>225</v>
      </c>
    </row>
    <row r="11" spans="1:2" x14ac:dyDescent="0.25">
      <c r="A11" s="54" t="s">
        <v>44</v>
      </c>
      <c r="B11" s="27">
        <v>394.1</v>
      </c>
    </row>
    <row r="12" spans="1:2" x14ac:dyDescent="0.25">
      <c r="A12" s="54" t="s">
        <v>35</v>
      </c>
      <c r="B12" s="32">
        <v>578.4</v>
      </c>
    </row>
    <row r="13" spans="1:2" x14ac:dyDescent="0.25">
      <c r="A13" s="31" t="s">
        <v>85</v>
      </c>
      <c r="B13" s="52"/>
    </row>
    <row r="14" spans="1:2" x14ac:dyDescent="0.25">
      <c r="A14" s="31" t="s">
        <v>100</v>
      </c>
      <c r="B14" s="52"/>
    </row>
    <row r="15" spans="1:2" x14ac:dyDescent="0.25">
      <c r="A15" s="55" t="s">
        <v>99</v>
      </c>
      <c r="B15" s="52"/>
    </row>
    <row r="16" spans="1:2" x14ac:dyDescent="0.25">
      <c r="A16" s="31" t="s">
        <v>94</v>
      </c>
      <c r="B16" s="52"/>
    </row>
    <row r="17" spans="1:3" x14ac:dyDescent="0.25">
      <c r="A17" s="31" t="s">
        <v>97</v>
      </c>
      <c r="B17" s="52"/>
    </row>
    <row r="18" spans="1:3" x14ac:dyDescent="0.25">
      <c r="A18" s="55" t="s">
        <v>98</v>
      </c>
      <c r="B18" s="52"/>
    </row>
    <row r="19" spans="1:3" s="46" customFormat="1" x14ac:dyDescent="0.25">
      <c r="A19" s="6"/>
      <c r="B19" s="6"/>
    </row>
    <row r="20" spans="1:3" s="46" customFormat="1" x14ac:dyDescent="0.25">
      <c r="A20" s="58" t="s">
        <v>104</v>
      </c>
      <c r="B20" s="59" t="s">
        <v>105</v>
      </c>
    </row>
    <row r="21" spans="1:3" s="46" customFormat="1" x14ac:dyDescent="0.25">
      <c r="A21" s="6"/>
      <c r="B21" s="6"/>
    </row>
    <row r="22" spans="1:3" s="46" customFormat="1" x14ac:dyDescent="0.25">
      <c r="A22" s="64" t="s">
        <v>2</v>
      </c>
      <c r="B22" s="65"/>
    </row>
    <row r="23" spans="1:3" s="46" customFormat="1" x14ac:dyDescent="0.25">
      <c r="A23" s="17"/>
      <c r="B23" s="47"/>
      <c r="C23" s="48"/>
    </row>
    <row r="24" spans="1:3" s="46" customFormat="1" ht="30" x14ac:dyDescent="0.25">
      <c r="A24" s="17" t="s">
        <v>89</v>
      </c>
      <c r="B24" s="47"/>
    </row>
    <row r="25" spans="1:3" s="46" customFormat="1" x14ac:dyDescent="0.25">
      <c r="A25" s="50" t="s">
        <v>133</v>
      </c>
      <c r="B25" s="36">
        <f>'NOx - SCR - Cap Cost'!B19*'NOx - SCR - Cap Cost'!B8*0.0066*2.2*1.101</f>
        <v>368137.67369965027</v>
      </c>
    </row>
    <row r="26" spans="1:3" s="46" customFormat="1" x14ac:dyDescent="0.25">
      <c r="A26" s="17"/>
      <c r="B26" s="47"/>
    </row>
    <row r="27" spans="1:3" s="46" customFormat="1" x14ac:dyDescent="0.25">
      <c r="A27" s="17" t="s">
        <v>84</v>
      </c>
      <c r="B27" s="47"/>
    </row>
    <row r="28" spans="1:3" s="46" customFormat="1" ht="16.2" x14ac:dyDescent="0.25">
      <c r="A28" s="17" t="s">
        <v>90</v>
      </c>
      <c r="B28" s="36">
        <f>B7*B10*B12/B11*(0.37*B4*B8*B5/100*8760/2000)*1.005*1.05</f>
        <v>58199.189403718497</v>
      </c>
    </row>
    <row r="29" spans="1:3" s="46" customFormat="1" ht="31.95" customHeight="1" x14ac:dyDescent="0.25">
      <c r="A29" s="56" t="s">
        <v>92</v>
      </c>
      <c r="B29" s="36"/>
    </row>
    <row r="30" spans="1:3" s="46" customFormat="1" ht="16.2" x14ac:dyDescent="0.25">
      <c r="A30" s="17" t="s">
        <v>93</v>
      </c>
      <c r="B30" s="36">
        <f>B7*0.0025*B6*2.2*1.101*B3*((B4/1.5)^0.05*(B5/100)^0.4)</f>
        <v>91083.536457450973</v>
      </c>
    </row>
    <row r="31" spans="1:3" s="46" customFormat="1" ht="32.4" x14ac:dyDescent="0.25">
      <c r="A31" s="56" t="s">
        <v>134</v>
      </c>
      <c r="B31" s="36"/>
    </row>
    <row r="32" spans="1:3" s="46" customFormat="1" ht="16.2" x14ac:dyDescent="0.25">
      <c r="A32" s="17" t="s">
        <v>136</v>
      </c>
      <c r="B32" s="36">
        <f>B7*(0.03*B12/B11*8760*0.0055)*B3</f>
        <v>326131.69681278866</v>
      </c>
    </row>
    <row r="33" spans="1:5" s="46" customFormat="1" x14ac:dyDescent="0.25">
      <c r="A33" s="56" t="s">
        <v>96</v>
      </c>
      <c r="B33" s="36"/>
    </row>
    <row r="34" spans="1:5" s="46" customFormat="1" x14ac:dyDescent="0.25">
      <c r="A34" s="17" t="s">
        <v>14</v>
      </c>
      <c r="B34" s="36">
        <v>41600</v>
      </c>
    </row>
    <row r="35" spans="1:5" s="46" customFormat="1" x14ac:dyDescent="0.25">
      <c r="A35" s="17"/>
      <c r="B35" s="36"/>
    </row>
    <row r="36" spans="1:5" s="46" customFormat="1" x14ac:dyDescent="0.25">
      <c r="A36" s="66" t="s">
        <v>109</v>
      </c>
      <c r="B36" s="67">
        <f>SUM(B25:B34)</f>
        <v>885152.09637360834</v>
      </c>
    </row>
    <row r="37" spans="1:5" s="46" customFormat="1" x14ac:dyDescent="0.25"/>
    <row r="38" spans="1:5" s="46" customFormat="1" ht="16.95" customHeight="1" x14ac:dyDescent="0.25">
      <c r="A38" s="57" t="s">
        <v>3</v>
      </c>
      <c r="B38" s="57"/>
    </row>
    <row r="39" spans="1:5" s="46" customFormat="1" x14ac:dyDescent="0.25">
      <c r="A39" s="17"/>
      <c r="B39" s="47"/>
    </row>
    <row r="40" spans="1:5" s="46" customFormat="1" x14ac:dyDescent="0.25">
      <c r="A40" s="17" t="s">
        <v>13</v>
      </c>
      <c r="B40" s="36">
        <f>0.8*B25</f>
        <v>294510.13895972021</v>
      </c>
    </row>
    <row r="41" spans="1:5" s="46" customFormat="1" x14ac:dyDescent="0.25">
      <c r="A41" s="17" t="s">
        <v>4</v>
      </c>
      <c r="B41" s="36">
        <f>0.02*'NOx - SCR - Cap Cost'!B40</f>
        <v>1461395.0077167933</v>
      </c>
    </row>
    <row r="42" spans="1:5" s="46" customFormat="1" ht="12.75" customHeight="1" x14ac:dyDescent="0.25">
      <c r="A42" s="17" t="s">
        <v>5</v>
      </c>
      <c r="B42" s="36">
        <f>0.01*'NOx - SCR - Cap Cost'!B40</f>
        <v>730697.50385839667</v>
      </c>
    </row>
    <row r="43" spans="1:5" s="46" customFormat="1" x14ac:dyDescent="0.25">
      <c r="A43" s="17" t="s">
        <v>6</v>
      </c>
      <c r="B43" s="36">
        <f>0.01*'NOx - SCR - Cap Cost'!B40</f>
        <v>730697.50385839667</v>
      </c>
    </row>
    <row r="44" spans="1:5" s="46" customFormat="1" x14ac:dyDescent="0.25">
      <c r="A44" s="51" t="s">
        <v>15</v>
      </c>
      <c r="B44" s="36">
        <f>0.16275*'NOx - SCR - Cap Cost'!B40</f>
        <v>11892101.875295406</v>
      </c>
    </row>
    <row r="45" spans="1:5" s="46" customFormat="1" x14ac:dyDescent="0.25">
      <c r="A45" s="17"/>
      <c r="B45" s="47"/>
    </row>
    <row r="46" spans="1:5" s="46" customFormat="1" x14ac:dyDescent="0.25">
      <c r="A46" s="66" t="s">
        <v>110</v>
      </c>
      <c r="B46" s="67">
        <f>SUM(B40:B44)</f>
        <v>15109402.029688712</v>
      </c>
    </row>
    <row r="47" spans="1:5" s="46" customFormat="1" x14ac:dyDescent="0.25">
      <c r="A47" s="17"/>
      <c r="B47" s="47"/>
    </row>
    <row r="48" spans="1:5" x14ac:dyDescent="0.25">
      <c r="A48" s="68" t="s">
        <v>111</v>
      </c>
      <c r="B48" s="67">
        <f>B36+B46</f>
        <v>15994554.126062321</v>
      </c>
      <c r="C48" s="46"/>
      <c r="D48" s="46"/>
      <c r="E48" s="46"/>
    </row>
    <row r="49" spans="1:5" x14ac:dyDescent="0.25">
      <c r="A49" s="69"/>
      <c r="B49" s="70"/>
      <c r="C49" s="46"/>
      <c r="D49" s="46"/>
      <c r="E49" s="46"/>
    </row>
    <row r="50" spans="1:5" ht="14.25" customHeight="1" x14ac:dyDescent="0.25">
      <c r="A50" s="49"/>
      <c r="B50" s="36"/>
    </row>
    <row r="51" spans="1:5" ht="16.2" x14ac:dyDescent="0.25">
      <c r="A51" s="28" t="s">
        <v>86</v>
      </c>
      <c r="B51" s="13">
        <f>497*'NOx - SCR - Cap Cost'!B9*8760/2000</f>
        <v>783.66959999999995</v>
      </c>
    </row>
    <row r="52" spans="1:5" ht="16.2" x14ac:dyDescent="0.25">
      <c r="A52" s="37" t="s">
        <v>53</v>
      </c>
      <c r="B52" s="91">
        <v>0.72</v>
      </c>
    </row>
    <row r="53" spans="1:5" ht="16.2" x14ac:dyDescent="0.25">
      <c r="A53" s="28" t="s">
        <v>54</v>
      </c>
      <c r="B53" s="14">
        <f>B52*B51</f>
        <v>564.24211199999991</v>
      </c>
    </row>
    <row r="54" spans="1:5" ht="16.2" x14ac:dyDescent="0.25">
      <c r="A54" s="71" t="s">
        <v>106</v>
      </c>
      <c r="B54" s="72">
        <f>B48/B53</f>
        <v>28346.969830678507</v>
      </c>
    </row>
    <row r="55" spans="1:5" x14ac:dyDescent="0.25">
      <c r="A55" s="73"/>
      <c r="B55" s="73"/>
    </row>
    <row r="57" spans="1:5" x14ac:dyDescent="0.25">
      <c r="A57" s="6" t="s">
        <v>101</v>
      </c>
    </row>
    <row r="58" spans="1:5" x14ac:dyDescent="0.25">
      <c r="A58" s="6" t="s">
        <v>103</v>
      </c>
    </row>
    <row r="59" spans="1:5" x14ac:dyDescent="0.25">
      <c r="A59" s="6" t="s">
        <v>102</v>
      </c>
    </row>
    <row r="60" spans="1:5" ht="29.4" customHeight="1" x14ac:dyDescent="0.25">
      <c r="A60" s="149" t="s">
        <v>137</v>
      </c>
      <c r="B60" s="149"/>
    </row>
    <row r="61" spans="1:5" ht="28.95" customHeight="1" x14ac:dyDescent="0.25">
      <c r="A61" s="149" t="s">
        <v>157</v>
      </c>
      <c r="B61" s="149"/>
    </row>
  </sheetData>
  <mergeCells count="3">
    <mergeCell ref="A1:B1"/>
    <mergeCell ref="A60:B60"/>
    <mergeCell ref="A61:B61"/>
  </mergeCells>
  <phoneticPr fontId="3" type="noConversion"/>
  <printOptions horizontalCentered="1"/>
  <pageMargins left="1" right="1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4"/>
  <sheetViews>
    <sheetView topLeftCell="A31" zoomScale="85" zoomScaleNormal="85" workbookViewId="0">
      <selection activeCell="B51" sqref="B51"/>
    </sheetView>
  </sheetViews>
  <sheetFormatPr defaultColWidth="9.109375" defaultRowHeight="13.8" x14ac:dyDescent="0.25"/>
  <cols>
    <col min="1" max="1" width="79.6640625" style="4" customWidth="1"/>
    <col min="2" max="2" width="22.6640625" style="4" customWidth="1"/>
    <col min="3" max="4" width="9.109375" style="4"/>
    <col min="5" max="5" width="79.6640625" style="4" customWidth="1"/>
    <col min="6" max="6" width="22.6640625" style="4" customWidth="1"/>
    <col min="7" max="16384" width="9.109375" style="4"/>
  </cols>
  <sheetData>
    <row r="1" spans="1:255" ht="16.2" x14ac:dyDescent="0.35">
      <c r="A1" s="151" t="s">
        <v>117</v>
      </c>
      <c r="B1" s="151"/>
      <c r="E1" s="151" t="s">
        <v>118</v>
      </c>
      <c r="F1" s="151"/>
    </row>
    <row r="2" spans="1:255" x14ac:dyDescent="0.25">
      <c r="A2" s="5"/>
      <c r="B2" s="5"/>
      <c r="E2" s="5"/>
      <c r="F2" s="5"/>
    </row>
    <row r="3" spans="1:255" ht="14.25" customHeight="1" x14ac:dyDescent="0.25">
      <c r="A3" s="6" t="s">
        <v>36</v>
      </c>
      <c r="B3" s="6"/>
      <c r="C3" s="6"/>
      <c r="D3" s="6"/>
      <c r="E3" s="6" t="s">
        <v>36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 x14ac:dyDescent="0.25">
      <c r="A4" s="21" t="s">
        <v>37</v>
      </c>
      <c r="B4" s="21"/>
      <c r="C4" s="6"/>
      <c r="D4" s="6"/>
      <c r="E4" s="21" t="s">
        <v>37</v>
      </c>
      <c r="F4" s="2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</row>
    <row r="5" spans="1:255" x14ac:dyDescent="0.25">
      <c r="A5" s="21"/>
      <c r="B5" s="21"/>
      <c r="C5" s="6"/>
      <c r="D5" s="6"/>
      <c r="E5" s="21"/>
      <c r="F5" s="21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</row>
    <row r="6" spans="1:255" x14ac:dyDescent="0.25">
      <c r="A6" s="6" t="s">
        <v>38</v>
      </c>
      <c r="B6" s="6"/>
      <c r="C6" s="6"/>
      <c r="D6" s="6"/>
      <c r="E6" s="6" t="s">
        <v>38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</row>
    <row r="7" spans="1:255" x14ac:dyDescent="0.25">
      <c r="A7" s="6" t="s">
        <v>34</v>
      </c>
      <c r="B7" s="6"/>
      <c r="C7" s="6"/>
      <c r="D7" s="6"/>
      <c r="E7" s="6" t="s">
        <v>34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</row>
    <row r="8" spans="1:25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x14ac:dyDescent="0.25">
      <c r="A11" s="7"/>
      <c r="E11" s="7"/>
    </row>
    <row r="12" spans="1:255" ht="16.2" x14ac:dyDescent="0.35">
      <c r="A12" s="26" t="s">
        <v>22</v>
      </c>
      <c r="B12" s="104">
        <v>269</v>
      </c>
      <c r="E12" s="26" t="s">
        <v>22</v>
      </c>
      <c r="F12" s="104">
        <v>76</v>
      </c>
    </row>
    <row r="13" spans="1:255" ht="16.2" x14ac:dyDescent="0.35">
      <c r="A13" s="26" t="s">
        <v>23</v>
      </c>
      <c r="B13" s="25">
        <v>0.3</v>
      </c>
      <c r="E13" s="26" t="s">
        <v>23</v>
      </c>
      <c r="F13" s="25">
        <v>0.3</v>
      </c>
    </row>
    <row r="14" spans="1:255" x14ac:dyDescent="0.25">
      <c r="A14" s="26" t="s">
        <v>24</v>
      </c>
      <c r="B14" s="27">
        <v>389.5</v>
      </c>
      <c r="E14" s="26" t="s">
        <v>24</v>
      </c>
      <c r="F14" s="27">
        <v>389.5</v>
      </c>
    </row>
    <row r="15" spans="1:255" x14ac:dyDescent="0.25">
      <c r="A15" s="26" t="s">
        <v>35</v>
      </c>
      <c r="B15" s="32">
        <v>578.4</v>
      </c>
      <c r="E15" s="26" t="s">
        <v>35</v>
      </c>
      <c r="F15" s="32">
        <v>578.4</v>
      </c>
    </row>
    <row r="16" spans="1:255" x14ac:dyDescent="0.25">
      <c r="A16" s="26" t="s">
        <v>122</v>
      </c>
      <c r="B16" s="81">
        <v>0.3</v>
      </c>
      <c r="E16" s="26" t="s">
        <v>122</v>
      </c>
      <c r="F16" s="81">
        <v>0.3</v>
      </c>
    </row>
    <row r="17" spans="1:6" x14ac:dyDescent="0.25">
      <c r="A17" s="11"/>
      <c r="B17" s="5"/>
      <c r="E17" s="11"/>
      <c r="F17" s="5"/>
    </row>
    <row r="18" spans="1:6" x14ac:dyDescent="0.25">
      <c r="A18" s="58" t="s">
        <v>104</v>
      </c>
      <c r="B18" s="59" t="s">
        <v>105</v>
      </c>
      <c r="E18" s="58" t="s">
        <v>104</v>
      </c>
      <c r="F18" s="59" t="s">
        <v>105</v>
      </c>
    </row>
    <row r="19" spans="1:6" x14ac:dyDescent="0.25">
      <c r="A19" s="60"/>
      <c r="B19" s="61"/>
      <c r="E19" s="60"/>
      <c r="F19" s="61"/>
    </row>
    <row r="20" spans="1:6" s="63" customFormat="1" x14ac:dyDescent="0.25">
      <c r="A20" s="62" t="s">
        <v>7</v>
      </c>
      <c r="B20" s="35"/>
      <c r="E20" s="62" t="s">
        <v>7</v>
      </c>
      <c r="F20" s="35"/>
    </row>
    <row r="21" spans="1:6" x14ac:dyDescent="0.25">
      <c r="A21" s="150"/>
      <c r="B21" s="150"/>
      <c r="E21" s="150"/>
      <c r="F21" s="150"/>
    </row>
    <row r="22" spans="1:6" ht="63.75" customHeight="1" x14ac:dyDescent="0.25">
      <c r="A22" s="12" t="s">
        <v>39</v>
      </c>
      <c r="B22" s="14">
        <f>950*B12*(2375/B12)^0.577*(0.66+0.85*B13)*(B15/B14)</f>
        <v>1220137.1243429219</v>
      </c>
      <c r="E22" s="16" t="s">
        <v>39</v>
      </c>
      <c r="F22" s="14">
        <f>950*F12*(2375/F12)^0.577*(0.66+0.85*F13)*(F15/F14)</f>
        <v>714837.91006435698</v>
      </c>
    </row>
    <row r="23" spans="1:6" ht="16.2" x14ac:dyDescent="0.25">
      <c r="A23" s="16" t="s">
        <v>123</v>
      </c>
      <c r="B23" s="14">
        <f>B22*B16</f>
        <v>366041.13730287657</v>
      </c>
      <c r="E23" s="16" t="s">
        <v>123</v>
      </c>
      <c r="F23" s="14">
        <f>F22*F16</f>
        <v>214451.3730193071</v>
      </c>
    </row>
    <row r="24" spans="1:6" x14ac:dyDescent="0.25">
      <c r="A24" s="16"/>
      <c r="B24" s="14"/>
      <c r="E24" s="16"/>
      <c r="F24" s="14"/>
    </row>
    <row r="25" spans="1:6" x14ac:dyDescent="0.25">
      <c r="A25" s="22" t="s">
        <v>33</v>
      </c>
      <c r="B25" s="14">
        <f>B23+B22</f>
        <v>1586178.2616457986</v>
      </c>
      <c r="E25" s="22" t="s">
        <v>33</v>
      </c>
      <c r="F25" s="14">
        <f>F23+F22</f>
        <v>929289.28308366402</v>
      </c>
    </row>
    <row r="26" spans="1:6" x14ac:dyDescent="0.25">
      <c r="A26" s="153"/>
      <c r="B26" s="153"/>
      <c r="E26" s="153"/>
      <c r="F26" s="153"/>
    </row>
    <row r="27" spans="1:6" x14ac:dyDescent="0.25">
      <c r="A27" s="152" t="s">
        <v>0</v>
      </c>
      <c r="B27" s="152"/>
      <c r="E27" s="152" t="s">
        <v>0</v>
      </c>
      <c r="F27" s="152"/>
    </row>
    <row r="28" spans="1:6" x14ac:dyDescent="0.25">
      <c r="A28" s="18" t="s">
        <v>121</v>
      </c>
      <c r="B28" s="13">
        <f>0.05*B25</f>
        <v>79308.913082289931</v>
      </c>
      <c r="E28" s="44" t="s">
        <v>121</v>
      </c>
      <c r="F28" s="13">
        <f>0.05*F25</f>
        <v>46464.464154183202</v>
      </c>
    </row>
    <row r="29" spans="1:6" x14ac:dyDescent="0.25">
      <c r="A29" s="80" t="s">
        <v>124</v>
      </c>
      <c r="B29" s="13">
        <f>0.2*B25</f>
        <v>317235.65232915973</v>
      </c>
      <c r="E29" s="80" t="s">
        <v>124</v>
      </c>
      <c r="F29" s="13">
        <f>0.2*F25</f>
        <v>185857.85661673281</v>
      </c>
    </row>
    <row r="30" spans="1:6" x14ac:dyDescent="0.25">
      <c r="A30" s="80" t="s">
        <v>125</v>
      </c>
      <c r="B30" s="13">
        <f>0.1*B25</f>
        <v>158617.82616457986</v>
      </c>
      <c r="E30" s="80" t="s">
        <v>125</v>
      </c>
      <c r="F30" s="13">
        <f>0.1*F25</f>
        <v>92928.928308366405</v>
      </c>
    </row>
    <row r="31" spans="1:6" x14ac:dyDescent="0.25">
      <c r="A31" s="17" t="s">
        <v>107</v>
      </c>
      <c r="B31" s="13">
        <f>0.1*B25</f>
        <v>158617.82616457986</v>
      </c>
      <c r="E31" s="17" t="s">
        <v>107</v>
      </c>
      <c r="F31" s="13">
        <f>0.1*F25</f>
        <v>92928.928308366405</v>
      </c>
    </row>
    <row r="32" spans="1:6" x14ac:dyDescent="0.25">
      <c r="A32" s="24" t="s">
        <v>108</v>
      </c>
      <c r="B32" s="14">
        <f>0.05*B25</f>
        <v>79308.913082289931</v>
      </c>
      <c r="E32" s="45" t="s">
        <v>108</v>
      </c>
      <c r="F32" s="14">
        <f>0.05*F25</f>
        <v>46464.464154183202</v>
      </c>
    </row>
    <row r="33" spans="1:6" x14ac:dyDescent="0.25">
      <c r="A33" s="153"/>
      <c r="B33" s="153"/>
      <c r="E33" s="153"/>
      <c r="F33" s="153"/>
    </row>
    <row r="34" spans="1:6" x14ac:dyDescent="0.25">
      <c r="A34" s="22" t="s">
        <v>25</v>
      </c>
      <c r="B34" s="14">
        <f>SUM(B28:B32)</f>
        <v>793089.13082289929</v>
      </c>
      <c r="E34" s="22" t="s">
        <v>25</v>
      </c>
      <c r="F34" s="14">
        <f>SUM(F28:F32)</f>
        <v>464644.64154183201</v>
      </c>
    </row>
    <row r="35" spans="1:6" x14ac:dyDescent="0.25">
      <c r="A35" s="18"/>
      <c r="B35" s="14"/>
      <c r="E35" s="18"/>
      <c r="F35" s="14"/>
    </row>
    <row r="36" spans="1:6" x14ac:dyDescent="0.25">
      <c r="A36" s="18" t="s">
        <v>26</v>
      </c>
      <c r="B36" s="14">
        <f>0.15*(B25+B34)</f>
        <v>356890.10887030466</v>
      </c>
      <c r="E36" s="18" t="s">
        <v>26</v>
      </c>
      <c r="F36" s="14">
        <f>0.15*(F25+F34)</f>
        <v>209090.08869382439</v>
      </c>
    </row>
    <row r="37" spans="1:6" x14ac:dyDescent="0.25">
      <c r="A37" s="18" t="s">
        <v>27</v>
      </c>
      <c r="B37" s="14">
        <f>B25+B34+B36</f>
        <v>2736157.5013390025</v>
      </c>
      <c r="E37" s="18" t="s">
        <v>27</v>
      </c>
      <c r="F37" s="14">
        <f>F25+F34+F36</f>
        <v>1603024.0133193203</v>
      </c>
    </row>
    <row r="38" spans="1:6" x14ac:dyDescent="0.25">
      <c r="A38" s="18" t="s">
        <v>28</v>
      </c>
      <c r="B38" s="14">
        <v>0</v>
      </c>
      <c r="E38" s="18" t="s">
        <v>28</v>
      </c>
      <c r="F38" s="14">
        <v>0</v>
      </c>
    </row>
    <row r="39" spans="1:6" x14ac:dyDescent="0.25">
      <c r="A39" s="18" t="s">
        <v>29</v>
      </c>
      <c r="B39" s="14">
        <v>0</v>
      </c>
      <c r="E39" s="18" t="s">
        <v>29</v>
      </c>
      <c r="F39" s="14">
        <v>0</v>
      </c>
    </row>
    <row r="40" spans="1:6" x14ac:dyDescent="0.25">
      <c r="A40" s="18" t="s">
        <v>30</v>
      </c>
      <c r="B40" s="14">
        <f>0.02*(B37+B38)</f>
        <v>54723.150026780051</v>
      </c>
      <c r="E40" s="18" t="s">
        <v>30</v>
      </c>
      <c r="F40" s="14">
        <f>0.02*(F37+F38)</f>
        <v>32060.480266386407</v>
      </c>
    </row>
    <row r="41" spans="1:6" ht="30" x14ac:dyDescent="0.25">
      <c r="A41" s="18" t="s">
        <v>81</v>
      </c>
      <c r="B41" s="13">
        <f>0.36*B12*B13*1.58*60.06/2/46.01/0.5*7.481/71*14*24*0.85</f>
        <v>1803.1245488374846</v>
      </c>
      <c r="E41" s="18" t="s">
        <v>81</v>
      </c>
      <c r="F41" s="13">
        <f>0.36*F12*F13*1.58*60.06/2/46.01/0.5*7.481/71*14*24*0.85</f>
        <v>509.43295803586932</v>
      </c>
    </row>
    <row r="42" spans="1:6" x14ac:dyDescent="0.25">
      <c r="A42" s="18" t="s">
        <v>31</v>
      </c>
      <c r="B42" s="14">
        <v>0</v>
      </c>
      <c r="E42" s="18" t="s">
        <v>31</v>
      </c>
      <c r="F42" s="14">
        <v>0</v>
      </c>
    </row>
    <row r="43" spans="1:6" x14ac:dyDescent="0.25">
      <c r="A43" s="18"/>
      <c r="B43" s="14"/>
      <c r="E43" s="18"/>
      <c r="F43" s="14"/>
    </row>
    <row r="44" spans="1:6" x14ac:dyDescent="0.25">
      <c r="A44" s="22" t="s">
        <v>32</v>
      </c>
      <c r="B44" s="23">
        <f>B37+B38+B39+B40+B41+B42</f>
        <v>2792683.7759146201</v>
      </c>
      <c r="E44" s="22" t="s">
        <v>32</v>
      </c>
      <c r="F44" s="23">
        <f>F37+F38+F39+F40+F41+F42</f>
        <v>1635593.9265437427</v>
      </c>
    </row>
    <row r="45" spans="1:6" x14ac:dyDescent="0.25">
      <c r="A45" s="19"/>
      <c r="B45" s="20"/>
      <c r="E45" s="19"/>
      <c r="F45" s="20"/>
    </row>
    <row r="46" spans="1:6" x14ac:dyDescent="0.25">
      <c r="A46" s="12"/>
      <c r="B46" s="12"/>
      <c r="E46" s="16"/>
      <c r="F46" s="16"/>
    </row>
    <row r="47" spans="1:6" x14ac:dyDescent="0.25">
      <c r="A47" s="6" t="s">
        <v>40</v>
      </c>
      <c r="B47" s="16"/>
      <c r="E47" s="6" t="s">
        <v>40</v>
      </c>
      <c r="F47" s="16"/>
    </row>
    <row r="48" spans="1:6" ht="33.75" customHeight="1" x14ac:dyDescent="0.25">
      <c r="A48" s="155" t="s">
        <v>41</v>
      </c>
      <c r="B48" s="155"/>
      <c r="E48" s="155" t="s">
        <v>41</v>
      </c>
      <c r="F48" s="155"/>
    </row>
    <row r="50" spans="1:6" x14ac:dyDescent="0.25">
      <c r="A50" s="33" t="s">
        <v>163</v>
      </c>
      <c r="B50" s="103">
        <f>B44</f>
        <v>2792683.7759146201</v>
      </c>
      <c r="E50" s="33" t="s">
        <v>165</v>
      </c>
      <c r="F50" s="103">
        <f>F44*3</f>
        <v>4906781.7796312282</v>
      </c>
    </row>
    <row r="51" spans="1:6" x14ac:dyDescent="0.25">
      <c r="B51" s="101"/>
    </row>
    <row r="52" spans="1:6" x14ac:dyDescent="0.25">
      <c r="A52" s="33" t="s">
        <v>42</v>
      </c>
      <c r="B52" s="102">
        <f>B44+3*F44</f>
        <v>7699465.5555458479</v>
      </c>
    </row>
    <row r="53" spans="1:6" x14ac:dyDescent="0.25">
      <c r="A53" s="26" t="s">
        <v>43</v>
      </c>
    </row>
    <row r="54" spans="1:6" x14ac:dyDescent="0.25">
      <c r="B54" s="82"/>
    </row>
  </sheetData>
  <mergeCells count="12">
    <mergeCell ref="A48:B48"/>
    <mergeCell ref="E1:F1"/>
    <mergeCell ref="E21:F21"/>
    <mergeCell ref="E26:F26"/>
    <mergeCell ref="E27:F27"/>
    <mergeCell ref="E33:F33"/>
    <mergeCell ref="E48:F48"/>
    <mergeCell ref="A1:B1"/>
    <mergeCell ref="A21:B21"/>
    <mergeCell ref="A26:B26"/>
    <mergeCell ref="A27:B27"/>
    <mergeCell ref="A33:B3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opLeftCell="A55" zoomScale="85" zoomScaleNormal="85" workbookViewId="0">
      <selection activeCell="C70" sqref="C70:D70"/>
    </sheetView>
  </sheetViews>
  <sheetFormatPr defaultColWidth="9.109375" defaultRowHeight="13.8" x14ac:dyDescent="0.25"/>
  <cols>
    <col min="1" max="1" width="71.6640625" style="4" customWidth="1"/>
    <col min="2" max="2" width="14.5546875" style="4" customWidth="1"/>
    <col min="3" max="3" width="9.109375" style="4" customWidth="1"/>
    <col min="4" max="4" width="8.88671875" style="4" customWidth="1"/>
    <col min="5" max="5" width="71.6640625" style="4" customWidth="1"/>
    <col min="6" max="6" width="13.33203125" style="4" customWidth="1"/>
    <col min="7" max="16384" width="9.109375" style="4"/>
  </cols>
  <sheetData>
    <row r="1" spans="1:6" ht="16.2" x14ac:dyDescent="0.25">
      <c r="A1" s="154" t="s">
        <v>119</v>
      </c>
      <c r="B1" s="154"/>
      <c r="E1" s="154" t="s">
        <v>120</v>
      </c>
      <c r="F1" s="154"/>
    </row>
    <row r="2" spans="1:6" x14ac:dyDescent="0.25">
      <c r="A2" s="6"/>
      <c r="B2" s="6"/>
      <c r="E2" s="6"/>
      <c r="F2" s="6"/>
    </row>
    <row r="3" spans="1:6" ht="16.2" x14ac:dyDescent="0.35">
      <c r="A3" s="147" t="s">
        <v>22</v>
      </c>
      <c r="B3" s="107">
        <v>269</v>
      </c>
      <c r="C3" s="105"/>
      <c r="D3" s="105"/>
      <c r="E3" s="106" t="s">
        <v>22</v>
      </c>
      <c r="F3" s="107">
        <v>76</v>
      </c>
    </row>
    <row r="4" spans="1:6" ht="16.2" x14ac:dyDescent="0.35">
      <c r="A4" s="108" t="s">
        <v>55</v>
      </c>
      <c r="B4" s="109">
        <v>0.3</v>
      </c>
      <c r="E4" s="108" t="s">
        <v>55</v>
      </c>
      <c r="F4" s="109">
        <v>0.3</v>
      </c>
    </row>
    <row r="5" spans="1:6" ht="17.399999999999999" x14ac:dyDescent="0.35">
      <c r="A5" s="108" t="s">
        <v>56</v>
      </c>
      <c r="B5" s="110">
        <v>0.28999999999999998</v>
      </c>
      <c r="E5" s="108" t="s">
        <v>56</v>
      </c>
      <c r="F5" s="110">
        <v>0.44</v>
      </c>
    </row>
    <row r="6" spans="1:6" ht="16.2" x14ac:dyDescent="0.25">
      <c r="A6" s="111" t="s">
        <v>58</v>
      </c>
      <c r="B6" s="112">
        <f>(2*B5+0.7)*B4/B5</f>
        <v>1.3241379310344827</v>
      </c>
      <c r="E6" s="111" t="s">
        <v>58</v>
      </c>
      <c r="F6" s="112">
        <f>(2*F5+0.7)*F4/F5</f>
        <v>1.0772727272727272</v>
      </c>
    </row>
    <row r="7" spans="1:6" ht="16.2" x14ac:dyDescent="0.25">
      <c r="A7" s="111" t="s">
        <v>57</v>
      </c>
      <c r="B7" s="113">
        <f>B4/B6</f>
        <v>0.2265625</v>
      </c>
      <c r="E7" s="111" t="s">
        <v>57</v>
      </c>
      <c r="F7" s="113">
        <f>F4/F6</f>
        <v>0.27848101265822789</v>
      </c>
    </row>
    <row r="8" spans="1:6" ht="32.4" x14ac:dyDescent="0.25">
      <c r="A8" s="114" t="s">
        <v>63</v>
      </c>
      <c r="B8" s="115">
        <f>B5*B3*B4*B6*60.06/2/46.01</f>
        <v>20.225900108672025</v>
      </c>
      <c r="E8" s="114" t="s">
        <v>63</v>
      </c>
      <c r="F8" s="115">
        <f>F5*F3*F4*F6*60.06/2/46.01</f>
        <v>7.0536886763746995</v>
      </c>
    </row>
    <row r="9" spans="1:6" ht="16.2" x14ac:dyDescent="0.25">
      <c r="A9" s="111" t="s">
        <v>59</v>
      </c>
      <c r="B9" s="115">
        <f>B8/0.5</f>
        <v>40.451800217344051</v>
      </c>
      <c r="E9" s="111" t="s">
        <v>59</v>
      </c>
      <c r="F9" s="115">
        <f>F8/0.5</f>
        <v>14.107377352749399</v>
      </c>
    </row>
    <row r="10" spans="1:6" ht="16.2" x14ac:dyDescent="0.25">
      <c r="A10" s="111" t="s">
        <v>60</v>
      </c>
      <c r="B10" s="112">
        <f>B9*7.481/71</f>
        <v>4.2622523581119838</v>
      </c>
      <c r="E10" s="111" t="s">
        <v>60</v>
      </c>
      <c r="F10" s="112">
        <f>F9*7.481/71</f>
        <v>1.4864407038861727</v>
      </c>
    </row>
    <row r="11" spans="1:6" ht="16.2" x14ac:dyDescent="0.25">
      <c r="A11" s="111" t="s">
        <v>61</v>
      </c>
      <c r="B11" s="116">
        <v>0.85</v>
      </c>
      <c r="E11" s="111" t="s">
        <v>61</v>
      </c>
      <c r="F11" s="116">
        <v>0.85</v>
      </c>
    </row>
    <row r="12" spans="1:6" ht="16.2" x14ac:dyDescent="0.25">
      <c r="A12" s="111" t="s">
        <v>66</v>
      </c>
      <c r="B12" s="117">
        <f>8760*0.8</f>
        <v>7008</v>
      </c>
      <c r="E12" s="111" t="s">
        <v>66</v>
      </c>
      <c r="F12" s="117">
        <f>8760*0.8</f>
        <v>7008</v>
      </c>
    </row>
    <row r="13" spans="1:6" ht="16.2" x14ac:dyDescent="0.25">
      <c r="A13" s="111" t="s">
        <v>62</v>
      </c>
      <c r="B13" s="118">
        <f>0.47*B5*B6*B3/9.5</f>
        <v>5.110433684210526</v>
      </c>
      <c r="E13" s="111" t="s">
        <v>62</v>
      </c>
      <c r="F13" s="118">
        <f>0.47*F5*F6*F3/9.5</f>
        <v>1.7822399999999998</v>
      </c>
    </row>
    <row r="14" spans="1:6" ht="16.2" x14ac:dyDescent="0.25">
      <c r="A14" s="111" t="s">
        <v>64</v>
      </c>
      <c r="B14" s="119">
        <v>0.21</v>
      </c>
      <c r="E14" s="111" t="s">
        <v>64</v>
      </c>
      <c r="F14" s="119">
        <v>0.21</v>
      </c>
    </row>
    <row r="15" spans="1:6" ht="16.2" x14ac:dyDescent="0.25">
      <c r="A15" s="111" t="s">
        <v>67</v>
      </c>
      <c r="B15" s="120">
        <v>0.5</v>
      </c>
      <c r="E15" s="111" t="s">
        <v>67</v>
      </c>
      <c r="F15" s="120">
        <v>0.5</v>
      </c>
    </row>
    <row r="16" spans="1:6" ht="16.2" x14ac:dyDescent="0.25">
      <c r="A16" s="111" t="s">
        <v>68</v>
      </c>
      <c r="B16" s="120">
        <v>0.1</v>
      </c>
      <c r="E16" s="111" t="s">
        <v>68</v>
      </c>
      <c r="F16" s="120">
        <v>0.1</v>
      </c>
    </row>
    <row r="17" spans="1:6" ht="32.4" x14ac:dyDescent="0.25">
      <c r="A17" s="114" t="s">
        <v>69</v>
      </c>
      <c r="B17" s="119">
        <f>B9/8.345*(B15/B16-1)</f>
        <v>19.389718498427346</v>
      </c>
      <c r="D17" s="38"/>
      <c r="E17" s="114" t="s">
        <v>69</v>
      </c>
      <c r="F17" s="119">
        <f>F9/8.345*(F15/F16-1)</f>
        <v>6.7620742254041453</v>
      </c>
    </row>
    <row r="18" spans="1:6" ht="16.2" x14ac:dyDescent="0.25">
      <c r="A18" s="111" t="s">
        <v>70</v>
      </c>
      <c r="B18" s="119">
        <v>0.28000000000000003</v>
      </c>
      <c r="E18" s="111" t="s">
        <v>70</v>
      </c>
      <c r="F18" s="119">
        <v>0.28000000000000003</v>
      </c>
    </row>
    <row r="19" spans="1:6" ht="16.2" x14ac:dyDescent="0.25">
      <c r="A19" s="111" t="s">
        <v>72</v>
      </c>
      <c r="B19" s="121">
        <v>900</v>
      </c>
      <c r="E19" s="111" t="s">
        <v>72</v>
      </c>
      <c r="F19" s="121">
        <v>900</v>
      </c>
    </row>
    <row r="20" spans="1:6" ht="16.2" x14ac:dyDescent="0.25">
      <c r="A20" s="111" t="s">
        <v>73</v>
      </c>
      <c r="B20" s="119">
        <f>B19*B8*(1/B16-1)/1000000</f>
        <v>0.16382979088024341</v>
      </c>
      <c r="E20" s="111" t="s">
        <v>73</v>
      </c>
      <c r="F20" s="119">
        <f>F19*F8*(1/F16-1)/1000000</f>
        <v>5.7134878278635066E-2</v>
      </c>
    </row>
    <row r="21" spans="1:6" ht="16.2" x14ac:dyDescent="0.25">
      <c r="A21" s="111" t="s">
        <v>74</v>
      </c>
      <c r="B21" s="119">
        <v>2</v>
      </c>
      <c r="E21" s="111" t="s">
        <v>74</v>
      </c>
      <c r="F21" s="119">
        <v>2</v>
      </c>
    </row>
    <row r="22" spans="1:6" x14ac:dyDescent="0.25">
      <c r="A22" s="111" t="s">
        <v>76</v>
      </c>
      <c r="B22" s="121">
        <v>7500</v>
      </c>
      <c r="E22" s="111" t="s">
        <v>76</v>
      </c>
      <c r="F22" s="121">
        <v>7500</v>
      </c>
    </row>
    <row r="23" spans="1:6" x14ac:dyDescent="0.25">
      <c r="A23" s="111" t="s">
        <v>77</v>
      </c>
      <c r="B23" s="120">
        <v>0.1</v>
      </c>
      <c r="E23" s="111" t="s">
        <v>77</v>
      </c>
      <c r="F23" s="120">
        <v>0.1</v>
      </c>
    </row>
    <row r="24" spans="1:6" ht="16.2" x14ac:dyDescent="0.25">
      <c r="A24" s="111" t="s">
        <v>78</v>
      </c>
      <c r="B24" s="122">
        <f>B20*1000000/B22*B23/2000</f>
        <v>1.0921986058682893E-3</v>
      </c>
      <c r="E24" s="111" t="s">
        <v>78</v>
      </c>
      <c r="F24" s="122">
        <f>F20*1000000/F22*F23/2000</f>
        <v>3.8089918852423374E-4</v>
      </c>
    </row>
    <row r="25" spans="1:6" ht="16.2" x14ac:dyDescent="0.25">
      <c r="A25" s="111" t="s">
        <v>79</v>
      </c>
      <c r="B25" s="121">
        <v>25</v>
      </c>
      <c r="E25" s="111" t="s">
        <v>79</v>
      </c>
      <c r="F25" s="121">
        <v>25</v>
      </c>
    </row>
    <row r="26" spans="1:6" x14ac:dyDescent="0.25">
      <c r="A26" s="123"/>
      <c r="B26" s="124"/>
      <c r="E26" s="123"/>
      <c r="F26" s="124"/>
    </row>
    <row r="27" spans="1:6" x14ac:dyDescent="0.25">
      <c r="A27" s="125" t="s">
        <v>104</v>
      </c>
      <c r="B27" s="126" t="s">
        <v>105</v>
      </c>
      <c r="E27" s="125" t="s">
        <v>104</v>
      </c>
      <c r="F27" s="126" t="s">
        <v>105</v>
      </c>
    </row>
    <row r="28" spans="1:6" x14ac:dyDescent="0.25">
      <c r="A28" s="123"/>
      <c r="B28" s="124"/>
      <c r="E28" s="123"/>
      <c r="F28" s="124"/>
    </row>
    <row r="29" spans="1:6" x14ac:dyDescent="0.25">
      <c r="A29" s="127" t="s">
        <v>2</v>
      </c>
      <c r="B29" s="128"/>
      <c r="C29" s="63"/>
      <c r="D29" s="63"/>
      <c r="E29" s="127" t="s">
        <v>2</v>
      </c>
      <c r="F29" s="128"/>
    </row>
    <row r="30" spans="1:6" x14ac:dyDescent="0.25">
      <c r="A30" s="129"/>
      <c r="B30" s="128"/>
      <c r="E30" s="129"/>
      <c r="F30" s="128"/>
    </row>
    <row r="31" spans="1:6" x14ac:dyDescent="0.25">
      <c r="A31" s="130" t="s">
        <v>11</v>
      </c>
      <c r="B31" s="131"/>
      <c r="E31" s="130" t="s">
        <v>11</v>
      </c>
      <c r="F31" s="131"/>
    </row>
    <row r="32" spans="1:6" x14ac:dyDescent="0.25">
      <c r="A32" s="130" t="s">
        <v>158</v>
      </c>
      <c r="B32" s="132">
        <f>63.13*4*365</f>
        <v>92169.8</v>
      </c>
      <c r="E32" s="130" t="s">
        <v>159</v>
      </c>
      <c r="F32" s="132">
        <f>63.13*4*365</f>
        <v>92169.8</v>
      </c>
    </row>
    <row r="33" spans="1:7" x14ac:dyDescent="0.25">
      <c r="A33" s="130" t="s">
        <v>12</v>
      </c>
      <c r="B33" s="132">
        <f>0.15*B32</f>
        <v>13825.47</v>
      </c>
      <c r="E33" s="130" t="s">
        <v>12</v>
      </c>
      <c r="F33" s="132">
        <f>0.15*F32</f>
        <v>13825.47</v>
      </c>
    </row>
    <row r="34" spans="1:7" ht="27.6" x14ac:dyDescent="0.25">
      <c r="A34" s="133" t="s">
        <v>51</v>
      </c>
      <c r="B34" s="132">
        <f>0.015*'NOx - SNCR - Cap Cost'!B44</f>
        <v>41890.2566387193</v>
      </c>
      <c r="E34" s="133" t="s">
        <v>51</v>
      </c>
      <c r="F34" s="132">
        <f>0.015*'NOx - SNCR - Cap Cost'!F44</f>
        <v>24533.90889815614</v>
      </c>
    </row>
    <row r="35" spans="1:7" x14ac:dyDescent="0.25">
      <c r="A35" s="130"/>
      <c r="B35" s="132"/>
      <c r="E35" s="130"/>
      <c r="F35" s="132"/>
    </row>
    <row r="36" spans="1:7" ht="16.2" x14ac:dyDescent="0.25">
      <c r="A36" s="134" t="s">
        <v>52</v>
      </c>
      <c r="B36" s="132">
        <f>B10*B11*B12</f>
        <v>25389.384846801466</v>
      </c>
      <c r="E36" s="134" t="s">
        <v>52</v>
      </c>
      <c r="F36" s="132">
        <f>F10*F11*F12</f>
        <v>8854.4299849091531</v>
      </c>
    </row>
    <row r="37" spans="1:7" x14ac:dyDescent="0.25">
      <c r="A37" s="134"/>
      <c r="B37" s="135"/>
      <c r="E37" s="134"/>
      <c r="F37" s="135"/>
    </row>
    <row r="38" spans="1:7" ht="16.2" x14ac:dyDescent="0.25">
      <c r="A38" s="134" t="s">
        <v>65</v>
      </c>
      <c r="B38" s="132">
        <f>B13*B14*B12</f>
        <v>7520.9230443789475</v>
      </c>
      <c r="E38" s="134" t="s">
        <v>65</v>
      </c>
      <c r="F38" s="132">
        <f>F13*F14*F12</f>
        <v>2622.8869631999996</v>
      </c>
    </row>
    <row r="39" spans="1:7" x14ac:dyDescent="0.25">
      <c r="A39" s="129"/>
      <c r="B39" s="128"/>
      <c r="E39" s="129"/>
      <c r="F39" s="128"/>
    </row>
    <row r="40" spans="1:7" ht="16.2" x14ac:dyDescent="0.25">
      <c r="A40" s="129" t="s">
        <v>71</v>
      </c>
      <c r="B40" s="132">
        <f>B17/1000*B18*B12</f>
        <v>38.04728122635408</v>
      </c>
      <c r="E40" s="129" t="s">
        <v>71</v>
      </c>
      <c r="F40" s="132">
        <f>F17/1000*F18*F12</f>
        <v>13.26881252805703</v>
      </c>
    </row>
    <row r="41" spans="1:7" x14ac:dyDescent="0.25">
      <c r="A41" s="123"/>
      <c r="B41" s="128"/>
      <c r="E41" s="123"/>
      <c r="F41" s="128"/>
    </row>
    <row r="42" spans="1:7" ht="16.2" x14ac:dyDescent="0.25">
      <c r="A42" s="129" t="s">
        <v>75</v>
      </c>
      <c r="B42" s="132">
        <f>B20*B21*B12</f>
        <v>2296.2383489774916</v>
      </c>
      <c r="E42" s="129" t="s">
        <v>75</v>
      </c>
      <c r="F42" s="132">
        <f>F20*F21*F12</f>
        <v>800.80245395334907</v>
      </c>
    </row>
    <row r="43" spans="1:7" x14ac:dyDescent="0.25">
      <c r="A43" s="129"/>
      <c r="B43" s="128"/>
      <c r="E43" s="129"/>
      <c r="F43" s="128"/>
    </row>
    <row r="44" spans="1:7" ht="16.2" x14ac:dyDescent="0.25">
      <c r="A44" s="129" t="s">
        <v>80</v>
      </c>
      <c r="B44" s="132">
        <f>B24*B25*B12</f>
        <v>191.35319574812431</v>
      </c>
      <c r="E44" s="129" t="s">
        <v>80</v>
      </c>
      <c r="F44" s="132">
        <f>F24*F25*F12</f>
        <v>66.733537829445751</v>
      </c>
    </row>
    <row r="45" spans="1:7" x14ac:dyDescent="0.25">
      <c r="A45" s="129"/>
      <c r="B45" s="132"/>
      <c r="E45" s="129"/>
      <c r="F45" s="132"/>
    </row>
    <row r="46" spans="1:7" x14ac:dyDescent="0.25">
      <c r="A46" s="136" t="s">
        <v>109</v>
      </c>
      <c r="B46" s="137">
        <f>SUM(B31:B44)</f>
        <v>183321.47335585169</v>
      </c>
      <c r="C46" s="33"/>
      <c r="D46" s="33"/>
      <c r="E46" s="136" t="s">
        <v>109</v>
      </c>
      <c r="F46" s="137">
        <f>SUM(F31:F44)</f>
        <v>142887.30065057613</v>
      </c>
      <c r="G46" s="33"/>
    </row>
    <row r="47" spans="1:7" x14ac:dyDescent="0.25">
      <c r="A47" s="156"/>
      <c r="B47" s="157"/>
      <c r="E47" s="156"/>
      <c r="F47" s="157"/>
    </row>
    <row r="48" spans="1:7" x14ac:dyDescent="0.25">
      <c r="A48" s="158" t="s">
        <v>3</v>
      </c>
      <c r="B48" s="159"/>
      <c r="E48" s="158" t="s">
        <v>3</v>
      </c>
      <c r="F48" s="159"/>
    </row>
    <row r="49" spans="1:6" x14ac:dyDescent="0.25">
      <c r="A49" s="138"/>
      <c r="B49" s="139"/>
      <c r="E49" s="138"/>
      <c r="F49" s="139"/>
    </row>
    <row r="50" spans="1:6" x14ac:dyDescent="0.25">
      <c r="A50" s="138" t="s">
        <v>13</v>
      </c>
      <c r="B50" s="140">
        <f>0.8*(B32+B33+B34)</f>
        <v>118308.42131097545</v>
      </c>
      <c r="E50" s="138" t="s">
        <v>13</v>
      </c>
      <c r="F50" s="140">
        <f>0.8*(F32+F33+F34)</f>
        <v>104423.34311852492</v>
      </c>
    </row>
    <row r="51" spans="1:6" x14ac:dyDescent="0.25">
      <c r="A51" s="138" t="s">
        <v>5</v>
      </c>
      <c r="B51" s="140">
        <f>0.01*'NOx - SNCR - Cap Cost'!B44</f>
        <v>27926.837759146201</v>
      </c>
      <c r="E51" s="138" t="s">
        <v>5</v>
      </c>
      <c r="F51" s="140">
        <f>0.01*'NOx - SNCR - Cap Cost'!F44</f>
        <v>16355.939265437426</v>
      </c>
    </row>
    <row r="52" spans="1:6" x14ac:dyDescent="0.25">
      <c r="A52" s="141" t="s">
        <v>15</v>
      </c>
      <c r="B52" s="142">
        <f>0.16275*'NOx - SNCR - Cap Cost'!B44</f>
        <v>454509.28453010443</v>
      </c>
      <c r="E52" s="141" t="s">
        <v>15</v>
      </c>
      <c r="F52" s="142">
        <f>0.16275*'NOx - SNCR - Cap Cost'!F44</f>
        <v>266192.9115449941</v>
      </c>
    </row>
    <row r="53" spans="1:6" x14ac:dyDescent="0.25">
      <c r="A53" s="138"/>
      <c r="B53" s="139"/>
      <c r="E53" s="138"/>
      <c r="F53" s="139"/>
    </row>
    <row r="54" spans="1:6" x14ac:dyDescent="0.25">
      <c r="A54" s="136" t="s">
        <v>110</v>
      </c>
      <c r="B54" s="137">
        <f>SUM(B50:B52)</f>
        <v>600744.54360022605</v>
      </c>
      <c r="C54" s="33"/>
      <c r="D54" s="33"/>
      <c r="E54" s="136" t="s">
        <v>110</v>
      </c>
      <c r="F54" s="137">
        <f>SUM(F50:F52)</f>
        <v>386972.19392895646</v>
      </c>
    </row>
    <row r="55" spans="1:6" x14ac:dyDescent="0.25">
      <c r="A55" s="136"/>
      <c r="B55" s="143"/>
      <c r="C55" s="33"/>
      <c r="D55" s="33"/>
      <c r="E55" s="136"/>
      <c r="F55" s="143"/>
    </row>
    <row r="56" spans="1:6" x14ac:dyDescent="0.25">
      <c r="A56" s="144" t="s">
        <v>111</v>
      </c>
      <c r="B56" s="137">
        <f>B46+B54</f>
        <v>784066.01695607777</v>
      </c>
      <c r="C56" s="74"/>
      <c r="D56" s="74"/>
      <c r="E56" s="144" t="s">
        <v>111</v>
      </c>
      <c r="F56" s="137">
        <f>F46+F54</f>
        <v>529859.49457953265</v>
      </c>
    </row>
    <row r="57" spans="1:6" x14ac:dyDescent="0.25">
      <c r="A57" s="145"/>
      <c r="B57" s="146"/>
      <c r="E57" s="145"/>
      <c r="F57" s="146"/>
    </row>
    <row r="58" spans="1:6" x14ac:dyDescent="0.25">
      <c r="A58" s="24"/>
      <c r="B58" s="15"/>
    </row>
    <row r="59" spans="1:6" x14ac:dyDescent="0.25">
      <c r="A59" s="41"/>
      <c r="B59" s="42"/>
      <c r="C59" s="43"/>
      <c r="D59" s="43"/>
      <c r="E59" s="43"/>
      <c r="F59" s="43"/>
    </row>
    <row r="60" spans="1:6" x14ac:dyDescent="0.25">
      <c r="A60" s="41"/>
      <c r="B60" s="42"/>
      <c r="C60" s="43"/>
      <c r="D60" s="43"/>
      <c r="E60" s="43"/>
      <c r="F60" s="43"/>
    </row>
    <row r="61" spans="1:6" x14ac:dyDescent="0.25">
      <c r="A61" s="24"/>
      <c r="B61" s="15"/>
    </row>
    <row r="62" spans="1:6" ht="29.25" customHeight="1" x14ac:dyDescent="0.25">
      <c r="A62" s="40"/>
      <c r="B62" s="89" t="s">
        <v>161</v>
      </c>
      <c r="C62" s="162" t="s">
        <v>160</v>
      </c>
      <c r="D62" s="162"/>
      <c r="E62" s="92" t="s">
        <v>162</v>
      </c>
    </row>
    <row r="63" spans="1:6" s="63" customFormat="1" ht="27.6" x14ac:dyDescent="0.25">
      <c r="A63" s="75" t="s">
        <v>82</v>
      </c>
      <c r="B63" s="76">
        <v>269</v>
      </c>
      <c r="C63" s="163">
        <f>3*76</f>
        <v>228</v>
      </c>
      <c r="D63" s="163"/>
      <c r="E63" s="93">
        <f>C63+B63</f>
        <v>497</v>
      </c>
    </row>
    <row r="64" spans="1:6" s="63" customFormat="1" x14ac:dyDescent="0.25">
      <c r="A64" s="75"/>
      <c r="B64" s="76"/>
      <c r="C64" s="98"/>
      <c r="D64" s="99"/>
      <c r="E64" s="93">
        <f>C64+B64</f>
        <v>0</v>
      </c>
    </row>
    <row r="65" spans="1:5" s="63" customFormat="1" x14ac:dyDescent="0.25">
      <c r="A65" s="75" t="s">
        <v>112</v>
      </c>
      <c r="B65" s="100">
        <f>B56</f>
        <v>784066.01695607777</v>
      </c>
      <c r="C65" s="164">
        <f>3*F56</f>
        <v>1589578.4837385979</v>
      </c>
      <c r="D65" s="164"/>
      <c r="E65" s="94">
        <f>C65+B65</f>
        <v>2373644.5006946758</v>
      </c>
    </row>
    <row r="66" spans="1:5" s="63" customFormat="1" x14ac:dyDescent="0.25">
      <c r="A66" s="75"/>
      <c r="B66" s="76"/>
      <c r="C66" s="98"/>
      <c r="D66" s="99"/>
      <c r="E66" s="93">
        <f>C66+B66</f>
        <v>0</v>
      </c>
    </row>
    <row r="67" spans="1:5" s="63" customFormat="1" x14ac:dyDescent="0.25">
      <c r="A67" s="75" t="s">
        <v>164</v>
      </c>
      <c r="B67" s="77">
        <f>B63*B5*8760/2000</f>
        <v>341.68379999999996</v>
      </c>
      <c r="C67" s="165">
        <f>C63*F5*8760/2000</f>
        <v>439.40160000000003</v>
      </c>
      <c r="D67" s="165"/>
      <c r="E67" s="95">
        <f>C67+B67</f>
        <v>781.08539999999994</v>
      </c>
    </row>
    <row r="68" spans="1:5" s="63" customFormat="1" ht="16.2" x14ac:dyDescent="0.25">
      <c r="A68" s="75" t="s">
        <v>53</v>
      </c>
      <c r="B68" s="78">
        <v>0.3</v>
      </c>
      <c r="C68" s="166">
        <v>0.3</v>
      </c>
      <c r="D68" s="166"/>
      <c r="E68" s="96">
        <v>0.3</v>
      </c>
    </row>
    <row r="69" spans="1:5" s="63" customFormat="1" ht="16.2" x14ac:dyDescent="0.25">
      <c r="A69" s="34" t="s">
        <v>54</v>
      </c>
      <c r="B69" s="79">
        <f>B67*B68</f>
        <v>102.50513999999998</v>
      </c>
      <c r="C69" s="160">
        <f>C67*C68</f>
        <v>131.82048</v>
      </c>
      <c r="D69" s="160"/>
      <c r="E69" s="95">
        <f>C69+B69</f>
        <v>234.32561999999999</v>
      </c>
    </row>
    <row r="70" spans="1:5" s="63" customFormat="1" ht="16.2" x14ac:dyDescent="0.25">
      <c r="A70" s="71" t="s">
        <v>83</v>
      </c>
      <c r="B70" s="72">
        <f>B65/B69</f>
        <v>7649.0409842479894</v>
      </c>
      <c r="C70" s="161">
        <f>C65/C69</f>
        <v>12058.661019430348</v>
      </c>
      <c r="D70" s="161"/>
      <c r="E70" s="97">
        <f>E65/E69</f>
        <v>10129.684072508486</v>
      </c>
    </row>
    <row r="71" spans="1:5" x14ac:dyDescent="0.25">
      <c r="A71" s="73"/>
      <c r="B71" s="73"/>
      <c r="C71" s="90"/>
      <c r="D71" s="90"/>
      <c r="E71" s="90"/>
    </row>
  </sheetData>
  <mergeCells count="13">
    <mergeCell ref="C69:D69"/>
    <mergeCell ref="C70:D70"/>
    <mergeCell ref="C62:D62"/>
    <mergeCell ref="C63:D63"/>
    <mergeCell ref="C65:D65"/>
    <mergeCell ref="C67:D67"/>
    <mergeCell ref="C68:D68"/>
    <mergeCell ref="A1:B1"/>
    <mergeCell ref="E1:F1"/>
    <mergeCell ref="E47:F47"/>
    <mergeCell ref="E48:F48"/>
    <mergeCell ref="A47:B47"/>
    <mergeCell ref="A48:B4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sqref="A1:IV65536"/>
    </sheetView>
  </sheetViews>
  <sheetFormatPr defaultRowHeight="13.2" x14ac:dyDescent="0.25"/>
  <cols>
    <col min="1" max="1" width="11.88671875" bestFit="1" customWidth="1"/>
    <col min="2" max="2" width="10.88671875" style="1" bestFit="1" customWidth="1"/>
    <col min="3" max="8" width="9.5546875" style="1" bestFit="1" customWidth="1"/>
    <col min="9" max="9" width="10.88671875" style="1" bestFit="1" customWidth="1"/>
  </cols>
  <sheetData>
    <row r="1" spans="1:9" ht="13.8" x14ac:dyDescent="0.25">
      <c r="A1" s="167" t="s">
        <v>18</v>
      </c>
      <c r="B1" s="167"/>
      <c r="C1" s="167"/>
      <c r="D1" s="167"/>
      <c r="E1" s="167"/>
      <c r="F1" s="167"/>
      <c r="G1" s="167"/>
      <c r="H1" s="167"/>
      <c r="I1" s="167"/>
    </row>
    <row r="3" spans="1:9" ht="13.8" x14ac:dyDescent="0.25">
      <c r="A3" s="168" t="s">
        <v>19</v>
      </c>
      <c r="B3" s="170" t="s">
        <v>20</v>
      </c>
      <c r="C3" s="170"/>
      <c r="D3" s="170"/>
      <c r="E3" s="170"/>
      <c r="F3" s="170"/>
      <c r="G3" s="170"/>
      <c r="H3" s="170"/>
      <c r="I3" s="170"/>
    </row>
    <row r="4" spans="1:9" ht="13.8" x14ac:dyDescent="0.25">
      <c r="A4" s="169"/>
      <c r="B4" s="2">
        <v>5</v>
      </c>
      <c r="C4" s="2">
        <v>6</v>
      </c>
      <c r="D4" s="2">
        <v>7</v>
      </c>
      <c r="E4" s="2">
        <v>8</v>
      </c>
      <c r="F4" s="2">
        <v>10</v>
      </c>
      <c r="G4" s="2">
        <v>12</v>
      </c>
      <c r="H4" s="2">
        <v>15</v>
      </c>
      <c r="I4" s="2">
        <v>20</v>
      </c>
    </row>
    <row r="5" spans="1:9" ht="13.8" x14ac:dyDescent="0.25">
      <c r="A5" s="3">
        <v>1</v>
      </c>
      <c r="B5" s="3">
        <v>1.05</v>
      </c>
      <c r="C5" s="3">
        <v>1.06</v>
      </c>
      <c r="D5" s="3">
        <v>1.07</v>
      </c>
      <c r="E5" s="3">
        <v>1.08</v>
      </c>
      <c r="F5" s="3">
        <v>1.1000000000000001</v>
      </c>
      <c r="G5" s="3">
        <v>1.1200000000000001</v>
      </c>
      <c r="H5" s="3">
        <v>1.1499999999999999</v>
      </c>
      <c r="I5" s="3">
        <v>1.2</v>
      </c>
    </row>
    <row r="6" spans="1:9" ht="13.8" x14ac:dyDescent="0.25">
      <c r="A6" s="3">
        <v>2</v>
      </c>
      <c r="B6" s="3">
        <v>0.53779999999999994</v>
      </c>
      <c r="C6" s="3">
        <v>0.54544000000000004</v>
      </c>
      <c r="D6" s="3">
        <v>0.55308999999999997</v>
      </c>
      <c r="E6" s="3">
        <v>0.56076999999999999</v>
      </c>
      <c r="F6" s="3">
        <v>0.57618999999999998</v>
      </c>
      <c r="G6" s="3">
        <v>0.5917</v>
      </c>
      <c r="H6" s="3">
        <v>0.61512</v>
      </c>
      <c r="I6" s="3">
        <v>0.65454999999999997</v>
      </c>
    </row>
    <row r="7" spans="1:9" ht="13.8" x14ac:dyDescent="0.25">
      <c r="A7" s="3">
        <v>3</v>
      </c>
      <c r="B7" s="3">
        <v>0.36720999999999998</v>
      </c>
      <c r="C7" s="3">
        <v>0.37311</v>
      </c>
      <c r="D7" s="3">
        <v>0.38105</v>
      </c>
      <c r="E7" s="3">
        <v>0.38802999999999999</v>
      </c>
      <c r="F7" s="3">
        <v>0.40211000000000002</v>
      </c>
      <c r="G7" s="3">
        <v>0.41635</v>
      </c>
      <c r="H7" s="3">
        <v>0.43797999999999998</v>
      </c>
      <c r="I7" s="3">
        <v>0.47472999999999999</v>
      </c>
    </row>
    <row r="8" spans="1:9" ht="13.8" x14ac:dyDescent="0.25">
      <c r="A8" s="3">
        <v>4</v>
      </c>
      <c r="B8" s="3">
        <v>0.28200999999999998</v>
      </c>
      <c r="C8" s="3">
        <v>0.28859000000000001</v>
      </c>
      <c r="D8" s="3">
        <v>0.29522999999999999</v>
      </c>
      <c r="E8" s="3">
        <v>0.30192000000000002</v>
      </c>
      <c r="F8" s="3">
        <v>0.31546999999999997</v>
      </c>
      <c r="G8" s="3">
        <v>0.32923000000000002</v>
      </c>
      <c r="H8" s="3">
        <v>0.35027000000000003</v>
      </c>
      <c r="I8" s="3">
        <v>0.38629000000000002</v>
      </c>
    </row>
    <row r="9" spans="1:9" ht="13.8" x14ac:dyDescent="0.25">
      <c r="A9" s="3">
        <v>5</v>
      </c>
      <c r="B9" s="3">
        <v>0.23097000000000001</v>
      </c>
      <c r="C9" s="3">
        <v>0.2374</v>
      </c>
      <c r="D9" s="3">
        <v>0.24389</v>
      </c>
      <c r="E9" s="3">
        <v>0.25046000000000002</v>
      </c>
      <c r="F9" s="3">
        <v>0.26379999999999998</v>
      </c>
      <c r="G9" s="3">
        <v>0.27740999999999999</v>
      </c>
      <c r="H9" s="3">
        <v>0.29831999999999997</v>
      </c>
      <c r="I9" s="3">
        <v>0.33438000000000001</v>
      </c>
    </row>
    <row r="10" spans="1:9" ht="13.8" x14ac:dyDescent="0.25">
      <c r="A10" s="3">
        <v>6</v>
      </c>
      <c r="B10" s="3">
        <v>0.19702</v>
      </c>
      <c r="C10" s="3">
        <v>0.20336000000000001</v>
      </c>
      <c r="D10" s="3">
        <v>0.20979999999999999</v>
      </c>
      <c r="E10" s="3">
        <v>0.21632000000000001</v>
      </c>
      <c r="F10" s="3">
        <v>0.22961000000000001</v>
      </c>
      <c r="G10" s="3">
        <v>0.24323</v>
      </c>
      <c r="H10" s="3">
        <v>0.26423999999999997</v>
      </c>
      <c r="I10" s="3">
        <v>0.30070999999999998</v>
      </c>
    </row>
    <row r="11" spans="1:9" ht="13.8" x14ac:dyDescent="0.25">
      <c r="A11" s="3">
        <v>7</v>
      </c>
      <c r="B11" s="3">
        <v>0.17282</v>
      </c>
      <c r="C11" s="3">
        <v>0.17913999999999999</v>
      </c>
      <c r="D11" s="3">
        <v>0.18554999999999999</v>
      </c>
      <c r="E11" s="3">
        <v>0.19206999999999999</v>
      </c>
      <c r="F11" s="3">
        <v>0.20541000000000001</v>
      </c>
      <c r="G11" s="3">
        <v>0.21912000000000001</v>
      </c>
      <c r="H11" s="3">
        <v>0.24035999999999999</v>
      </c>
      <c r="I11" s="3">
        <v>0.27742</v>
      </c>
    </row>
    <row r="12" spans="1:9" ht="13.8" x14ac:dyDescent="0.25">
      <c r="A12" s="3">
        <v>8</v>
      </c>
      <c r="B12" s="3">
        <v>0.15472</v>
      </c>
      <c r="C12" s="3">
        <v>0.16103999999999999</v>
      </c>
      <c r="D12" s="3">
        <v>0.16747000000000001</v>
      </c>
      <c r="E12" s="3">
        <v>0.17401</v>
      </c>
      <c r="F12" s="3">
        <v>0.18744</v>
      </c>
      <c r="G12" s="3">
        <v>0.20130000000000001</v>
      </c>
      <c r="H12" s="3">
        <v>0.22284999999999999</v>
      </c>
      <c r="I12" s="3">
        <v>0.26061000000000001</v>
      </c>
    </row>
    <row r="13" spans="1:9" ht="13.8" x14ac:dyDescent="0.25">
      <c r="A13" s="3">
        <v>9</v>
      </c>
      <c r="B13" s="3">
        <v>0.14069000000000001</v>
      </c>
      <c r="C13" s="3">
        <v>0.14702000000000001</v>
      </c>
      <c r="D13" s="3">
        <v>0.15348999999999999</v>
      </c>
      <c r="E13" s="3">
        <v>0.16008</v>
      </c>
      <c r="F13" s="3">
        <v>0.17463999999999999</v>
      </c>
      <c r="G13" s="3">
        <v>0.18768000000000001</v>
      </c>
      <c r="H13" s="3">
        <v>0.20957000000000001</v>
      </c>
      <c r="I13" s="3">
        <v>0.24807999999999999</v>
      </c>
    </row>
    <row r="14" spans="1:9" ht="13.8" x14ac:dyDescent="0.25">
      <c r="A14" s="3">
        <v>10</v>
      </c>
      <c r="B14" s="3">
        <v>0.1295</v>
      </c>
      <c r="C14" s="3">
        <v>0.13586999999999999</v>
      </c>
      <c r="D14" s="3">
        <v>0.14238000000000001</v>
      </c>
      <c r="E14" s="3">
        <v>0.14903</v>
      </c>
      <c r="F14" s="3">
        <v>0.16275000000000001</v>
      </c>
      <c r="G14" s="3">
        <v>0.17698</v>
      </c>
      <c r="H14" s="3">
        <v>0.19925000000000001</v>
      </c>
      <c r="I14" s="3">
        <v>0.23852000000000001</v>
      </c>
    </row>
    <row r="15" spans="1:9" ht="13.8" x14ac:dyDescent="0.25">
      <c r="A15" s="3">
        <v>11</v>
      </c>
      <c r="B15" s="3">
        <v>0.12039</v>
      </c>
      <c r="C15" s="3">
        <v>0.12679000000000001</v>
      </c>
      <c r="D15" s="3">
        <v>0.13336000000000001</v>
      </c>
      <c r="E15" s="3">
        <v>0.14008000000000001</v>
      </c>
      <c r="F15" s="3">
        <v>0.15396000000000001</v>
      </c>
      <c r="G15" s="3">
        <v>0.16841999999999999</v>
      </c>
      <c r="H15" s="3">
        <v>0.19106999999999999</v>
      </c>
      <c r="I15" s="3">
        <v>0.2311</v>
      </c>
    </row>
    <row r="16" spans="1:9" ht="13.8" x14ac:dyDescent="0.25">
      <c r="A16" s="3">
        <v>12</v>
      </c>
      <c r="B16" s="3">
        <v>0.11283</v>
      </c>
      <c r="C16" s="3">
        <v>0.11928</v>
      </c>
      <c r="D16" s="3">
        <v>0.12590000000000001</v>
      </c>
      <c r="E16" s="3">
        <v>0.13270000000000001</v>
      </c>
      <c r="F16" s="3">
        <v>0.14676</v>
      </c>
      <c r="G16" s="3">
        <v>0.16144</v>
      </c>
      <c r="H16" s="3">
        <v>0.18448000000000001</v>
      </c>
      <c r="I16" s="3">
        <v>0.22525999999999999</v>
      </c>
    </row>
    <row r="17" spans="1:9" ht="13.8" x14ac:dyDescent="0.25">
      <c r="A17" s="3">
        <v>13</v>
      </c>
      <c r="B17" s="3">
        <v>0.10646</v>
      </c>
      <c r="C17" s="3">
        <v>0.11296</v>
      </c>
      <c r="D17" s="3">
        <v>0.11965000000000001</v>
      </c>
      <c r="E17" s="3">
        <v>0.12651999999999999</v>
      </c>
      <c r="F17" s="3">
        <v>0.14077999999999999</v>
      </c>
      <c r="G17" s="3">
        <v>0.15568000000000001</v>
      </c>
      <c r="H17" s="3">
        <v>0.22525999999999999</v>
      </c>
      <c r="I17" s="3">
        <v>0.17910999999999999</v>
      </c>
    </row>
    <row r="18" spans="1:9" ht="13.8" x14ac:dyDescent="0.25">
      <c r="A18" s="3">
        <v>14</v>
      </c>
      <c r="B18" s="3">
        <v>0.10102</v>
      </c>
      <c r="C18" s="3">
        <v>0.10758</v>
      </c>
      <c r="D18" s="3">
        <v>0.11434</v>
      </c>
      <c r="E18" s="3">
        <v>0.12130000000000001</v>
      </c>
      <c r="F18" s="3">
        <v>0.13575000000000001</v>
      </c>
      <c r="G18" s="3">
        <v>0.15087</v>
      </c>
      <c r="H18" s="3">
        <v>0.21689</v>
      </c>
      <c r="I18" s="3">
        <v>0.17469000000000001</v>
      </c>
    </row>
    <row r="19" spans="1:9" ht="13.8" x14ac:dyDescent="0.25">
      <c r="A19" s="3">
        <v>15</v>
      </c>
      <c r="B19" s="3">
        <v>9.6339999999999995E-2</v>
      </c>
      <c r="C19" s="3">
        <v>0.10296</v>
      </c>
      <c r="D19" s="3">
        <v>0.10979</v>
      </c>
      <c r="E19" s="3">
        <v>0.11683</v>
      </c>
      <c r="F19" s="3">
        <v>0.13147</v>
      </c>
      <c r="G19" s="3">
        <v>0.14682000000000001</v>
      </c>
      <c r="H19" s="3">
        <v>0.17102000000000001</v>
      </c>
      <c r="I19" s="3">
        <v>0.21387999999999999</v>
      </c>
    </row>
    <row r="20" spans="1:9" ht="13.8" x14ac:dyDescent="0.25">
      <c r="A20" s="3">
        <v>16</v>
      </c>
      <c r="B20" s="3">
        <v>9.2270000000000005E-2</v>
      </c>
      <c r="C20" s="3">
        <v>9.8949999999999996E-2</v>
      </c>
      <c r="D20" s="3">
        <v>0.10586</v>
      </c>
      <c r="E20" s="3">
        <v>0.11298</v>
      </c>
      <c r="F20" s="3">
        <v>0.12781999999999999</v>
      </c>
      <c r="G20" s="3">
        <v>0.14338999999999999</v>
      </c>
      <c r="H20" s="3">
        <v>0.16794999999999999</v>
      </c>
      <c r="I20" s="3">
        <v>0.21143999999999999</v>
      </c>
    </row>
    <row r="21" spans="1:9" ht="13.8" x14ac:dyDescent="0.25">
      <c r="A21" s="3">
        <v>17</v>
      </c>
      <c r="B21" s="3">
        <v>8.8700000000000001E-2</v>
      </c>
      <c r="C21" s="3">
        <v>9.5439999999999997E-2</v>
      </c>
      <c r="D21" s="3">
        <v>0.10342</v>
      </c>
      <c r="E21" s="3">
        <v>0.10963000000000001</v>
      </c>
      <c r="F21" s="3">
        <v>0.12466000000000001</v>
      </c>
      <c r="G21" s="3">
        <v>0.14046</v>
      </c>
      <c r="H21" s="3">
        <v>0.16536999999999999</v>
      </c>
      <c r="I21" s="3">
        <v>0.20943999999999999</v>
      </c>
    </row>
    <row r="22" spans="1:9" ht="13.8" x14ac:dyDescent="0.25">
      <c r="A22" s="3">
        <v>18</v>
      </c>
      <c r="B22" s="3">
        <v>8.5550000000000001E-2</v>
      </c>
      <c r="C22" s="3">
        <v>9.2359999999999998E-2</v>
      </c>
      <c r="D22" s="3">
        <v>9.9409999999999998E-2</v>
      </c>
      <c r="E22" s="3">
        <v>0.1067</v>
      </c>
      <c r="F22" s="3">
        <v>0.12193</v>
      </c>
      <c r="G22" s="3">
        <v>0.13794000000000001</v>
      </c>
      <c r="H22" s="3">
        <v>0.16319</v>
      </c>
      <c r="I22" s="3">
        <v>0.20780999999999999</v>
      </c>
    </row>
    <row r="23" spans="1:9" ht="13.8" x14ac:dyDescent="0.25">
      <c r="A23" s="3">
        <v>19</v>
      </c>
      <c r="B23" s="3">
        <v>8.2750000000000004E-2</v>
      </c>
      <c r="C23" s="3">
        <v>8.9620000000000005E-2</v>
      </c>
      <c r="D23" s="3">
        <v>9.6750000000000003E-2</v>
      </c>
      <c r="E23" s="3">
        <v>0.10413</v>
      </c>
      <c r="F23" s="3">
        <v>0.11955</v>
      </c>
      <c r="G23" s="3">
        <v>0.13575999999999999</v>
      </c>
      <c r="H23" s="3">
        <v>0.16134000000000001</v>
      </c>
      <c r="I23" s="3">
        <v>0.20646</v>
      </c>
    </row>
    <row r="24" spans="1:9" ht="13.8" x14ac:dyDescent="0.25">
      <c r="A24" s="3">
        <v>20</v>
      </c>
      <c r="B24" s="3">
        <v>8.0240000000000006E-2</v>
      </c>
      <c r="C24" s="3">
        <v>8.7179999999999994E-2</v>
      </c>
      <c r="D24" s="3">
        <v>9.4390000000000002E-2</v>
      </c>
      <c r="E24" s="3">
        <v>0.10185</v>
      </c>
      <c r="F24" s="3">
        <v>0.11745999999999999</v>
      </c>
      <c r="G24" s="3">
        <v>0.13388</v>
      </c>
      <c r="H24" s="3">
        <v>0.15976000000000001</v>
      </c>
      <c r="I24" s="3">
        <v>0.20535999999999999</v>
      </c>
    </row>
    <row r="25" spans="1:9" ht="13.8" x14ac:dyDescent="0.25">
      <c r="A25" s="3">
        <v>21</v>
      </c>
      <c r="B25" s="3">
        <v>7.8E-2</v>
      </c>
      <c r="C25" s="3">
        <v>8.5000000000000006E-2</v>
      </c>
      <c r="D25" s="3">
        <v>9.2289999999999997E-2</v>
      </c>
      <c r="E25" s="3">
        <v>9.9830000000000002E-2</v>
      </c>
      <c r="F25" s="3">
        <v>0.11562</v>
      </c>
      <c r="G25" s="3">
        <v>0.13224</v>
      </c>
      <c r="H25" s="3">
        <v>0.15842000000000001</v>
      </c>
      <c r="I25" s="3">
        <v>0.20444000000000001</v>
      </c>
    </row>
    <row r="26" spans="1:9" ht="13.8" x14ac:dyDescent="0.25">
      <c r="A26" s="3">
        <v>22</v>
      </c>
      <c r="B26" s="3">
        <v>7.5969999999999996E-2</v>
      </c>
      <c r="C26" s="3">
        <v>8.3049999999999999E-2</v>
      </c>
      <c r="D26" s="3">
        <v>9.0410000000000004E-2</v>
      </c>
      <c r="E26" s="3">
        <v>9.8030000000000006E-2</v>
      </c>
      <c r="F26" s="3">
        <v>0.11401</v>
      </c>
      <c r="G26" s="3">
        <v>0.13081000000000001</v>
      </c>
      <c r="H26" s="3">
        <v>0.15726999999999999</v>
      </c>
      <c r="I26" s="3">
        <v>0.20369000000000001</v>
      </c>
    </row>
    <row r="27" spans="1:9" ht="13.8" x14ac:dyDescent="0.25">
      <c r="A27" s="3">
        <v>23</v>
      </c>
      <c r="B27" s="3">
        <v>7.4139999999999998E-2</v>
      </c>
      <c r="C27" s="3">
        <v>8.1280000000000005E-2</v>
      </c>
      <c r="D27" s="3">
        <v>8.8709999999999997E-2</v>
      </c>
      <c r="E27" s="3">
        <v>9.6420000000000006E-2</v>
      </c>
      <c r="F27" s="3">
        <v>0.11257</v>
      </c>
      <c r="G27" s="3">
        <v>0.12956000000000001</v>
      </c>
      <c r="H27" s="3">
        <v>0.15628</v>
      </c>
      <c r="I27" s="3">
        <v>0.20307</v>
      </c>
    </row>
    <row r="28" spans="1:9" ht="13.8" x14ac:dyDescent="0.25">
      <c r="A28" s="3">
        <v>24</v>
      </c>
      <c r="B28" s="3">
        <v>7.2470000000000007E-2</v>
      </c>
      <c r="C28" s="3">
        <v>7.9680000000000001E-2</v>
      </c>
      <c r="D28" s="3">
        <v>8.7190000000000004E-2</v>
      </c>
      <c r="E28" s="3">
        <v>9.4979999999999995E-2</v>
      </c>
      <c r="F28" s="3">
        <v>0.1113</v>
      </c>
      <c r="G28" s="3">
        <v>0.12845999999999999</v>
      </c>
      <c r="H28" s="3">
        <v>0.15543000000000001</v>
      </c>
      <c r="I28" s="3">
        <v>0.20255000000000001</v>
      </c>
    </row>
    <row r="29" spans="1:9" ht="13.8" x14ac:dyDescent="0.25">
      <c r="A29" s="3">
        <v>25</v>
      </c>
      <c r="B29" s="3">
        <v>7.0949999999999999E-2</v>
      </c>
      <c r="C29" s="3">
        <v>7.8229999999999994E-2</v>
      </c>
      <c r="D29" s="3">
        <v>8.5809999999999997E-2</v>
      </c>
      <c r="E29" s="3">
        <v>9.3679999999999999E-2</v>
      </c>
      <c r="F29" s="3">
        <v>0.11017</v>
      </c>
      <c r="G29" s="3">
        <v>0.1275</v>
      </c>
      <c r="H29" s="3">
        <v>0.1547</v>
      </c>
      <c r="I29" s="3">
        <v>0.20211999999999999</v>
      </c>
    </row>
    <row r="30" spans="1:9" ht="13.8" x14ac:dyDescent="0.25">
      <c r="A30" s="3">
        <v>26</v>
      </c>
      <c r="B30" s="3">
        <v>6.9559999999999997E-2</v>
      </c>
      <c r="C30" s="3">
        <v>7.6899999999999996E-2</v>
      </c>
      <c r="D30" s="3">
        <v>8.4559999999999996E-2</v>
      </c>
      <c r="E30" s="3">
        <v>9.2509999999999995E-2</v>
      </c>
      <c r="F30" s="3">
        <v>0.10915999999999999</v>
      </c>
      <c r="G30" s="3">
        <v>0.12665000000000001</v>
      </c>
      <c r="H30" s="3">
        <v>0.15407000000000001</v>
      </c>
      <c r="I30" s="3">
        <v>0.20175999999999999</v>
      </c>
    </row>
    <row r="31" spans="1:9" ht="13.8" x14ac:dyDescent="0.25">
      <c r="A31" s="3">
        <v>27</v>
      </c>
      <c r="B31" s="3">
        <v>6.8290000000000003E-2</v>
      </c>
      <c r="C31" s="3">
        <v>7.5700000000000003E-2</v>
      </c>
      <c r="D31" s="3">
        <v>8.3430000000000004E-2</v>
      </c>
      <c r="E31" s="3">
        <v>9.1450000000000004E-2</v>
      </c>
      <c r="F31" s="3">
        <v>0.10826</v>
      </c>
      <c r="G31" s="3">
        <v>0.12590000000000001</v>
      </c>
      <c r="H31" s="3">
        <v>0.20175999999999999</v>
      </c>
      <c r="I31" s="3">
        <v>0.15353</v>
      </c>
    </row>
    <row r="32" spans="1:9" ht="13.8" x14ac:dyDescent="0.25">
      <c r="A32" s="3">
        <v>28</v>
      </c>
      <c r="B32" s="3">
        <v>6.7119999999999999E-2</v>
      </c>
      <c r="C32" s="3">
        <v>7.4590000000000004E-2</v>
      </c>
      <c r="D32" s="3">
        <v>8.2390000000000005E-2</v>
      </c>
      <c r="E32" s="3">
        <v>9.0490000000000001E-2</v>
      </c>
      <c r="F32" s="3">
        <v>0.10745</v>
      </c>
      <c r="G32" s="3">
        <v>0.12523999999999999</v>
      </c>
      <c r="H32" s="3">
        <v>0.20122000000000001</v>
      </c>
      <c r="I32" s="3">
        <v>0.15306</v>
      </c>
    </row>
    <row r="33" spans="1:9" ht="13.8" x14ac:dyDescent="0.25">
      <c r="A33" s="3">
        <v>29</v>
      </c>
      <c r="B33" s="3">
        <v>6.6049999999999998E-2</v>
      </c>
      <c r="C33" s="3">
        <v>8.3849999999999994E-2</v>
      </c>
      <c r="D33" s="3">
        <v>8.1449999999999995E-2</v>
      </c>
      <c r="E33" s="3">
        <v>8.9620000000000005E-2</v>
      </c>
      <c r="F33" s="3">
        <v>0.10673000000000001</v>
      </c>
      <c r="G33" s="3">
        <v>0.12466000000000001</v>
      </c>
      <c r="H33" s="3">
        <v>0.20102</v>
      </c>
      <c r="I33" s="3">
        <v>0.15265000000000001</v>
      </c>
    </row>
    <row r="34" spans="1:9" ht="13.8" x14ac:dyDescent="0.25">
      <c r="A34" s="3">
        <v>30</v>
      </c>
      <c r="B34" s="3">
        <v>6.5049999999999997E-2</v>
      </c>
      <c r="C34" s="3">
        <v>7.2650000000000006E-2</v>
      </c>
      <c r="D34" s="3">
        <v>8.0589999999999995E-2</v>
      </c>
      <c r="E34" s="3">
        <v>8.8830000000000006E-2</v>
      </c>
      <c r="F34" s="3">
        <v>0.10607999999999999</v>
      </c>
      <c r="G34" s="3">
        <v>0.12414</v>
      </c>
      <c r="H34" s="3">
        <v>0.20085</v>
      </c>
      <c r="I34" s="3">
        <v>0.15229999999999999</v>
      </c>
    </row>
    <row r="35" spans="1:9" ht="13.8" x14ac:dyDescent="0.25">
      <c r="A35" s="3">
        <v>31</v>
      </c>
      <c r="B35" s="3">
        <v>6.4130000000000006E-2</v>
      </c>
      <c r="C35" s="3">
        <v>7.1790000000000007E-2</v>
      </c>
      <c r="D35" s="3">
        <v>7.9799999999999996E-2</v>
      </c>
      <c r="E35" s="3">
        <v>8.8109999999999994E-2</v>
      </c>
      <c r="F35" s="3">
        <v>0.1055</v>
      </c>
      <c r="G35" s="3">
        <v>0.12368999999999999</v>
      </c>
      <c r="H35" s="3">
        <v>0.152</v>
      </c>
      <c r="I35" s="3">
        <v>0.20069999999999999</v>
      </c>
    </row>
    <row r="36" spans="1:9" ht="13.8" x14ac:dyDescent="0.25">
      <c r="A36" s="3">
        <v>32</v>
      </c>
      <c r="B36" s="3">
        <v>6.3280000000000003E-2</v>
      </c>
      <c r="C36" s="3">
        <v>7.0999999999999994E-2</v>
      </c>
      <c r="D36" s="3">
        <v>7.9070000000000001E-2</v>
      </c>
      <c r="E36" s="3">
        <v>8.745E-2</v>
      </c>
      <c r="F36" s="3">
        <v>0.10496999999999999</v>
      </c>
      <c r="G36" s="3">
        <v>0.12328</v>
      </c>
      <c r="H36" s="3">
        <v>0.15173</v>
      </c>
      <c r="I36" s="3">
        <v>0.20058999999999999</v>
      </c>
    </row>
    <row r="37" spans="1:9" ht="13.8" x14ac:dyDescent="0.25">
      <c r="A37" s="3">
        <v>33</v>
      </c>
      <c r="B37" s="3">
        <v>6.2489999999999997E-2</v>
      </c>
      <c r="C37" s="3">
        <v>7.0269999999999999E-2</v>
      </c>
      <c r="D37" s="3">
        <v>7.8409999999999994E-2</v>
      </c>
      <c r="E37" s="3">
        <v>8.6849999999999997E-2</v>
      </c>
      <c r="F37" s="3">
        <v>0.1045</v>
      </c>
      <c r="G37" s="3">
        <v>0.12292</v>
      </c>
      <c r="H37" s="3">
        <v>0.1515</v>
      </c>
      <c r="I37" s="3">
        <v>0.20049</v>
      </c>
    </row>
    <row r="38" spans="1:9" ht="13.8" x14ac:dyDescent="0.25">
      <c r="A38" s="3">
        <v>34</v>
      </c>
      <c r="B38" s="3">
        <v>6.1760000000000002E-2</v>
      </c>
      <c r="C38" s="3">
        <v>6.9599999999999995E-2</v>
      </c>
      <c r="D38" s="3">
        <v>7.7799999999999994E-2</v>
      </c>
      <c r="E38" s="3">
        <v>8.6300000000000002E-2</v>
      </c>
      <c r="F38" s="3">
        <v>0.10407</v>
      </c>
      <c r="G38" s="3">
        <v>0.1226</v>
      </c>
      <c r="H38" s="3">
        <v>0.15131</v>
      </c>
      <c r="I38" s="3">
        <v>0.20041</v>
      </c>
    </row>
    <row r="39" spans="1:9" ht="13.8" x14ac:dyDescent="0.25">
      <c r="A39" s="3">
        <v>35</v>
      </c>
      <c r="B39" s="3">
        <v>6.1069999999999999E-2</v>
      </c>
      <c r="C39" s="3">
        <v>6.8970000000000004E-2</v>
      </c>
      <c r="D39" s="3">
        <v>7.7229999999999993E-2</v>
      </c>
      <c r="E39" s="3">
        <v>8.5800000000000001E-2</v>
      </c>
      <c r="F39" s="3">
        <v>0.10369</v>
      </c>
      <c r="G39" s="3">
        <v>0.12232</v>
      </c>
      <c r="H39" s="3">
        <v>0.15112999999999999</v>
      </c>
      <c r="I39" s="3">
        <v>0.20033999999999999</v>
      </c>
    </row>
    <row r="40" spans="1:9" ht="13.8" x14ac:dyDescent="0.25">
      <c r="A40" s="3">
        <v>40</v>
      </c>
      <c r="B40" s="3">
        <v>5.8279999999999998E-2</v>
      </c>
      <c r="C40" s="3">
        <v>6.6460000000000005E-2</v>
      </c>
      <c r="D40" s="3">
        <v>7.5009999999999993E-2</v>
      </c>
      <c r="E40" s="3">
        <v>8.3860000000000004E-2</v>
      </c>
      <c r="F40" s="3">
        <v>0.10226</v>
      </c>
      <c r="G40" s="3">
        <v>0.12130000000000001</v>
      </c>
      <c r="H40" s="3">
        <v>0.15056</v>
      </c>
      <c r="I40" s="3">
        <v>0.20014000000000001</v>
      </c>
    </row>
    <row r="41" spans="1:9" ht="13.8" x14ac:dyDescent="0.25">
      <c r="A41" s="3">
        <v>45</v>
      </c>
      <c r="B41" s="3">
        <v>5.6259999999999998E-2</v>
      </c>
      <c r="C41" s="3">
        <v>6.4799999999999996E-2</v>
      </c>
      <c r="D41" s="3">
        <v>7.3499999999999996E-2</v>
      </c>
      <c r="E41" s="3">
        <v>8.2589999999999997E-2</v>
      </c>
      <c r="F41" s="3">
        <v>0.10138999999999999</v>
      </c>
      <c r="G41" s="3">
        <v>0.12074</v>
      </c>
      <c r="H41" s="3">
        <v>0.15028</v>
      </c>
      <c r="I41" s="3">
        <v>0.20005000000000001</v>
      </c>
    </row>
    <row r="42" spans="1:9" ht="13.8" x14ac:dyDescent="0.25">
      <c r="A42" s="3">
        <v>50</v>
      </c>
      <c r="B42" s="3">
        <v>5.4780000000000002E-2</v>
      </c>
      <c r="C42" s="3">
        <v>6.3439999999999996E-2</v>
      </c>
      <c r="D42" s="3">
        <v>8.2460000000000006E-2</v>
      </c>
      <c r="E42" s="3">
        <v>8.1739999999999993E-2</v>
      </c>
      <c r="F42" s="3">
        <v>0.10086000000000001</v>
      </c>
      <c r="G42" s="3">
        <v>0.12042</v>
      </c>
      <c r="H42" s="3">
        <v>0.15014</v>
      </c>
      <c r="I42" s="3">
        <v>0.20002</v>
      </c>
    </row>
  </sheetData>
  <mergeCells count="3">
    <mergeCell ref="A1:I1"/>
    <mergeCell ref="A3:A4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LAF and SSF</vt:lpstr>
      <vt:lpstr>NOx - SCR - Cap Cost</vt:lpstr>
      <vt:lpstr>NOx - SCR - Ann Cost</vt:lpstr>
      <vt:lpstr>NOx - SNCR - Cap Cost</vt:lpstr>
      <vt:lpstr>NOx - SNCR - Ann Cost</vt:lpstr>
      <vt:lpstr>Capital Recovery Factors</vt:lpstr>
      <vt:lpstr>'NOx - SCR - Ann Cost'!Print_Area</vt:lpstr>
      <vt:lpstr>'NOx - SCR - Cap Cost'!Print_Area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Hand</dc:creator>
  <cp:lastModifiedBy>Kelley Hand</cp:lastModifiedBy>
  <cp:lastPrinted>2016-12-08T13:52:24Z</cp:lastPrinted>
  <dcterms:created xsi:type="dcterms:W3CDTF">2004-03-15T19:42:05Z</dcterms:created>
  <dcterms:modified xsi:type="dcterms:W3CDTF">2017-03-23T19:36:41Z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_NewReviewCycle">
    <vt:lpwstr/>
  </property>
</Properties>
</file>