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Jn-svrfile\groups\AQ\General\SIP_BACT_2017\Aurora\"/>
    </mc:Choice>
  </mc:AlternateContent>
  <bookViews>
    <workbookView xWindow="220" yWindow="280" windowWidth="9720" windowHeight="7320" tabRatio="803"/>
  </bookViews>
  <sheets>
    <sheet name="User Input Sheet" sheetId="1" r:id="rId1"/>
    <sheet name="Input &amp; Calculation Summary" sheetId="2" r:id="rId2"/>
    <sheet name="NOX Cost &amp; Tech. Results" sheetId="3" state="hidden" r:id="rId3"/>
    <sheet name="LSFO Cost &amp; Tech. Results" sheetId="4" r:id="rId4"/>
    <sheet name="LSD Cost &amp; Tech. Results" sheetId="5" state="hidden" r:id="rId5"/>
    <sheet name="FF ESP Cost &amp; Tech. Results" sheetId="6" state="hidden" r:id="rId6"/>
    <sheet name="Constants_CC" sheetId="7" r:id="rId7"/>
    <sheet name="Sheet1" sheetId="8" r:id="rId8"/>
  </sheets>
  <definedNames>
    <definedName name="Air_MolWt">Constants_CC!$D$134</definedName>
    <definedName name="anscount" hidden="1">6</definedName>
    <definedName name="APC">'User Input Sheet'!$A$41:$I$51</definedName>
    <definedName name="Ash_MolWt">Constants_CC!$D$141</definedName>
    <definedName name="C_MolWt">Constants_CC!$D$136</definedName>
    <definedName name="Ca_MolWt">Constants_CC!$D$143</definedName>
    <definedName name="Ca_OH_2_MolWt">Constants_CC!$D$154</definedName>
    <definedName name="CaCl2_MolWt">Constants_CC!$D$161</definedName>
    <definedName name="CaCO3_MolWt">Constants_CC!$D$151</definedName>
    <definedName name="CaO_MolWt">Constants_CC!$D$153</definedName>
    <definedName name="CaSO3halfH2O_MolWt">Constants_CC!$D$155</definedName>
    <definedName name="CaSO4_2H2O_MolWt">Constants_CC!$D$156</definedName>
    <definedName name="CaSO4_MolWt">Constants_CC!$D$152</definedName>
    <definedName name="CH4_MolWt">Constants_CC!$D$160</definedName>
    <definedName name="Cl2_MolWt">Constants_CC!$D$139</definedName>
    <definedName name="CO2_MolWt">Constants_CC!$D$145</definedName>
    <definedName name="Coal_Library">Constants_CC!$B$10:$K$48</definedName>
    <definedName name="Combustion">Constants_CC!$B$306:$I$521</definedName>
    <definedName name="CostSummary">'Input &amp; Calculation Summary'!$A$260:$G$408</definedName>
    <definedName name="cubft_60">Constants_CC!$D$272</definedName>
    <definedName name="cubft_69">Constants_CC!$D$273</definedName>
    <definedName name="cubft_70">Constants_CC!$D$274</definedName>
    <definedName name="Def_AFUDC">'User Input Sheet'!$D$93</definedName>
    <definedName name="Def_AHLeak">'User Input Sheet'!$D$64</definedName>
    <definedName name="Def_AHoutPress">'User Input Sheet'!$D$68</definedName>
    <definedName name="Def_AHOutTemp">'User Input Sheet'!$D$65</definedName>
    <definedName name="Def_AirH2O">'User Input Sheet'!$D$69</definedName>
    <definedName name="Def_AmbPress">'User Input Sheet'!$D$67</definedName>
    <definedName name="Def_BagDia">'User Input Sheet'!$D$215</definedName>
    <definedName name="Def_BagLength">'User Input Sheet'!$D$216</definedName>
    <definedName name="Def_BagLife">'User Input Sheet'!$D$219</definedName>
    <definedName name="Def_BagReach">'User Input Sheet'!$D$217</definedName>
    <definedName name="Def_BotAsh">'User Input Sheet'!$D$72</definedName>
    <definedName name="Def_Cap_ER">'User Input Sheet'!$D$104</definedName>
    <definedName name="Def_Cap_Esc">'User Input Sheet'!$D$102</definedName>
    <definedName name="Def_CapFact">'User Input Sheet'!$D$62</definedName>
    <definedName name="Def_CEIndex">'User Input Sheet'!$D$103</definedName>
    <definedName name="Def_CnstrLabor">'User Input Sheet'!$D$105</definedName>
    <definedName name="Def_Coal">'User Input Sheet'!$D$76</definedName>
    <definedName name="Def_CostBasis">'User Input Sheet'!$D$89</definedName>
    <definedName name="Def_DiscRate">'User Input Sheet'!$D$92</definedName>
    <definedName name="Def_Esc_Consum">'User Input Sheet'!$D$100</definedName>
    <definedName name="Def_ESPCont">'User Input Sheet'!$D$230</definedName>
    <definedName name="Def_ESPEng">'User Input Sheet'!$D$232</definedName>
    <definedName name="Def_ESPGenFac">'User Input Sheet'!$D$231</definedName>
    <definedName name="Def_ESPMaint">'User Input Sheet'!$D$229</definedName>
    <definedName name="Def_FabType">'User Input Sheet'!$D$213</definedName>
    <definedName name="Def_FF">'User Input Sheet'!$D$211</definedName>
    <definedName name="Def_FFCont">'User Input Sheet'!$D$221</definedName>
    <definedName name="Def_FFEng">'User Input Sheet'!$D$223</definedName>
    <definedName name="Def_FFGenFac">'User Input Sheet'!$D$222</definedName>
    <definedName name="Def_FFMaint">'User Input Sheet'!$D$220</definedName>
    <definedName name="Def_FFSparing">'User Input Sheet'!$D$218</definedName>
    <definedName name="Def_FGD">'User Input Sheet'!$D$45</definedName>
    <definedName name="Def_FlyAsh">'User Input Sheet'!$D$71</definedName>
    <definedName name="Def_FYCC_const">'User Input Sheet'!$D$96</definedName>
    <definedName name="Def_FYCC_curr">'User Input Sheet'!$D$94</definedName>
    <definedName name="Def_GastoCloth">'User Input Sheet'!$D$212</definedName>
    <definedName name="Def_InAirTemp">'User Input Sheet'!$D$66</definedName>
    <definedName name="Def_LCC_const">'User Input Sheet'!$D$97</definedName>
    <definedName name="Def_LCC_curr">'User Input Sheet'!$D$95</definedName>
    <definedName name="Def_MAR">'User Input Sheet'!$D$91</definedName>
    <definedName name="Def_MW">'User Input Sheet'!$D$60</definedName>
    <definedName name="Def_NOx">'User Input Sheet'!$D$49</definedName>
    <definedName name="Def_NPHR">'User Input Sheet'!$D$61</definedName>
    <definedName name="Def_OperLabor">'User Input Sheet'!$D$107</definedName>
    <definedName name="Def_PartControl">'User Input Sheet'!$D$47</definedName>
    <definedName name="Def_PartLimit">'User Input Sheet'!$D$208</definedName>
    <definedName name="Def_PCMarkup">'User Input Sheet'!$D$106</definedName>
    <definedName name="Def_Plate_Ht">'User Input Sheet'!$D$227</definedName>
    <definedName name="Def_Plate_Space">'User Input Sheet'!$D$226</definedName>
    <definedName name="Def_PowerCost">'User Input Sheet'!$D$108</definedName>
    <definedName name="Def_PRB">'User Input Sheet'!$D$77</definedName>
    <definedName name="Def_RetroFact">'User Input Sheet'!$D$74</definedName>
    <definedName name="Def_SalesTax">'User Input Sheet'!$D$98</definedName>
    <definedName name="Def_SeisZone">'User Input Sheet'!$D$73</definedName>
    <definedName name="Def_SerLife">'User Input Sheet'!$D$90</definedName>
    <definedName name="Def_State">'User Input Sheet'!$D$59</definedName>
    <definedName name="Def_SteamCost">'User Input Sheet'!$D$109</definedName>
    <definedName name="Def_TotAir">'User Input Sheet'!$D$63</definedName>
    <definedName name="degK">Constants_CC!$D$268</definedName>
    <definedName name="Del_ESP_EFS">'User Input Sheet'!$D$225</definedName>
    <definedName name="Economic_Inputs">'User Input Sheet'!$A$87:$I$109</definedName>
    <definedName name="ESP_Calcs">'FF ESP Cost &amp; Tech. Results'!$A$100:$H$241</definedName>
    <definedName name="ESP_PDrop">'User Input Sheet'!$D$228</definedName>
    <definedName name="FF_Calcs">'FF ESP Cost &amp; Tech. Results'!$A$20:$H$98</definedName>
    <definedName name="FF_PDrop">'User Input Sheet'!$D$210</definedName>
    <definedName name="GeneralPlantInputs">'User Input Sheet'!$A$53:$I$86</definedName>
    <definedName name="H2_MolWt">Constants_CC!$D$137</definedName>
    <definedName name="H2O_MolWt">Constants_CC!$D$135</definedName>
    <definedName name="H2SO4_MolWt">Constants_CC!$D$159</definedName>
    <definedName name="HCl_MolWt">Constants_CC!$D$148</definedName>
    <definedName name="inH2O_inHg">Constants_CC!$D$269</definedName>
    <definedName name="Input_Summary">'Input &amp; Calculation Summary'!$A$6:$G$246</definedName>
    <definedName name="kW_Hp">Constants_CC!$D$275</definedName>
    <definedName name="LibraryCoal">Constants_CC!$D$13:$K$48</definedName>
    <definedName name="LNB_Calcs">'NOX Cost &amp; Tech. Results'!$A$116:$H$135</definedName>
    <definedName name="LSD_AbsorbMatl">'User Input Sheet'!$D$175</definedName>
    <definedName name="LSD_AdSat">'User Input Sheet'!$D$165</definedName>
    <definedName name="LSD_ApptoSat">'User Input Sheet'!$D$166</definedName>
    <definedName name="LSD_Calcs">'LSD Cost &amp; Tech. Results'!$A$20:$H$351</definedName>
    <definedName name="LSD_Conting1">'User Input Sheet'!$D$188</definedName>
    <definedName name="LSD_Conting2">'User Input Sheet'!$D$189</definedName>
    <definedName name="LSD_Conting3">'User Input Sheet'!$D$190</definedName>
    <definedName name="LSD_Conting4">'User Input Sheet'!$D$191</definedName>
    <definedName name="LSD_Conting5">'User Input Sheet'!$D$192</definedName>
    <definedName name="LSD_Costs">'LSD Cost &amp; Tech. Results'!$A$221:$H$350</definedName>
    <definedName name="LSD_DelP">'User Input Sheet'!$D$177</definedName>
    <definedName name="LSD_DispCost">'User Input Sheet'!$D$180</definedName>
    <definedName name="LSD_EngHO1">'User Input Sheet'!$D$200</definedName>
    <definedName name="LSD_EngHO2">'User Input Sheet'!$D$201</definedName>
    <definedName name="LSD_EngHO3">'User Input Sheet'!$D$202</definedName>
    <definedName name="LSD_EngHO4">'User Input Sheet'!$D$203</definedName>
    <definedName name="LSD_EngHO5">'User Input Sheet'!$D$204</definedName>
    <definedName name="LSD_Facil1">'User Input Sheet'!$D$194</definedName>
    <definedName name="LSD_Facil2">'User Input Sheet'!$D$195</definedName>
    <definedName name="LSD_Facil3">'User Input Sheet'!$D$196</definedName>
    <definedName name="LSD_Facil4">'User Input Sheet'!$D$197</definedName>
    <definedName name="LSD_Facil5">'User Input Sheet'!$D$198</definedName>
    <definedName name="LSD_Inputs">'User Input Sheet'!$A$162:$I$204</definedName>
    <definedName name="LSD_Maint1">'User Input Sheet'!$D$182</definedName>
    <definedName name="LSD_Maint2">'User Input Sheet'!$D$183</definedName>
    <definedName name="LSD_Maint3">'User Input Sheet'!$D$184</definedName>
    <definedName name="LSD_Maint4">'User Input Sheet'!$D$185</definedName>
    <definedName name="LSD_Maint5">'User Input Sheet'!$D$186</definedName>
    <definedName name="LSD_MB">'LSD Cost &amp; Tech. Results'!$A$20:$H$220</definedName>
    <definedName name="LSD_NoAbsorb">'User Input Sheet'!$D$173</definedName>
    <definedName name="LSD_OutTemp">'User Input Sheet'!$D$167</definedName>
    <definedName name="LSD_ReagCost">'User Input Sheet'!$D$179</definedName>
    <definedName name="LSD_ReagRatio">'User Input Sheet'!$D$168</definedName>
    <definedName name="LSD_ReagStor">'User Input Sheet'!$D$178</definedName>
    <definedName name="LSD_Recycle">'User Input Sheet'!$D$170</definedName>
    <definedName name="LSD_RecycleConc">'User Input Sheet'!$D$172</definedName>
    <definedName name="LSD_SO2Rem">'User Input Sheet'!$D$164</definedName>
    <definedName name="LSFO_AbsorbDelP">'User Input Sheet'!$D$127</definedName>
    <definedName name="LSFO_AbsorbMatl">'User Input Sheet'!$D$125</definedName>
    <definedName name="LSFO_AdSat">'User Input Sheet'!$D$117</definedName>
    <definedName name="LSFO_Calcs">'LSFO Cost &amp; Tech. Results'!$A$20:$H$373</definedName>
    <definedName name="LSFO_Conting1">'User Input Sheet'!$D$143</definedName>
    <definedName name="LSFO_Conting2">'User Input Sheet'!$D$144</definedName>
    <definedName name="LSFO_Conting3">'User Input Sheet'!$D$145</definedName>
    <definedName name="LSFO_Conting4">'User Input Sheet'!$D$146</definedName>
    <definedName name="LSFO_Conting5">'User Input Sheet'!$D$147</definedName>
    <definedName name="LSFO_Costs">'LSFO Cost &amp; Tech. Results'!$A$182:$H$340</definedName>
    <definedName name="LSFO_DBA">'User Input Sheet'!$D$115</definedName>
    <definedName name="LSFO_Disposal">'User Input Sheet'!$D$121</definedName>
    <definedName name="LSFO_EngHO1">'User Input Sheet'!$D$155</definedName>
    <definedName name="LSFO_EngHO2">'User Input Sheet'!$D$156</definedName>
    <definedName name="LSFO_EngHO3">'User Input Sheet'!$D$157</definedName>
    <definedName name="LSFO_EngHO4">'User Input Sheet'!$D$158</definedName>
    <definedName name="LSFO_EngHO5">'User Input Sheet'!$D$159</definedName>
    <definedName name="LSFO_Facil1">'User Input Sheet'!$D$149</definedName>
    <definedName name="LSFO_Facil2">'User Input Sheet'!$D$150</definedName>
    <definedName name="LSFO_Facil3">'User Input Sheet'!$D$151</definedName>
    <definedName name="LSFO_Facil4">'User Input Sheet'!$D$152</definedName>
    <definedName name="LSFO_Facil5">'User Input Sheet'!$D$153</definedName>
    <definedName name="LSFO_GypsumCredit">'User Input Sheet'!$D$135</definedName>
    <definedName name="LSFO_Inputs">'User Input Sheet'!$A$111:$I$159</definedName>
    <definedName name="LSFO_LandfillCost">'User Input Sheet'!$D$133</definedName>
    <definedName name="LSFO_LGRatio">'User Input Sheet'!$D$114</definedName>
    <definedName name="LSFO_Maint1">'User Input Sheet'!$D$137</definedName>
    <definedName name="LSFO_Maint2">'User Input Sheet'!$D$138</definedName>
    <definedName name="LSFO_Maint3">'User Input Sheet'!$D$139</definedName>
    <definedName name="LSFO_Maint4">'User Input Sheet'!$D$140</definedName>
    <definedName name="LSFO_Maint5">'User Input Sheet'!$D$141</definedName>
    <definedName name="LSFO_MB">'LSFO Cost &amp; Tech. Results'!$A$20:$H$181</definedName>
    <definedName name="LSFO_NoAbsorb">'User Input Sheet'!$D$123</definedName>
    <definedName name="LSFO_ReagCost">'User Input Sheet'!$D$132</definedName>
    <definedName name="LSFO_ReagRatio">'User Input Sheet'!$D$118</definedName>
    <definedName name="LSFO_ReagStor">'User Input Sheet'!$D$131</definedName>
    <definedName name="LSFO_Reheat">'User Input Sheet'!$D$128</definedName>
    <definedName name="LSFO_ReheatTemp">'User Input Sheet'!$D$130</definedName>
    <definedName name="LSFO_ScrubSlurry">'User Input Sheet'!$D$120</definedName>
    <definedName name="LSFO_SO2Rem">'User Input Sheet'!$D$113</definedName>
    <definedName name="LSFO_StackCost">'User Input Sheet'!$D$134</definedName>
    <definedName name="Mg_MolWt">Constants_CC!$D$144</definedName>
    <definedName name="N2_MolWt">Constants_CC!$D$138</definedName>
    <definedName name="Na_MolWt">Constants_CC!$D$157</definedName>
    <definedName name="Na2CO3_MolWt">Constants_CC!$D$158</definedName>
    <definedName name="NGR_Calcs">'NOX Cost &amp; Tech. Results'!$A$136:$H$181</definedName>
    <definedName name="NO_MolWt">Constants_CC!$D$147</definedName>
    <definedName name="NO2_MolWt">Constants_CC!$D$146</definedName>
    <definedName name="NOx_Cals">'NOX Cost &amp; Tech. Results'!$A$5:$H$182</definedName>
    <definedName name="NOx_Inputs">'User Input Sheet'!$A$234:$I$290</definedName>
    <definedName name="O2_MolWt">Constants_CC!$D$142</definedName>
    <definedName name="Particulate_Calcs">'FF ESP Cost &amp; Tech. Results'!$A$20:$H$241</definedName>
    <definedName name="Particulate_Inputs">'User Input Sheet'!$A$206:$I$232</definedName>
    <definedName name="_xlnm.Print_Area" localSheetId="6">Constants_CC!$B$10:$K$48</definedName>
    <definedName name="_xlnm.Print_Area" localSheetId="5">'FF ESP Cost &amp; Tech. Results'!$A$20:$H$241</definedName>
    <definedName name="_xlnm.Print_Area" localSheetId="1">'Input &amp; Calculation Summary'!$A$1:$G$408</definedName>
    <definedName name="_xlnm.Print_Area" localSheetId="4">'LSD Cost &amp; Tech. Results'!$A$20:$H$351</definedName>
    <definedName name="_xlnm.Print_Area" localSheetId="3">'LSFO Cost &amp; Tech. Results'!$A$20:$H$373</definedName>
    <definedName name="_xlnm.Print_Area" localSheetId="2">'NOX Cost &amp; Tech. Results'!$A$5:$H$182</definedName>
    <definedName name="_xlnm.Print_Area" localSheetId="0">'User Input Sheet'!$A$53:$J$168</definedName>
    <definedName name="S_MolWt">Constants_CC!$D$140</definedName>
    <definedName name="SAPress_inHg">Constants_CC!$D$270</definedName>
    <definedName name="SATemp_degF">Constants_CC!$D$271</definedName>
    <definedName name="SCR_Calcs">'NOX Cost &amp; Tech. Results'!$A$5:$H$60</definedName>
    <definedName name="sencount" hidden="1">1</definedName>
    <definedName name="SNCR_Calcs">'NOX Cost &amp; Tech. Results'!$A$61:$H$115</definedName>
    <definedName name="SO2_MolWt">Constants_CC!$D$149</definedName>
    <definedName name="SO3_MolWt">Constants_CC!$D$150</definedName>
  </definedNames>
  <calcPr calcId="152511"/>
</workbook>
</file>

<file path=xl/calcChain.xml><?xml version="1.0" encoding="utf-8"?>
<calcChain xmlns="http://schemas.openxmlformats.org/spreadsheetml/2006/main">
  <c r="D30" i="4" l="1"/>
  <c r="I167" i="1" l="1"/>
  <c r="H167" i="1"/>
  <c r="G167" i="1"/>
  <c r="I72" i="1"/>
  <c r="H72" i="1"/>
  <c r="G72" i="1"/>
  <c r="J47" i="7" l="1"/>
  <c r="K47" i="7"/>
  <c r="E31" i="7"/>
  <c r="K20" i="7"/>
  <c r="F72" i="1"/>
  <c r="E72" i="1"/>
  <c r="D20" i="7"/>
  <c r="E20" i="7"/>
  <c r="F20" i="7"/>
  <c r="G20" i="7"/>
  <c r="H20" i="7"/>
  <c r="I20" i="7"/>
  <c r="J20" i="7"/>
  <c r="D31" i="7"/>
  <c r="F31" i="7"/>
  <c r="G31" i="7"/>
  <c r="H31" i="7"/>
  <c r="I31" i="7"/>
  <c r="J31" i="7"/>
  <c r="K31" i="7"/>
  <c r="D33" i="7"/>
  <c r="D9" i="7" s="1"/>
  <c r="X22" i="7" s="1"/>
  <c r="E33" i="7"/>
  <c r="E9" i="7" s="1"/>
  <c r="C80" i="1" s="1"/>
  <c r="F33" i="7"/>
  <c r="F9" i="7" s="1"/>
  <c r="X24" i="7" s="1"/>
  <c r="G33" i="7"/>
  <c r="G9" i="7" s="1"/>
  <c r="H33" i="7"/>
  <c r="H9" i="7" s="1"/>
  <c r="X26" i="7" s="1"/>
  <c r="I33" i="7"/>
  <c r="I9" i="7" s="1"/>
  <c r="X27" i="7" s="1"/>
  <c r="J33" i="7"/>
  <c r="J9" i="7" s="1"/>
  <c r="K9" i="7"/>
  <c r="C86" i="1" s="1"/>
  <c r="D47" i="7"/>
  <c r="E47" i="7"/>
  <c r="F47" i="7"/>
  <c r="G47" i="7"/>
  <c r="H47" i="7"/>
  <c r="I47" i="7"/>
  <c r="D73" i="7"/>
  <c r="D98" i="7"/>
  <c r="C168" i="7"/>
  <c r="B169" i="7"/>
  <c r="B170" i="7" s="1"/>
  <c r="B171" i="7" s="1"/>
  <c r="B172" i="7" s="1"/>
  <c r="B173" i="7" s="1"/>
  <c r="B174" i="7" s="1"/>
  <c r="B175" i="7" s="1"/>
  <c r="B176" i="7" s="1"/>
  <c r="B177" i="7" s="1"/>
  <c r="B178" i="7" s="1"/>
  <c r="B179" i="7" s="1"/>
  <c r="B180" i="7" s="1"/>
  <c r="B181" i="7" s="1"/>
  <c r="B182" i="7" s="1"/>
  <c r="B183" i="7" s="1"/>
  <c r="B184" i="7" s="1"/>
  <c r="B185" i="7" s="1"/>
  <c r="B186" i="7" s="1"/>
  <c r="B187" i="7" s="1"/>
  <c r="B188" i="7" s="1"/>
  <c r="B189" i="7" s="1"/>
  <c r="B190" i="7" s="1"/>
  <c r="B191" i="7" s="1"/>
  <c r="B192" i="7" s="1"/>
  <c r="B193" i="7" s="1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237" i="7"/>
  <c r="C238" i="7" s="1"/>
  <c r="D237" i="7"/>
  <c r="E237" i="7"/>
  <c r="F237" i="7"/>
  <c r="G237" i="7"/>
  <c r="G238" i="7" s="1"/>
  <c r="D238" i="7"/>
  <c r="E238" i="7"/>
  <c r="F238" i="7"/>
  <c r="C10" i="2"/>
  <c r="C267" i="2" s="1"/>
  <c r="C363" i="2" s="1"/>
  <c r="D10" i="2"/>
  <c r="D267" i="2" s="1"/>
  <c r="D363" i="2" s="1"/>
  <c r="E10" i="2"/>
  <c r="F10" i="2"/>
  <c r="G32" i="6" s="1"/>
  <c r="G10" i="2"/>
  <c r="G267" i="2" s="1"/>
  <c r="G363" i="2" s="1"/>
  <c r="C12" i="2"/>
  <c r="D12" i="2"/>
  <c r="E12" i="2"/>
  <c r="F12" i="2"/>
  <c r="G12" i="2"/>
  <c r="C14" i="2"/>
  <c r="C265" i="2" s="1"/>
  <c r="C269" i="2" s="1"/>
  <c r="D14" i="2"/>
  <c r="D265" i="2" s="1"/>
  <c r="D269" i="2" s="1"/>
  <c r="E14" i="2"/>
  <c r="F14" i="2"/>
  <c r="G14" i="2"/>
  <c r="C24" i="2"/>
  <c r="D24" i="2"/>
  <c r="E24" i="2"/>
  <c r="F24" i="2"/>
  <c r="G24" i="2"/>
  <c r="C25" i="2"/>
  <c r="D25" i="2"/>
  <c r="E46" i="6" s="1"/>
  <c r="E25" i="2"/>
  <c r="F25" i="2"/>
  <c r="G334" i="5" s="1"/>
  <c r="G25" i="2"/>
  <c r="I528" i="7" s="1"/>
  <c r="C26" i="2"/>
  <c r="D26" i="2"/>
  <c r="E26" i="2"/>
  <c r="F26" i="2"/>
  <c r="G26" i="2"/>
  <c r="C27" i="2"/>
  <c r="D27" i="2"/>
  <c r="E27" i="2"/>
  <c r="F27" i="2"/>
  <c r="G27" i="2"/>
  <c r="C28" i="2"/>
  <c r="E501" i="7" s="1"/>
  <c r="E502" i="7" s="1"/>
  <c r="D28" i="2"/>
  <c r="F501" i="7" s="1"/>
  <c r="F502" i="7" s="1"/>
  <c r="E28" i="2"/>
  <c r="G501" i="7" s="1"/>
  <c r="G502" i="7" s="1"/>
  <c r="F28" i="2"/>
  <c r="H501" i="7" s="1"/>
  <c r="H502" i="7" s="1"/>
  <c r="G28" i="2"/>
  <c r="I501" i="7" s="1"/>
  <c r="I502" i="7" s="1"/>
  <c r="C29" i="2"/>
  <c r="D29" i="2"/>
  <c r="E29" i="2"/>
  <c r="F29" i="2"/>
  <c r="G29" i="2"/>
  <c r="C30" i="2"/>
  <c r="D24" i="4" s="1"/>
  <c r="D39" i="4" s="1"/>
  <c r="D30" i="2"/>
  <c r="E24" i="5" s="1"/>
  <c r="E39" i="5" s="1"/>
  <c r="E30" i="2"/>
  <c r="E235" i="7" s="1"/>
  <c r="F30" i="2"/>
  <c r="F235" i="7" s="1"/>
  <c r="F233" i="7" s="1"/>
  <c r="G30" i="2"/>
  <c r="H24" i="4" s="1"/>
  <c r="H39" i="4" s="1"/>
  <c r="C31" i="2"/>
  <c r="D117" i="4" s="1"/>
  <c r="D118" i="4" s="1"/>
  <c r="D31" i="2"/>
  <c r="E117" i="4" s="1"/>
  <c r="E31" i="2"/>
  <c r="F31" i="2"/>
  <c r="G117" i="4" s="1"/>
  <c r="G118" i="4" s="1"/>
  <c r="G31" i="2"/>
  <c r="H117" i="4" s="1"/>
  <c r="H118" i="4" s="1"/>
  <c r="C32" i="2"/>
  <c r="D32" i="2"/>
  <c r="E32" i="2"/>
  <c r="F32" i="2"/>
  <c r="G32" i="2"/>
  <c r="C33" i="2"/>
  <c r="E515" i="7" s="1"/>
  <c r="D33" i="2"/>
  <c r="F515" i="7" s="1"/>
  <c r="E33" i="2"/>
  <c r="G515" i="7" s="1"/>
  <c r="F33" i="2"/>
  <c r="H515" i="7" s="1"/>
  <c r="G33" i="2"/>
  <c r="I515" i="7" s="1"/>
  <c r="C34" i="2"/>
  <c r="D34" i="2"/>
  <c r="E34" i="2"/>
  <c r="F34" i="2"/>
  <c r="G34" i="2"/>
  <c r="C36" i="2"/>
  <c r="D36" i="2"/>
  <c r="E36" i="2"/>
  <c r="F36" i="2"/>
  <c r="G36" i="2"/>
  <c r="C38" i="2"/>
  <c r="D38" i="2"/>
  <c r="E38" i="2"/>
  <c r="F38" i="2"/>
  <c r="G38" i="2"/>
  <c r="C39" i="2"/>
  <c r="D39" i="2"/>
  <c r="E39" i="2"/>
  <c r="F39" i="2"/>
  <c r="G39" i="2"/>
  <c r="C41" i="2"/>
  <c r="E339" i="7" s="1"/>
  <c r="D128" i="6" s="1"/>
  <c r="D41" i="2"/>
  <c r="F319" i="7" s="1"/>
  <c r="E41" i="2"/>
  <c r="F41" i="2"/>
  <c r="H336" i="7" s="1"/>
  <c r="G129" i="6" s="1"/>
  <c r="G41" i="2"/>
  <c r="I324" i="7" s="1"/>
  <c r="C42" i="2"/>
  <c r="D42" i="2"/>
  <c r="E42" i="2"/>
  <c r="F42" i="2"/>
  <c r="G42" i="2"/>
  <c r="C46" i="2"/>
  <c r="D233" i="6" s="1"/>
  <c r="D46" i="2"/>
  <c r="E46" i="2"/>
  <c r="F54" i="6" s="1"/>
  <c r="F46" i="2"/>
  <c r="G201" i="6" s="1"/>
  <c r="G46" i="2"/>
  <c r="H103" i="3" s="1"/>
  <c r="C47" i="2"/>
  <c r="D47" i="2"/>
  <c r="E47" i="2"/>
  <c r="F47" i="2"/>
  <c r="G47" i="2"/>
  <c r="C48" i="2"/>
  <c r="D48" i="2"/>
  <c r="E48" i="2"/>
  <c r="F48" i="2"/>
  <c r="G48" i="2"/>
  <c r="C49" i="2"/>
  <c r="D49" i="2"/>
  <c r="E49" i="2"/>
  <c r="F49" i="2"/>
  <c r="G49" i="2"/>
  <c r="C50" i="2"/>
  <c r="D50" i="2"/>
  <c r="E50" i="2"/>
  <c r="F50" i="2"/>
  <c r="G50" i="2"/>
  <c r="C51" i="2"/>
  <c r="D51" i="2"/>
  <c r="E51" i="2"/>
  <c r="F51" i="2"/>
  <c r="G51" i="2"/>
  <c r="C52" i="2"/>
  <c r="D52" i="2"/>
  <c r="E52" i="2"/>
  <c r="F52" i="2"/>
  <c r="G52" i="2"/>
  <c r="C53" i="2"/>
  <c r="D53" i="2"/>
  <c r="E53" i="2"/>
  <c r="F53" i="2"/>
  <c r="G53" i="2"/>
  <c r="C54" i="2"/>
  <c r="D54" i="2"/>
  <c r="E54" i="2"/>
  <c r="F54" i="2"/>
  <c r="G54" i="2"/>
  <c r="C55" i="2"/>
  <c r="D55" i="2"/>
  <c r="E55" i="2"/>
  <c r="F55" i="2"/>
  <c r="G55" i="2"/>
  <c r="C57" i="2"/>
  <c r="D57" i="2"/>
  <c r="E57" i="2"/>
  <c r="F57" i="2"/>
  <c r="G57" i="2"/>
  <c r="C59" i="2"/>
  <c r="D59" i="2"/>
  <c r="E59" i="2"/>
  <c r="F59" i="2"/>
  <c r="G59" i="2"/>
  <c r="C60" i="2"/>
  <c r="D60" i="2"/>
  <c r="E60" i="2"/>
  <c r="F60" i="2"/>
  <c r="G60" i="2"/>
  <c r="C61" i="2"/>
  <c r="E558" i="7" s="1"/>
  <c r="D61" i="2"/>
  <c r="E61" i="2"/>
  <c r="F61" i="2"/>
  <c r="G61" i="2"/>
  <c r="C62" i="2"/>
  <c r="D62" i="2"/>
  <c r="E62" i="2"/>
  <c r="F62" i="2"/>
  <c r="G62" i="2"/>
  <c r="C63" i="2"/>
  <c r="D63" i="2"/>
  <c r="E63" i="2"/>
  <c r="F63" i="2"/>
  <c r="G63" i="2"/>
  <c r="C64" i="2"/>
  <c r="D105" i="3" s="1"/>
  <c r="D64" i="2"/>
  <c r="E105" i="3" s="1"/>
  <c r="E64" i="2"/>
  <c r="F105" i="3" s="1"/>
  <c r="F64" i="2"/>
  <c r="G105" i="3" s="1"/>
  <c r="G64" i="2"/>
  <c r="C65" i="2"/>
  <c r="D65" i="2"/>
  <c r="E65" i="2"/>
  <c r="F65" i="2"/>
  <c r="G65" i="2"/>
  <c r="C66" i="2"/>
  <c r="D66" i="2"/>
  <c r="E66" i="2"/>
  <c r="F66" i="2"/>
  <c r="G66" i="2"/>
  <c r="C70" i="2"/>
  <c r="D316" i="4" s="1"/>
  <c r="D70" i="2"/>
  <c r="E316" i="4" s="1"/>
  <c r="E70" i="2"/>
  <c r="F316" i="4" s="1"/>
  <c r="F70" i="2"/>
  <c r="G316" i="4" s="1"/>
  <c r="G70" i="2"/>
  <c r="H316" i="4" s="1"/>
  <c r="C71" i="2"/>
  <c r="D71" i="2"/>
  <c r="E71" i="2"/>
  <c r="F71" i="2"/>
  <c r="G71" i="2"/>
  <c r="C72" i="2"/>
  <c r="D72" i="2"/>
  <c r="E72" i="2"/>
  <c r="F72" i="2"/>
  <c r="G72" i="2"/>
  <c r="C74" i="2"/>
  <c r="D54" i="4" s="1"/>
  <c r="D74" i="2"/>
  <c r="E54" i="4" s="1"/>
  <c r="E74" i="2"/>
  <c r="F54" i="4" s="1"/>
  <c r="F74" i="2"/>
  <c r="G54" i="4" s="1"/>
  <c r="G84" i="4" s="1"/>
  <c r="G85" i="4" s="1"/>
  <c r="G74" i="2"/>
  <c r="H54" i="4" s="1"/>
  <c r="C75" i="2"/>
  <c r="D75" i="2"/>
  <c r="E75" i="2"/>
  <c r="F75" i="2"/>
  <c r="G75" i="2"/>
  <c r="C77" i="2"/>
  <c r="D159" i="4" s="1"/>
  <c r="D77" i="2"/>
  <c r="E77" i="2"/>
  <c r="F159" i="4" s="1"/>
  <c r="F77" i="2"/>
  <c r="G171" i="4" s="1"/>
  <c r="G77" i="2"/>
  <c r="H159" i="4" s="1"/>
  <c r="C78" i="2"/>
  <c r="D78" i="2"/>
  <c r="E320" i="4" s="1"/>
  <c r="E78" i="2"/>
  <c r="F320" i="4" s="1"/>
  <c r="F78" i="2"/>
  <c r="G78" i="2"/>
  <c r="C80" i="2"/>
  <c r="D80" i="2"/>
  <c r="E80" i="2"/>
  <c r="F80" i="2"/>
  <c r="G80" i="2"/>
  <c r="C82" i="2"/>
  <c r="D82" i="2"/>
  <c r="E82" i="2"/>
  <c r="F82" i="2"/>
  <c r="G82" i="2"/>
  <c r="C84" i="2"/>
  <c r="D25" i="4" s="1"/>
  <c r="D40" i="4" s="1"/>
  <c r="D84" i="2"/>
  <c r="E84" i="2"/>
  <c r="F25" i="4" s="1"/>
  <c r="F40" i="4" s="1"/>
  <c r="F84" i="2"/>
  <c r="G25" i="4" s="1"/>
  <c r="G40" i="4" s="1"/>
  <c r="G55" i="4" s="1"/>
  <c r="G84" i="2"/>
  <c r="H25" i="4" s="1"/>
  <c r="H40" i="4" s="1"/>
  <c r="C85" i="2"/>
  <c r="C87" i="2" s="1"/>
  <c r="D85" i="2"/>
  <c r="D87" i="2" s="1"/>
  <c r="E85" i="2"/>
  <c r="E87" i="2" s="1"/>
  <c r="F85" i="2"/>
  <c r="G85" i="2"/>
  <c r="G87" i="2" s="1"/>
  <c r="C88" i="2"/>
  <c r="D88" i="2"/>
  <c r="E88" i="2"/>
  <c r="F88" i="2"/>
  <c r="G88" i="2"/>
  <c r="C89" i="2"/>
  <c r="D89" i="2"/>
  <c r="E89" i="2"/>
  <c r="F89" i="2"/>
  <c r="G89" i="2"/>
  <c r="C90" i="2"/>
  <c r="D90" i="2"/>
  <c r="E90" i="2"/>
  <c r="F90" i="2"/>
  <c r="G90" i="2"/>
  <c r="C91" i="2"/>
  <c r="D91" i="2"/>
  <c r="E91" i="2"/>
  <c r="F91" i="2"/>
  <c r="G91" i="2"/>
  <c r="C92" i="2"/>
  <c r="D92" i="2"/>
  <c r="E92" i="2"/>
  <c r="F92" i="2"/>
  <c r="G92" i="2"/>
  <c r="C94" i="2"/>
  <c r="D94" i="2"/>
  <c r="E94" i="2"/>
  <c r="F94" i="2"/>
  <c r="G94" i="2"/>
  <c r="C95" i="2"/>
  <c r="D95" i="2"/>
  <c r="E95" i="2"/>
  <c r="F95" i="2"/>
  <c r="G95" i="2"/>
  <c r="C96" i="2"/>
  <c r="D96" i="2"/>
  <c r="E96" i="2"/>
  <c r="F96" i="2"/>
  <c r="G96" i="2"/>
  <c r="C97" i="2"/>
  <c r="D97" i="2"/>
  <c r="E97" i="2"/>
  <c r="F97" i="2"/>
  <c r="G97" i="2"/>
  <c r="C98" i="2"/>
  <c r="D98" i="2"/>
  <c r="E98" i="2"/>
  <c r="F98" i="2"/>
  <c r="G98" i="2"/>
  <c r="C100" i="2"/>
  <c r="D100" i="2"/>
  <c r="E100" i="2"/>
  <c r="F100" i="2"/>
  <c r="G100" i="2"/>
  <c r="C101" i="2"/>
  <c r="D101" i="2"/>
  <c r="E101" i="2"/>
  <c r="F101" i="2"/>
  <c r="G101" i="2"/>
  <c r="C102" i="2"/>
  <c r="D102" i="2"/>
  <c r="E102" i="2"/>
  <c r="F102" i="2"/>
  <c r="G102" i="2"/>
  <c r="C103" i="2"/>
  <c r="D103" i="2"/>
  <c r="E103" i="2"/>
  <c r="F103" i="2"/>
  <c r="G103" i="2"/>
  <c r="C104" i="2"/>
  <c r="D104" i="2"/>
  <c r="E104" i="2"/>
  <c r="F104" i="2"/>
  <c r="G104" i="2"/>
  <c r="C106" i="2"/>
  <c r="D106" i="2"/>
  <c r="E106" i="2"/>
  <c r="F106" i="2"/>
  <c r="G106" i="2"/>
  <c r="C107" i="2"/>
  <c r="D107" i="2"/>
  <c r="E107" i="2"/>
  <c r="F107" i="2"/>
  <c r="G107" i="2"/>
  <c r="C108" i="2"/>
  <c r="D108" i="2"/>
  <c r="E108" i="2"/>
  <c r="F108" i="2"/>
  <c r="G108" i="2"/>
  <c r="C109" i="2"/>
  <c r="D109" i="2"/>
  <c r="E109" i="2"/>
  <c r="F109" i="2"/>
  <c r="G109" i="2"/>
  <c r="C110" i="2"/>
  <c r="D110" i="2"/>
  <c r="E110" i="2"/>
  <c r="F110" i="2"/>
  <c r="G110" i="2"/>
  <c r="C112" i="2"/>
  <c r="D112" i="2"/>
  <c r="E112" i="2"/>
  <c r="F112" i="2"/>
  <c r="G112" i="2"/>
  <c r="C113" i="2"/>
  <c r="D113" i="2"/>
  <c r="E113" i="2"/>
  <c r="F113" i="2"/>
  <c r="G113" i="2"/>
  <c r="C114" i="2"/>
  <c r="D114" i="2"/>
  <c r="E114" i="2"/>
  <c r="F114" i="2"/>
  <c r="G114" i="2"/>
  <c r="C115" i="2"/>
  <c r="D115" i="2"/>
  <c r="E115" i="2"/>
  <c r="F115" i="2"/>
  <c r="G115" i="2"/>
  <c r="C116" i="2"/>
  <c r="D116" i="2"/>
  <c r="E116" i="2"/>
  <c r="F116" i="2"/>
  <c r="G116" i="2"/>
  <c r="C120" i="2"/>
  <c r="D326" i="5" s="1"/>
  <c r="D120" i="2"/>
  <c r="E326" i="5" s="1"/>
  <c r="E120" i="2"/>
  <c r="F326" i="5" s="1"/>
  <c r="F120" i="2"/>
  <c r="G326" i="5" s="1"/>
  <c r="G120" i="2"/>
  <c r="H326" i="5" s="1"/>
  <c r="C121" i="2"/>
  <c r="D121" i="2"/>
  <c r="E121" i="2"/>
  <c r="F121" i="2"/>
  <c r="G121" i="2"/>
  <c r="C122" i="2"/>
  <c r="D122" i="2"/>
  <c r="E122" i="2"/>
  <c r="F122" i="2"/>
  <c r="G122" i="2"/>
  <c r="C128" i="2"/>
  <c r="D189" i="5" s="1"/>
  <c r="D128" i="2"/>
  <c r="E189" i="5" s="1"/>
  <c r="E128" i="2"/>
  <c r="F189" i="5" s="1"/>
  <c r="F128" i="2"/>
  <c r="G189" i="5" s="1"/>
  <c r="G128" i="2"/>
  <c r="H189" i="5" s="1"/>
  <c r="C129" i="2"/>
  <c r="D129" i="2"/>
  <c r="E129" i="2"/>
  <c r="F129" i="2"/>
  <c r="G129" i="2"/>
  <c r="C131" i="2"/>
  <c r="D131" i="2"/>
  <c r="E131" i="2"/>
  <c r="F131" i="2"/>
  <c r="G131" i="2"/>
  <c r="C133" i="2"/>
  <c r="D133" i="2"/>
  <c r="E133" i="2"/>
  <c r="F133" i="2"/>
  <c r="G133" i="2"/>
  <c r="C134" i="2"/>
  <c r="D134" i="2"/>
  <c r="E134" i="2"/>
  <c r="F134" i="2"/>
  <c r="G134" i="2"/>
  <c r="C135" i="2"/>
  <c r="D135" i="2"/>
  <c r="E135" i="2"/>
  <c r="F135" i="2"/>
  <c r="G135" i="2"/>
  <c r="C136" i="2"/>
  <c r="D136" i="2"/>
  <c r="E136" i="2"/>
  <c r="F136" i="2"/>
  <c r="G136" i="2"/>
  <c r="C138" i="2"/>
  <c r="D138" i="2"/>
  <c r="E138" i="2"/>
  <c r="F138" i="2"/>
  <c r="G138" i="2"/>
  <c r="C139" i="2"/>
  <c r="D139" i="2"/>
  <c r="E139" i="2"/>
  <c r="F139" i="2"/>
  <c r="G139" i="2"/>
  <c r="C140" i="2"/>
  <c r="D140" i="2"/>
  <c r="E140" i="2"/>
  <c r="F140" i="2"/>
  <c r="G140" i="2"/>
  <c r="C141" i="2"/>
  <c r="D141" i="2"/>
  <c r="E141" i="2"/>
  <c r="F141" i="2"/>
  <c r="G141" i="2"/>
  <c r="C142" i="2"/>
  <c r="D142" i="2"/>
  <c r="E142" i="2"/>
  <c r="F142" i="2"/>
  <c r="G142" i="2"/>
  <c r="C144" i="2"/>
  <c r="D144" i="2"/>
  <c r="E144" i="2"/>
  <c r="F144" i="2"/>
  <c r="G144" i="2"/>
  <c r="C145" i="2"/>
  <c r="D145" i="2"/>
  <c r="E145" i="2"/>
  <c r="F145" i="2"/>
  <c r="G145" i="2"/>
  <c r="C146" i="2"/>
  <c r="D146" i="2"/>
  <c r="E146" i="2"/>
  <c r="F146" i="2"/>
  <c r="G146" i="2"/>
  <c r="C147" i="2"/>
  <c r="D147" i="2"/>
  <c r="E147" i="2"/>
  <c r="F147" i="2"/>
  <c r="G147" i="2"/>
  <c r="C148" i="2"/>
  <c r="D148" i="2"/>
  <c r="E148" i="2"/>
  <c r="F148" i="2"/>
  <c r="G148" i="2"/>
  <c r="C150" i="2"/>
  <c r="D150" i="2"/>
  <c r="E150" i="2"/>
  <c r="F150" i="2"/>
  <c r="G150" i="2"/>
  <c r="C151" i="2"/>
  <c r="D151" i="2"/>
  <c r="E151" i="2"/>
  <c r="F151" i="2"/>
  <c r="G151" i="2"/>
  <c r="C152" i="2"/>
  <c r="D152" i="2"/>
  <c r="E152" i="2"/>
  <c r="F152" i="2"/>
  <c r="G152" i="2"/>
  <c r="C153" i="2"/>
  <c r="D153" i="2"/>
  <c r="E153" i="2"/>
  <c r="F153" i="2"/>
  <c r="G153" i="2"/>
  <c r="C154" i="2"/>
  <c r="D154" i="2"/>
  <c r="E154" i="2"/>
  <c r="F154" i="2"/>
  <c r="G154" i="2"/>
  <c r="C156" i="2"/>
  <c r="D156" i="2"/>
  <c r="E156" i="2"/>
  <c r="F156" i="2"/>
  <c r="G156" i="2"/>
  <c r="C157" i="2"/>
  <c r="D157" i="2"/>
  <c r="E157" i="2"/>
  <c r="F157" i="2"/>
  <c r="G157" i="2"/>
  <c r="C158" i="2"/>
  <c r="D158" i="2"/>
  <c r="E158" i="2"/>
  <c r="F158" i="2"/>
  <c r="G158" i="2"/>
  <c r="C159" i="2"/>
  <c r="D159" i="2"/>
  <c r="E159" i="2"/>
  <c r="F159" i="2"/>
  <c r="G159" i="2"/>
  <c r="C160" i="2"/>
  <c r="D160" i="2"/>
  <c r="E160" i="2"/>
  <c r="F160" i="2"/>
  <c r="G160" i="2"/>
  <c r="C164" i="2"/>
  <c r="D164" i="2"/>
  <c r="E164" i="2"/>
  <c r="F164" i="2"/>
  <c r="G164" i="2"/>
  <c r="C166" i="2"/>
  <c r="D166" i="2"/>
  <c r="E166" i="2"/>
  <c r="F166" i="2"/>
  <c r="G166" i="2"/>
  <c r="C167" i="2"/>
  <c r="D167" i="2"/>
  <c r="E167" i="2"/>
  <c r="F167" i="2"/>
  <c r="G167" i="2"/>
  <c r="C168" i="2"/>
  <c r="D168" i="2"/>
  <c r="E168" i="2"/>
  <c r="F168" i="2"/>
  <c r="G168" i="2"/>
  <c r="C169" i="2"/>
  <c r="D169" i="2"/>
  <c r="E169" i="2"/>
  <c r="F169" i="2"/>
  <c r="G169" i="2"/>
  <c r="C171" i="2"/>
  <c r="D171" i="2"/>
  <c r="E171" i="2"/>
  <c r="F171" i="2"/>
  <c r="G171" i="2"/>
  <c r="C172" i="2"/>
  <c r="D172" i="2"/>
  <c r="E172" i="2"/>
  <c r="F172" i="2"/>
  <c r="G172" i="2"/>
  <c r="C173" i="2"/>
  <c r="D173" i="2"/>
  <c r="E173" i="2"/>
  <c r="F173" i="2"/>
  <c r="G173" i="2"/>
  <c r="C174" i="2"/>
  <c r="D174" i="2"/>
  <c r="E174" i="2"/>
  <c r="F174" i="2"/>
  <c r="G174" i="2"/>
  <c r="C175" i="2"/>
  <c r="D96" i="6" s="1"/>
  <c r="D175" i="2"/>
  <c r="E96" i="6" s="1"/>
  <c r="E175" i="2"/>
  <c r="F96" i="6" s="1"/>
  <c r="F175" i="2"/>
  <c r="G96" i="6" s="1"/>
  <c r="G175" i="2"/>
  <c r="H96" i="6" s="1"/>
  <c r="C176" i="2"/>
  <c r="D176" i="2"/>
  <c r="E176" i="2"/>
  <c r="F176" i="2"/>
  <c r="G176" i="2"/>
  <c r="C177" i="2"/>
  <c r="D177" i="2"/>
  <c r="E177" i="2"/>
  <c r="F177" i="2"/>
  <c r="G177" i="2"/>
  <c r="C178" i="2"/>
  <c r="D178" i="2"/>
  <c r="E178" i="2"/>
  <c r="F178" i="2"/>
  <c r="G178" i="2"/>
  <c r="C179" i="2"/>
  <c r="D179" i="2"/>
  <c r="E179" i="2"/>
  <c r="F179" i="2"/>
  <c r="G179" i="2"/>
  <c r="C181" i="2"/>
  <c r="D125" i="6" s="1"/>
  <c r="D181" i="2"/>
  <c r="E125" i="6" s="1"/>
  <c r="E181" i="2"/>
  <c r="F125" i="6" s="1"/>
  <c r="F181" i="2"/>
  <c r="G125" i="6" s="1"/>
  <c r="G181" i="2"/>
  <c r="H125" i="6" s="1"/>
  <c r="C182" i="2"/>
  <c r="D182" i="2"/>
  <c r="E182" i="2"/>
  <c r="F182" i="2"/>
  <c r="G182" i="2"/>
  <c r="C183" i="2"/>
  <c r="D183" i="2"/>
  <c r="E183" i="2"/>
  <c r="F183" i="2"/>
  <c r="G183" i="2"/>
  <c r="C184" i="2"/>
  <c r="D184" i="2"/>
  <c r="E184" i="2"/>
  <c r="F184" i="2"/>
  <c r="G184" i="2"/>
  <c r="C185" i="2"/>
  <c r="D185" i="2"/>
  <c r="E185" i="2"/>
  <c r="F185" i="2"/>
  <c r="G185" i="2"/>
  <c r="C186" i="2"/>
  <c r="D186" i="2"/>
  <c r="E186" i="2"/>
  <c r="F186" i="2"/>
  <c r="G186" i="2"/>
  <c r="C187" i="2"/>
  <c r="D187" i="2"/>
  <c r="E187" i="2"/>
  <c r="F187" i="2"/>
  <c r="G187" i="2"/>
  <c r="C188" i="2"/>
  <c r="D188" i="2"/>
  <c r="E188" i="2"/>
  <c r="F188" i="2"/>
  <c r="G188" i="2"/>
  <c r="C194" i="2"/>
  <c r="D194" i="2"/>
  <c r="E194" i="2"/>
  <c r="F194" i="2"/>
  <c r="G194" i="2"/>
  <c r="C195" i="2"/>
  <c r="D195" i="2"/>
  <c r="E195" i="2"/>
  <c r="F195" i="2"/>
  <c r="G195" i="2"/>
  <c r="C196" i="2"/>
  <c r="D196" i="2"/>
  <c r="E196" i="2"/>
  <c r="F196" i="2"/>
  <c r="G196" i="2"/>
  <c r="C197" i="2"/>
  <c r="D197" i="2"/>
  <c r="E197" i="2"/>
  <c r="F197" i="2"/>
  <c r="G197" i="2"/>
  <c r="C198" i="2"/>
  <c r="D198" i="2"/>
  <c r="E198" i="2"/>
  <c r="F198" i="2"/>
  <c r="G198" i="2"/>
  <c r="C199" i="2"/>
  <c r="D199" i="2"/>
  <c r="E199" i="2"/>
  <c r="F199" i="2"/>
  <c r="G199" i="2"/>
  <c r="C200" i="2"/>
  <c r="D200" i="2"/>
  <c r="E200" i="2"/>
  <c r="F200" i="2"/>
  <c r="G200" i="2"/>
  <c r="C201" i="2"/>
  <c r="D201" i="2"/>
  <c r="E201" i="2"/>
  <c r="F201" i="2"/>
  <c r="G201" i="2"/>
  <c r="C202" i="2"/>
  <c r="D202" i="2"/>
  <c r="E202" i="2"/>
  <c r="F202" i="2"/>
  <c r="G202" i="2"/>
  <c r="C203" i="2"/>
  <c r="D203" i="2"/>
  <c r="E203" i="2"/>
  <c r="F203" i="2"/>
  <c r="G203" i="2"/>
  <c r="C204" i="2"/>
  <c r="D204" i="2"/>
  <c r="E204" i="2"/>
  <c r="F204" i="2"/>
  <c r="G204" i="2"/>
  <c r="C205" i="2"/>
  <c r="D205" i="2"/>
  <c r="E205" i="2"/>
  <c r="F205" i="2"/>
  <c r="G205" i="2"/>
  <c r="C206" i="2"/>
  <c r="D206" i="2"/>
  <c r="E206" i="2"/>
  <c r="F206" i="2"/>
  <c r="G206" i="2"/>
  <c r="C207" i="2"/>
  <c r="D207" i="2"/>
  <c r="E207" i="2"/>
  <c r="F207" i="2"/>
  <c r="G207" i="2"/>
  <c r="C211" i="2"/>
  <c r="D110" i="3" s="1"/>
  <c r="D211" i="2"/>
  <c r="E110" i="3" s="1"/>
  <c r="E211" i="2"/>
  <c r="F110" i="3" s="1"/>
  <c r="F211" i="2"/>
  <c r="G211" i="2"/>
  <c r="C212" i="2"/>
  <c r="D212" i="2"/>
  <c r="E212" i="2"/>
  <c r="F212" i="2"/>
  <c r="G212" i="2"/>
  <c r="C213" i="2"/>
  <c r="D64" i="3" s="1"/>
  <c r="D213" i="2"/>
  <c r="E64" i="3" s="1"/>
  <c r="E213" i="2"/>
  <c r="F213" i="2"/>
  <c r="G64" i="3" s="1"/>
  <c r="G213" i="2"/>
  <c r="H64" i="3" s="1"/>
  <c r="C214" i="2"/>
  <c r="D214" i="2"/>
  <c r="E214" i="2"/>
  <c r="F214" i="2"/>
  <c r="G214" i="2"/>
  <c r="C215" i="2"/>
  <c r="D215" i="2"/>
  <c r="E215" i="2"/>
  <c r="F215" i="2"/>
  <c r="G215" i="2"/>
  <c r="C216" i="2"/>
  <c r="D216" i="2"/>
  <c r="E216" i="2"/>
  <c r="F216" i="2"/>
  <c r="G216" i="2"/>
  <c r="C217" i="2"/>
  <c r="D217" i="2"/>
  <c r="E217" i="2"/>
  <c r="F217" i="2"/>
  <c r="G217" i="2"/>
  <c r="C218" i="2"/>
  <c r="D218" i="2"/>
  <c r="E218" i="2"/>
  <c r="F218" i="2"/>
  <c r="G218" i="2"/>
  <c r="C219" i="2"/>
  <c r="D219" i="2"/>
  <c r="E219" i="2"/>
  <c r="F219" i="2"/>
  <c r="G219" i="2"/>
  <c r="C220" i="2"/>
  <c r="D220" i="2"/>
  <c r="E220" i="2"/>
  <c r="F220" i="2"/>
  <c r="G220" i="2"/>
  <c r="C221" i="2"/>
  <c r="D221" i="2"/>
  <c r="E221" i="2"/>
  <c r="F221" i="2"/>
  <c r="G221" i="2"/>
  <c r="C222" i="2"/>
  <c r="D222" i="2"/>
  <c r="E222" i="2"/>
  <c r="F222" i="2"/>
  <c r="G222" i="2"/>
  <c r="C223" i="2"/>
  <c r="D223" i="2"/>
  <c r="E223" i="2"/>
  <c r="F223" i="2"/>
  <c r="G223" i="2"/>
  <c r="C224" i="2"/>
  <c r="D224" i="2"/>
  <c r="E224" i="2"/>
  <c r="F224" i="2"/>
  <c r="G224" i="2"/>
  <c r="C225" i="2"/>
  <c r="D225" i="2"/>
  <c r="E225" i="2"/>
  <c r="F225" i="2"/>
  <c r="G225" i="2"/>
  <c r="C226" i="2"/>
  <c r="D226" i="2"/>
  <c r="E226" i="2"/>
  <c r="F226" i="2"/>
  <c r="G226" i="2"/>
  <c r="C227" i="2"/>
  <c r="D227" i="2"/>
  <c r="E227" i="2"/>
  <c r="F227" i="2"/>
  <c r="G227" i="2"/>
  <c r="C231" i="2"/>
  <c r="D231" i="2"/>
  <c r="E231" i="2"/>
  <c r="F231" i="2"/>
  <c r="G231" i="2"/>
  <c r="C232" i="2"/>
  <c r="D232" i="2"/>
  <c r="E232" i="2"/>
  <c r="F232" i="2"/>
  <c r="G232" i="2"/>
  <c r="C233" i="2"/>
  <c r="D233" i="2"/>
  <c r="E233" i="2"/>
  <c r="F233" i="2"/>
  <c r="G233" i="2"/>
  <c r="C234" i="2"/>
  <c r="D234" i="2"/>
  <c r="E234" i="2"/>
  <c r="F234" i="2"/>
  <c r="G234" i="2"/>
  <c r="C235" i="2"/>
  <c r="D235" i="2"/>
  <c r="E235" i="2"/>
  <c r="F235" i="2"/>
  <c r="G235" i="2"/>
  <c r="C239" i="2"/>
  <c r="D239" i="2"/>
  <c r="E239" i="2"/>
  <c r="F239" i="2"/>
  <c r="G239" i="2"/>
  <c r="C240" i="2"/>
  <c r="D139" i="3" s="1"/>
  <c r="D240" i="2"/>
  <c r="E139" i="3" s="1"/>
  <c r="E240" i="2"/>
  <c r="F139" i="3" s="1"/>
  <c r="F240" i="2"/>
  <c r="G139" i="3" s="1"/>
  <c r="G240" i="2"/>
  <c r="H139" i="3" s="1"/>
  <c r="C241" i="2"/>
  <c r="D241" i="2"/>
  <c r="E241" i="2"/>
  <c r="F241" i="2"/>
  <c r="G241" i="2"/>
  <c r="C242" i="2"/>
  <c r="D242" i="2"/>
  <c r="E242" i="2"/>
  <c r="F242" i="2"/>
  <c r="G242" i="2"/>
  <c r="C243" i="2"/>
  <c r="D243" i="2"/>
  <c r="E243" i="2"/>
  <c r="F243" i="2"/>
  <c r="G243" i="2"/>
  <c r="C244" i="2"/>
  <c r="D244" i="2"/>
  <c r="E244" i="2"/>
  <c r="F244" i="2"/>
  <c r="G244" i="2"/>
  <c r="C245" i="2"/>
  <c r="D245" i="2"/>
  <c r="E245" i="2"/>
  <c r="F245" i="2"/>
  <c r="G245" i="2"/>
  <c r="C246" i="2"/>
  <c r="D246" i="2"/>
  <c r="E246" i="2"/>
  <c r="F246" i="2"/>
  <c r="G246" i="2"/>
  <c r="E265" i="2"/>
  <c r="E269" i="2" s="1"/>
  <c r="F265" i="2"/>
  <c r="F269" i="2" s="1"/>
  <c r="D25" i="5"/>
  <c r="D40" i="5" s="1"/>
  <c r="D55" i="5" s="1"/>
  <c r="H25" i="5"/>
  <c r="H40" i="5" s="1"/>
  <c r="D77" i="5"/>
  <c r="D92" i="5" s="1"/>
  <c r="E77" i="5"/>
  <c r="E92" i="5" s="1"/>
  <c r="F77" i="5"/>
  <c r="F92" i="5" s="1"/>
  <c r="G77" i="5"/>
  <c r="G92" i="5" s="1"/>
  <c r="H77" i="5"/>
  <c r="H92" i="5" s="1"/>
  <c r="D147" i="5"/>
  <c r="E147" i="5"/>
  <c r="F147" i="5"/>
  <c r="G147" i="5"/>
  <c r="H147" i="5"/>
  <c r="D159" i="5"/>
  <c r="E159" i="5"/>
  <c r="E200" i="5" s="1"/>
  <c r="F159" i="5"/>
  <c r="F200" i="5" s="1"/>
  <c r="G159" i="5"/>
  <c r="H159" i="5"/>
  <c r="H200" i="5" s="1"/>
  <c r="D170" i="5"/>
  <c r="E170" i="5"/>
  <c r="F170" i="5"/>
  <c r="G170" i="5"/>
  <c r="H170" i="5"/>
  <c r="D200" i="5"/>
  <c r="G200" i="5"/>
  <c r="G223" i="5"/>
  <c r="D331" i="5"/>
  <c r="H331" i="5"/>
  <c r="E334" i="5"/>
  <c r="G24" i="4"/>
  <c r="G39" i="4" s="1"/>
  <c r="E25" i="4"/>
  <c r="E40" i="4" s="1"/>
  <c r="E55" i="4" s="1"/>
  <c r="D104" i="4"/>
  <c r="D105" i="4" s="1"/>
  <c r="E104" i="4"/>
  <c r="F104" i="4"/>
  <c r="F105" i="4" s="1"/>
  <c r="G104" i="4"/>
  <c r="G105" i="4" s="1"/>
  <c r="H104" i="4"/>
  <c r="H105" i="4" s="1"/>
  <c r="E105" i="4"/>
  <c r="D115" i="4"/>
  <c r="D116" i="4" s="1"/>
  <c r="E115" i="4"/>
  <c r="E116" i="4" s="1"/>
  <c r="F115" i="4"/>
  <c r="G115" i="4"/>
  <c r="H115" i="4"/>
  <c r="H116" i="4" s="1"/>
  <c r="F116" i="4"/>
  <c r="F117" i="4"/>
  <c r="F118" i="4" s="1"/>
  <c r="D132" i="4"/>
  <c r="F132" i="4"/>
  <c r="E159" i="4"/>
  <c r="E171" i="4"/>
  <c r="E184" i="4"/>
  <c r="G184" i="4"/>
  <c r="D311" i="4"/>
  <c r="H319" i="4"/>
  <c r="D320" i="4"/>
  <c r="D334" i="4" s="1"/>
  <c r="H320" i="4"/>
  <c r="H323" i="4"/>
  <c r="D372" i="4"/>
  <c r="D315" i="4" s="1"/>
  <c r="E49" i="3"/>
  <c r="E103" i="3"/>
  <c r="E128" i="3"/>
  <c r="C9" i="1"/>
  <c r="D72" i="1"/>
  <c r="C37" i="2"/>
  <c r="D37" i="2"/>
  <c r="E37" i="2"/>
  <c r="F37" i="2"/>
  <c r="G37" i="2"/>
  <c r="C79" i="1"/>
  <c r="C81" i="1"/>
  <c r="C83" i="1"/>
  <c r="D167" i="1"/>
  <c r="E167" i="1"/>
  <c r="C123" i="2" s="1"/>
  <c r="D54" i="5" s="1"/>
  <c r="F167" i="1"/>
  <c r="D123" i="2" s="1"/>
  <c r="E54" i="5" s="1"/>
  <c r="E123" i="2"/>
  <c r="F54" i="5" s="1"/>
  <c r="F69" i="5" s="1"/>
  <c r="F84" i="5" s="1"/>
  <c r="F123" i="2"/>
  <c r="G54" i="5" s="1"/>
  <c r="G69" i="5" s="1"/>
  <c r="G84" i="5" s="1"/>
  <c r="G123" i="2"/>
  <c r="H54" i="5" s="1"/>
  <c r="H69" i="5" s="1"/>
  <c r="H84" i="5" s="1"/>
  <c r="D168" i="1"/>
  <c r="D170" i="1"/>
  <c r="X28" i="7" l="1"/>
  <c r="C85" i="1"/>
  <c r="X25" i="7"/>
  <c r="C82" i="1"/>
  <c r="H56" i="3"/>
  <c r="X23" i="7"/>
  <c r="G172" i="3"/>
  <c r="I491" i="7"/>
  <c r="H80" i="5" s="1"/>
  <c r="H703" i="5" s="1"/>
  <c r="H128" i="3"/>
  <c r="H15" i="3"/>
  <c r="D171" i="4"/>
  <c r="H149" i="3"/>
  <c r="F319" i="4"/>
  <c r="F336" i="4" s="1"/>
  <c r="H184" i="4"/>
  <c r="H542" i="7"/>
  <c r="G266" i="2"/>
  <c r="G316" i="2" s="1"/>
  <c r="H146" i="3"/>
  <c r="H119" i="3"/>
  <c r="H49" i="3"/>
  <c r="H322" i="5"/>
  <c r="F267" i="2"/>
  <c r="F363" i="2" s="1"/>
  <c r="G323" i="4"/>
  <c r="G325" i="4" s="1"/>
  <c r="H311" i="4"/>
  <c r="D322" i="5"/>
  <c r="E84" i="4"/>
  <c r="E85" i="4" s="1"/>
  <c r="E106" i="4"/>
  <c r="E107" i="4" s="1"/>
  <c r="E99" i="4" s="1"/>
  <c r="E102" i="4" s="1"/>
  <c r="G103" i="3"/>
  <c r="G311" i="4"/>
  <c r="G159" i="4"/>
  <c r="H80" i="3"/>
  <c r="G149" i="3"/>
  <c r="G146" i="3"/>
  <c r="G71" i="3"/>
  <c r="H550" i="7"/>
  <c r="D587" i="7" s="1"/>
  <c r="G119" i="3"/>
  <c r="G15" i="3"/>
  <c r="I534" i="7"/>
  <c r="G550" i="7"/>
  <c r="D579" i="7" s="1"/>
  <c r="G128" i="3"/>
  <c r="H110" i="3"/>
  <c r="G49" i="3"/>
  <c r="G322" i="5"/>
  <c r="E25" i="5"/>
  <c r="E40" i="5" s="1"/>
  <c r="E55" i="5" s="1"/>
  <c r="E70" i="5" s="1"/>
  <c r="I535" i="7"/>
  <c r="I531" i="7"/>
  <c r="F82" i="4"/>
  <c r="F84" i="4"/>
  <c r="F85" i="4" s="1"/>
  <c r="D82" i="4"/>
  <c r="D84" i="4"/>
  <c r="D85" i="4" s="1"/>
  <c r="D106" i="4"/>
  <c r="D107" i="4" s="1"/>
  <c r="D98" i="4" s="1"/>
  <c r="D101" i="4" s="1"/>
  <c r="H79" i="3"/>
  <c r="E82" i="4"/>
  <c r="G9" i="3"/>
  <c r="F534" i="7"/>
  <c r="D172" i="3"/>
  <c r="H105" i="3"/>
  <c r="F103" i="3"/>
  <c r="H71" i="3"/>
  <c r="H21" i="3"/>
  <c r="G319" i="4"/>
  <c r="G336" i="4" s="1"/>
  <c r="H196" i="4"/>
  <c r="H212" i="4" s="1"/>
  <c r="H242" i="4" s="1"/>
  <c r="H171" i="4"/>
  <c r="H231" i="5"/>
  <c r="H243" i="5" s="1"/>
  <c r="H265" i="5" s="1"/>
  <c r="H55" i="5"/>
  <c r="H70" i="5" s="1"/>
  <c r="E544" i="7"/>
  <c r="H172" i="3"/>
  <c r="H148" i="3"/>
  <c r="D128" i="3"/>
  <c r="E65" i="3"/>
  <c r="E108" i="3" s="1"/>
  <c r="E323" i="4"/>
  <c r="E325" i="4" s="1"/>
  <c r="E319" i="4"/>
  <c r="E336" i="4" s="1"/>
  <c r="G132" i="4"/>
  <c r="D121" i="3"/>
  <c r="D130" i="3" s="1"/>
  <c r="D66" i="3"/>
  <c r="D74" i="3" s="1"/>
  <c r="H65" i="3"/>
  <c r="H75" i="3" s="1"/>
  <c r="D65" i="3"/>
  <c r="D109" i="3" s="1"/>
  <c r="F64" i="3"/>
  <c r="F9" i="3"/>
  <c r="H9" i="3"/>
  <c r="F550" i="7"/>
  <c r="D572" i="7" s="1"/>
  <c r="G541" i="7"/>
  <c r="D80" i="5"/>
  <c r="D95" i="5" s="1"/>
  <c r="H76" i="3"/>
  <c r="C266" i="2"/>
  <c r="C316" i="2" s="1"/>
  <c r="E40" i="6"/>
  <c r="H121" i="3"/>
  <c r="H130" i="3" s="1"/>
  <c r="H8" i="3"/>
  <c r="H41" i="3" s="1"/>
  <c r="H325" i="4"/>
  <c r="E336" i="5"/>
  <c r="I168" i="1"/>
  <c r="G124" i="2" s="1"/>
  <c r="I170" i="1"/>
  <c r="G126" i="2" s="1"/>
  <c r="E266" i="2"/>
  <c r="E316" i="2" s="1"/>
  <c r="H82" i="4"/>
  <c r="H83" i="4" s="1"/>
  <c r="H25" i="6"/>
  <c r="F149" i="3"/>
  <c r="F146" i="3"/>
  <c r="F311" i="4"/>
  <c r="G336" i="5"/>
  <c r="G233" i="6"/>
  <c r="F128" i="3"/>
  <c r="F80" i="3"/>
  <c r="F79" i="3"/>
  <c r="F322" i="5"/>
  <c r="H66" i="3"/>
  <c r="H74" i="3" s="1"/>
  <c r="H111" i="4"/>
  <c r="H114" i="4" s="1"/>
  <c r="G24" i="5"/>
  <c r="G39" i="5" s="1"/>
  <c r="G111" i="4"/>
  <c r="G114" i="4" s="1"/>
  <c r="D70" i="5"/>
  <c r="E67" i="3"/>
  <c r="D9" i="3"/>
  <c r="E231" i="5"/>
  <c r="E243" i="5" s="1"/>
  <c r="E276" i="5" s="1"/>
  <c r="D67" i="3"/>
  <c r="D56" i="3"/>
  <c r="D148" i="3"/>
  <c r="D373" i="4"/>
  <c r="D319" i="4"/>
  <c r="D336" i="4" s="1"/>
  <c r="D8" i="3"/>
  <c r="D41" i="3" s="1"/>
  <c r="D323" i="4"/>
  <c r="D325" i="4" s="1"/>
  <c r="E528" i="7"/>
  <c r="E172" i="3"/>
  <c r="E148" i="3"/>
  <c r="E119" i="3"/>
  <c r="E56" i="3"/>
  <c r="E15" i="3"/>
  <c r="E223" i="5"/>
  <c r="E196" i="4"/>
  <c r="E212" i="4" s="1"/>
  <c r="E257" i="4" s="1"/>
  <c r="E146" i="3"/>
  <c r="E121" i="3"/>
  <c r="E130" i="3" s="1"/>
  <c r="E79" i="3"/>
  <c r="E71" i="3"/>
  <c r="E21" i="3"/>
  <c r="E149" i="3"/>
  <c r="E80" i="3"/>
  <c r="E311" i="4"/>
  <c r="E589" i="7"/>
  <c r="E567" i="7"/>
  <c r="E550" i="7"/>
  <c r="D560" i="7" s="1"/>
  <c r="E580" i="7"/>
  <c r="E559" i="7"/>
  <c r="D71" i="3"/>
  <c r="D49" i="3"/>
  <c r="D196" i="4"/>
  <c r="D212" i="4" s="1"/>
  <c r="D242" i="4" s="1"/>
  <c r="D184" i="4"/>
  <c r="D231" i="5"/>
  <c r="D243" i="5" s="1"/>
  <c r="D254" i="5" s="1"/>
  <c r="E534" i="7"/>
  <c r="E542" i="7"/>
  <c r="E547" i="7" s="1"/>
  <c r="E591" i="7"/>
  <c r="E572" i="7"/>
  <c r="D149" i="3"/>
  <c r="D146" i="3"/>
  <c r="D119" i="3"/>
  <c r="D103" i="3"/>
  <c r="D80" i="3"/>
  <c r="D79" i="3"/>
  <c r="D21" i="3"/>
  <c r="D15" i="3"/>
  <c r="E598" i="7"/>
  <c r="E577" i="7"/>
  <c r="F55" i="4"/>
  <c r="F367" i="4"/>
  <c r="H106" i="4"/>
  <c r="H107" i="4" s="1"/>
  <c r="H98" i="4" s="1"/>
  <c r="H101" i="4" s="1"/>
  <c r="F334" i="4"/>
  <c r="F172" i="3"/>
  <c r="F119" i="3"/>
  <c r="F71" i="3"/>
  <c r="F15" i="3"/>
  <c r="F171" i="4"/>
  <c r="F106" i="4"/>
  <c r="H40" i="6"/>
  <c r="I550" i="7"/>
  <c r="D599" i="7" s="1"/>
  <c r="H545" i="7"/>
  <c r="H548" i="7" s="1"/>
  <c r="F201" i="6"/>
  <c r="F87" i="6"/>
  <c r="H226" i="5"/>
  <c r="H299" i="5" s="1"/>
  <c r="H310" i="5" s="1"/>
  <c r="H67" i="3"/>
  <c r="F49" i="3"/>
  <c r="F184" i="4"/>
  <c r="H84" i="4"/>
  <c r="H85" i="4" s="1"/>
  <c r="F223" i="5"/>
  <c r="G367" i="4"/>
  <c r="H334" i="4"/>
  <c r="F56" i="3"/>
  <c r="F233" i="6"/>
  <c r="E367" i="4"/>
  <c r="E111" i="4"/>
  <c r="E114" i="4" s="1"/>
  <c r="E118" i="4"/>
  <c r="F110" i="4"/>
  <c r="F113" i="4" s="1"/>
  <c r="F109" i="4"/>
  <c r="F112" i="4" s="1"/>
  <c r="H528" i="7"/>
  <c r="G148" i="3"/>
  <c r="G66" i="3"/>
  <c r="G107" i="3" s="1"/>
  <c r="G196" i="4"/>
  <c r="G212" i="4" s="1"/>
  <c r="H367" i="4"/>
  <c r="G331" i="5"/>
  <c r="G347" i="5" s="1"/>
  <c r="H230" i="5"/>
  <c r="H242" i="5" s="1"/>
  <c r="H253" i="5" s="1"/>
  <c r="G25" i="5"/>
  <c r="G40" i="5" s="1"/>
  <c r="G55" i="5" s="1"/>
  <c r="G105" i="6" s="1"/>
  <c r="F148" i="3"/>
  <c r="G121" i="3"/>
  <c r="G129" i="3" s="1"/>
  <c r="E66" i="3"/>
  <c r="E95" i="3" s="1"/>
  <c r="G56" i="3"/>
  <c r="G21" i="3"/>
  <c r="F196" i="4"/>
  <c r="F289" i="4" s="1"/>
  <c r="F304" i="4" s="1"/>
  <c r="E132" i="4"/>
  <c r="F24" i="4"/>
  <c r="F39" i="4" s="1"/>
  <c r="F334" i="5"/>
  <c r="F336" i="5" s="1"/>
  <c r="F331" i="5"/>
  <c r="F347" i="5" s="1"/>
  <c r="F66" i="3"/>
  <c r="F95" i="3" s="1"/>
  <c r="G67" i="3"/>
  <c r="G65" i="3"/>
  <c r="G75" i="3" s="1"/>
  <c r="G8" i="3"/>
  <c r="G18" i="3" s="1"/>
  <c r="E8" i="3"/>
  <c r="E41" i="3" s="1"/>
  <c r="G231" i="5"/>
  <c r="F342" i="7"/>
  <c r="H314" i="7"/>
  <c r="E334" i="4"/>
  <c r="F24" i="5"/>
  <c r="F39" i="5" s="1"/>
  <c r="F65" i="3"/>
  <c r="F108" i="3" s="1"/>
  <c r="H132" i="4"/>
  <c r="G514" i="7"/>
  <c r="E334" i="7"/>
  <c r="G116" i="4"/>
  <c r="E76" i="3"/>
  <c r="E75" i="3"/>
  <c r="D129" i="3"/>
  <c r="H276" i="5"/>
  <c r="D265" i="5"/>
  <c r="D69" i="5"/>
  <c r="D84" i="5" s="1"/>
  <c r="F40" i="6"/>
  <c r="E24" i="6"/>
  <c r="E69" i="5"/>
  <c r="E84" i="5" s="1"/>
  <c r="G110" i="3"/>
  <c r="F111" i="4"/>
  <c r="F114" i="4" s="1"/>
  <c r="D235" i="7"/>
  <c r="F514" i="7"/>
  <c r="E24" i="4"/>
  <c r="E39" i="4" s="1"/>
  <c r="H336" i="4"/>
  <c r="G491" i="7"/>
  <c r="G528" i="7"/>
  <c r="G483" i="7"/>
  <c r="F231" i="5"/>
  <c r="F323" i="4"/>
  <c r="F325" i="4" s="1"/>
  <c r="F46" i="6"/>
  <c r="G265" i="2"/>
  <c r="G269" i="2" s="1"/>
  <c r="D266" i="2"/>
  <c r="D316" i="2" s="1"/>
  <c r="F32" i="6"/>
  <c r="F104" i="6"/>
  <c r="F139" i="6" s="1"/>
  <c r="F140" i="6" s="1"/>
  <c r="F141" i="6" s="1"/>
  <c r="E267" i="2"/>
  <c r="E363" i="2" s="1"/>
  <c r="F112" i="6"/>
  <c r="C84" i="1"/>
  <c r="G80" i="3"/>
  <c r="F67" i="3"/>
  <c r="F21" i="3"/>
  <c r="E9" i="3"/>
  <c r="F8" i="3"/>
  <c r="D332" i="4"/>
  <c r="D109" i="4"/>
  <c r="D112" i="4" s="1"/>
  <c r="D111" i="4"/>
  <c r="D114" i="4" s="1"/>
  <c r="D110" i="4"/>
  <c r="D113" i="4" s="1"/>
  <c r="H55" i="4"/>
  <c r="H254" i="5"/>
  <c r="D153" i="6"/>
  <c r="F24" i="6"/>
  <c r="F121" i="3"/>
  <c r="F130" i="3" s="1"/>
  <c r="G79" i="3"/>
  <c r="H109" i="4"/>
  <c r="H112" i="4" s="1"/>
  <c r="H110" i="4"/>
  <c r="H113" i="4" s="1"/>
  <c r="D367" i="4"/>
  <c r="D55" i="4"/>
  <c r="E265" i="5"/>
  <c r="F25" i="5"/>
  <c r="F40" i="5" s="1"/>
  <c r="F55" i="5" s="1"/>
  <c r="F70" i="5" s="1"/>
  <c r="G320" i="4"/>
  <c r="G334" i="4" s="1"/>
  <c r="F531" i="7"/>
  <c r="F544" i="7"/>
  <c r="F542" i="7"/>
  <c r="F532" i="7"/>
  <c r="F535" i="7"/>
  <c r="F545" i="7"/>
  <c r="H201" i="6"/>
  <c r="H87" i="6"/>
  <c r="H223" i="5"/>
  <c r="H54" i="6"/>
  <c r="H233" i="6"/>
  <c r="D201" i="6"/>
  <c r="D87" i="6"/>
  <c r="D223" i="5"/>
  <c r="D54" i="6"/>
  <c r="D188" i="4"/>
  <c r="G313" i="7"/>
  <c r="G319" i="7"/>
  <c r="G323" i="7"/>
  <c r="G334" i="7"/>
  <c r="G338" i="7"/>
  <c r="G342" i="7"/>
  <c r="G314" i="7"/>
  <c r="G320" i="7"/>
  <c r="G324" i="7"/>
  <c r="G330" i="7"/>
  <c r="G335" i="7"/>
  <c r="G339" i="7"/>
  <c r="F128" i="6" s="1"/>
  <c r="G343" i="7"/>
  <c r="G315" i="7"/>
  <c r="G325" i="7"/>
  <c r="G336" i="7"/>
  <c r="F129" i="6" s="1"/>
  <c r="G333" i="7"/>
  <c r="G337" i="7"/>
  <c r="G312" i="7"/>
  <c r="G340" i="7"/>
  <c r="G326" i="7"/>
  <c r="G331" i="7"/>
  <c r="G321" i="7"/>
  <c r="G341" i="7"/>
  <c r="G322" i="7"/>
  <c r="D40" i="6"/>
  <c r="F541" i="7"/>
  <c r="H531" i="7"/>
  <c r="H347" i="5"/>
  <c r="F87" i="2"/>
  <c r="D347" i="5"/>
  <c r="G40" i="6"/>
  <c r="E557" i="7"/>
  <c r="E562" i="7"/>
  <c r="E569" i="7"/>
  <c r="E578" i="7"/>
  <c r="E581" i="7"/>
  <c r="E590" i="7"/>
  <c r="E597" i="7"/>
  <c r="E602" i="7"/>
  <c r="E560" i="7"/>
  <c r="E571" i="7"/>
  <c r="E579" i="7"/>
  <c r="E582" i="7"/>
  <c r="E601" i="7"/>
  <c r="E561" i="7"/>
  <c r="E587" i="7"/>
  <c r="E600" i="7"/>
  <c r="E570" i="7"/>
  <c r="E588" i="7"/>
  <c r="E592" i="7"/>
  <c r="G535" i="7"/>
  <c r="G542" i="7"/>
  <c r="G531" i="7"/>
  <c r="G532" i="7"/>
  <c r="G534" i="7"/>
  <c r="G545" i="7"/>
  <c r="E54" i="6"/>
  <c r="E201" i="6"/>
  <c r="E233" i="6"/>
  <c r="E322" i="5"/>
  <c r="E87" i="6"/>
  <c r="H312" i="7"/>
  <c r="H322" i="7"/>
  <c r="H326" i="7"/>
  <c r="H333" i="7"/>
  <c r="H337" i="7"/>
  <c r="H341" i="7"/>
  <c r="H313" i="7"/>
  <c r="H319" i="7"/>
  <c r="H323" i="7"/>
  <c r="H334" i="7"/>
  <c r="H338" i="7"/>
  <c r="H342" i="7"/>
  <c r="H320" i="7"/>
  <c r="H330" i="7"/>
  <c r="H339" i="7"/>
  <c r="G128" i="6" s="1"/>
  <c r="H315" i="7"/>
  <c r="H321" i="7"/>
  <c r="H335" i="7"/>
  <c r="H325" i="7"/>
  <c r="H340" i="7"/>
  <c r="H343" i="7"/>
  <c r="H331" i="7"/>
  <c r="E599" i="7"/>
  <c r="E568" i="7"/>
  <c r="G544" i="7"/>
  <c r="H324" i="7"/>
  <c r="G235" i="7"/>
  <c r="I514" i="7"/>
  <c r="H24" i="5"/>
  <c r="H39" i="5" s="1"/>
  <c r="C235" i="7"/>
  <c r="E514" i="7"/>
  <c r="D24" i="5"/>
  <c r="D39" i="5" s="1"/>
  <c r="F491" i="7"/>
  <c r="F483" i="7"/>
  <c r="F528" i="7"/>
  <c r="E331" i="5"/>
  <c r="E347" i="5" s="1"/>
  <c r="E104" i="6"/>
  <c r="E139" i="6" s="1"/>
  <c r="E140" i="6" s="1"/>
  <c r="E141" i="6" s="1"/>
  <c r="E105" i="6"/>
  <c r="H534" i="7"/>
  <c r="H541" i="7"/>
  <c r="H535" i="7"/>
  <c r="H532" i="7"/>
  <c r="H544" i="7"/>
  <c r="H547" i="7" s="1"/>
  <c r="I315" i="7"/>
  <c r="I321" i="7"/>
  <c r="I325" i="7"/>
  <c r="I331" i="7"/>
  <c r="H177" i="3" s="1"/>
  <c r="I336" i="7"/>
  <c r="H129" i="6" s="1"/>
  <c r="I340" i="7"/>
  <c r="I312" i="7"/>
  <c r="I322" i="7"/>
  <c r="I326" i="7"/>
  <c r="I333" i="7"/>
  <c r="I337" i="7"/>
  <c r="I341" i="7"/>
  <c r="I313" i="7"/>
  <c r="I323" i="7"/>
  <c r="I334" i="7"/>
  <c r="I342" i="7"/>
  <c r="I319" i="7"/>
  <c r="I339" i="7"/>
  <c r="H128" i="6" s="1"/>
  <c r="I343" i="7"/>
  <c r="I314" i="7"/>
  <c r="I330" i="7"/>
  <c r="H174" i="3" s="1"/>
  <c r="I320" i="7"/>
  <c r="I335" i="7"/>
  <c r="E315" i="7"/>
  <c r="E321" i="7"/>
  <c r="E325" i="7"/>
  <c r="E331" i="7"/>
  <c r="E336" i="7"/>
  <c r="D129" i="6" s="1"/>
  <c r="E340" i="7"/>
  <c r="E312" i="7"/>
  <c r="E322" i="7"/>
  <c r="E326" i="7"/>
  <c r="E333" i="7"/>
  <c r="E337" i="7"/>
  <c r="E341" i="7"/>
  <c r="E319" i="7"/>
  <c r="E338" i="7"/>
  <c r="E324" i="7"/>
  <c r="E330" i="7"/>
  <c r="E342" i="7"/>
  <c r="E320" i="7"/>
  <c r="E323" i="7"/>
  <c r="E343" i="7"/>
  <c r="E313" i="7"/>
  <c r="E335" i="7"/>
  <c r="E314" i="7"/>
  <c r="F231" i="7"/>
  <c r="F232" i="7"/>
  <c r="F236" i="7"/>
  <c r="F234" i="7"/>
  <c r="I483" i="7"/>
  <c r="H46" i="6"/>
  <c r="H334" i="5"/>
  <c r="H336" i="5" s="1"/>
  <c r="E483" i="7"/>
  <c r="D46" i="6"/>
  <c r="D334" i="5"/>
  <c r="D336" i="5" s="1"/>
  <c r="F266" i="2"/>
  <c r="F316" i="2" s="1"/>
  <c r="H24" i="6"/>
  <c r="H105" i="6"/>
  <c r="D25" i="6"/>
  <c r="D105" i="6"/>
  <c r="E25" i="6"/>
  <c r="H514" i="7"/>
  <c r="I338" i="7"/>
  <c r="I532" i="7"/>
  <c r="I545" i="7"/>
  <c r="I541" i="7"/>
  <c r="I542" i="7"/>
  <c r="I544" i="7"/>
  <c r="E532" i="7"/>
  <c r="E545" i="7"/>
  <c r="G54" i="6"/>
  <c r="G87" i="6"/>
  <c r="F314" i="7"/>
  <c r="F320" i="7"/>
  <c r="F324" i="7"/>
  <c r="F330" i="7"/>
  <c r="F354" i="7" s="1"/>
  <c r="F335" i="7"/>
  <c r="F339" i="7"/>
  <c r="E128" i="6" s="1"/>
  <c r="F343" i="7"/>
  <c r="F315" i="7"/>
  <c r="F350" i="7" s="1"/>
  <c r="F321" i="7"/>
  <c r="F325" i="7"/>
  <c r="F331" i="7"/>
  <c r="F336" i="7"/>
  <c r="E129" i="6" s="1"/>
  <c r="F340" i="7"/>
  <c r="F312" i="7"/>
  <c r="F322" i="7"/>
  <c r="F333" i="7"/>
  <c r="F341" i="7"/>
  <c r="F313" i="7"/>
  <c r="F326" i="7"/>
  <c r="F334" i="7"/>
  <c r="F337" i="7"/>
  <c r="F323" i="7"/>
  <c r="F338" i="7"/>
  <c r="E232" i="7"/>
  <c r="E236" i="7"/>
  <c r="E233" i="7"/>
  <c r="E234" i="7"/>
  <c r="E231" i="7"/>
  <c r="G46" i="6"/>
  <c r="H483" i="7"/>
  <c r="H491" i="7"/>
  <c r="G80" i="5" s="1"/>
  <c r="G104" i="6"/>
  <c r="G139" i="6" s="1"/>
  <c r="G140" i="6" s="1"/>
  <c r="G141" i="6" s="1"/>
  <c r="G112" i="6"/>
  <c r="G24" i="6"/>
  <c r="E541" i="7"/>
  <c r="E535" i="7"/>
  <c r="E531" i="7"/>
  <c r="D276" i="5" l="1"/>
  <c r="D304" i="5"/>
  <c r="D315" i="5" s="1"/>
  <c r="H108" i="3"/>
  <c r="G150" i="3"/>
  <c r="G152" i="3" s="1"/>
  <c r="G153" i="3" s="1"/>
  <c r="H35" i="4"/>
  <c r="H50" i="4" s="1"/>
  <c r="H65" i="4" s="1"/>
  <c r="F74" i="4"/>
  <c r="F81" i="4" s="1"/>
  <c r="F72" i="4"/>
  <c r="F79" i="4" s="1"/>
  <c r="D75" i="3"/>
  <c r="D588" i="7"/>
  <c r="F150" i="3"/>
  <c r="F152" i="3" s="1"/>
  <c r="F154" i="3" s="1"/>
  <c r="D150" i="3"/>
  <c r="D152" i="3" s="1"/>
  <c r="D73" i="4"/>
  <c r="D80" i="4" s="1"/>
  <c r="H99" i="4"/>
  <c r="H102" i="4" s="1"/>
  <c r="D122" i="3"/>
  <c r="D51" i="3"/>
  <c r="D83" i="4"/>
  <c r="D68" i="4" s="1"/>
  <c r="D75" i="4" s="1"/>
  <c r="H289" i="4"/>
  <c r="H304" i="4" s="1"/>
  <c r="H150" i="3"/>
  <c r="H152" i="3" s="1"/>
  <c r="H153" i="3" s="1"/>
  <c r="E227" i="4"/>
  <c r="E109" i="3"/>
  <c r="H257" i="4"/>
  <c r="H964" i="5"/>
  <c r="G108" i="3"/>
  <c r="D18" i="3"/>
  <c r="H227" i="4"/>
  <c r="D580" i="7"/>
  <c r="D582" i="7"/>
  <c r="D589" i="7"/>
  <c r="H529" i="5"/>
  <c r="D581" i="7"/>
  <c r="D95" i="3"/>
  <c r="D35" i="4"/>
  <c r="D50" i="4" s="1"/>
  <c r="D65" i="4" s="1"/>
  <c r="D177" i="3"/>
  <c r="D577" i="7"/>
  <c r="D592" i="7"/>
  <c r="H71" i="4"/>
  <c r="H78" i="4" s="1"/>
  <c r="E98" i="4"/>
  <c r="E101" i="4" s="1"/>
  <c r="D107" i="3"/>
  <c r="D24" i="6"/>
  <c r="D578" i="7"/>
  <c r="D571" i="7"/>
  <c r="D561" i="7"/>
  <c r="D591" i="7"/>
  <c r="D100" i="4"/>
  <c r="D103" i="4" s="1"/>
  <c r="D99" i="4"/>
  <c r="D102" i="4" s="1"/>
  <c r="E100" i="4"/>
  <c r="E103" i="4" s="1"/>
  <c r="E74" i="3"/>
  <c r="D72" i="4"/>
  <c r="D79" i="4" s="1"/>
  <c r="F83" i="4"/>
  <c r="F68" i="4" s="1"/>
  <c r="F75" i="4" s="1"/>
  <c r="D590" i="7"/>
  <c r="F71" i="4"/>
  <c r="F78" i="4" s="1"/>
  <c r="F73" i="4"/>
  <c r="F80" i="4" s="1"/>
  <c r="G76" i="3"/>
  <c r="E18" i="3"/>
  <c r="H129" i="3"/>
  <c r="D570" i="7"/>
  <c r="D568" i="7"/>
  <c r="D567" i="7"/>
  <c r="D450" i="5"/>
  <c r="D597" i="7"/>
  <c r="D964" i="5"/>
  <c r="H790" i="5"/>
  <c r="F109" i="3"/>
  <c r="E548" i="7"/>
  <c r="D104" i="6"/>
  <c r="D139" i="6" s="1"/>
  <c r="D140" i="6" s="1"/>
  <c r="D141" i="6" s="1"/>
  <c r="F155" i="3"/>
  <c r="D74" i="4"/>
  <c r="D81" i="4" s="1"/>
  <c r="D71" i="4"/>
  <c r="D78" i="4" s="1"/>
  <c r="H109" i="3"/>
  <c r="E289" i="4"/>
  <c r="E304" i="4" s="1"/>
  <c r="H877" i="5"/>
  <c r="H304" i="5"/>
  <c r="H315" i="5" s="1"/>
  <c r="H104" i="6"/>
  <c r="H139" i="6" s="1"/>
  <c r="H140" i="6" s="1"/>
  <c r="H141" i="6" s="1"/>
  <c r="H74" i="4"/>
  <c r="H81" i="4" s="1"/>
  <c r="E72" i="4"/>
  <c r="E79" i="4" s="1"/>
  <c r="E71" i="4"/>
  <c r="E78" i="4" s="1"/>
  <c r="E83" i="4"/>
  <c r="E73" i="4"/>
  <c r="E80" i="4" s="1"/>
  <c r="E304" i="5"/>
  <c r="E315" i="5" s="1"/>
  <c r="D569" i="7"/>
  <c r="D598" i="7"/>
  <c r="E254" i="5"/>
  <c r="D257" i="4"/>
  <c r="D108" i="3"/>
  <c r="E74" i="4"/>
  <c r="E81" i="4" s="1"/>
  <c r="D616" i="5"/>
  <c r="D76" i="3"/>
  <c r="D227" i="4"/>
  <c r="G70" i="5"/>
  <c r="F107" i="3"/>
  <c r="H616" i="5"/>
  <c r="H55" i="3"/>
  <c r="H95" i="5"/>
  <c r="H450" i="5"/>
  <c r="H1051" i="5"/>
  <c r="F74" i="3"/>
  <c r="H18" i="3"/>
  <c r="H122" i="3"/>
  <c r="H107" i="3"/>
  <c r="G74" i="3"/>
  <c r="H95" i="3"/>
  <c r="H51" i="3"/>
  <c r="F212" i="4"/>
  <c r="F227" i="4" s="1"/>
  <c r="G168" i="1"/>
  <c r="E124" i="2" s="1"/>
  <c r="G170" i="1"/>
  <c r="E126" i="2" s="1"/>
  <c r="H168" i="1"/>
  <c r="F124" i="2" s="1"/>
  <c r="H170" i="1"/>
  <c r="F126" i="2" s="1"/>
  <c r="G109" i="3"/>
  <c r="G55" i="3"/>
  <c r="G25" i="6"/>
  <c r="D600" i="7"/>
  <c r="G155" i="3"/>
  <c r="E107" i="3"/>
  <c r="E122" i="3"/>
  <c r="G350" i="7"/>
  <c r="E348" i="7"/>
  <c r="E361" i="7"/>
  <c r="E372" i="7" s="1"/>
  <c r="E350" i="7"/>
  <c r="G356" i="7"/>
  <c r="G367" i="7" s="1"/>
  <c r="G360" i="7"/>
  <c r="G371" i="7" s="1"/>
  <c r="G349" i="7"/>
  <c r="G358" i="7"/>
  <c r="G369" i="7" s="1"/>
  <c r="G378" i="7" s="1"/>
  <c r="G411" i="7" s="1"/>
  <c r="H264" i="5"/>
  <c r="H360" i="7"/>
  <c r="H371" i="7" s="1"/>
  <c r="H348" i="7"/>
  <c r="H361" i="7"/>
  <c r="H372" i="7" s="1"/>
  <c r="H275" i="5"/>
  <c r="D140" i="3"/>
  <c r="G355" i="7"/>
  <c r="G366" i="7" s="1"/>
  <c r="G426" i="7" s="1"/>
  <c r="G482" i="7" s="1"/>
  <c r="H238" i="5"/>
  <c r="H249" i="5" s="1"/>
  <c r="I349" i="7"/>
  <c r="I357" i="7"/>
  <c r="I368" i="7" s="1"/>
  <c r="H349" i="7"/>
  <c r="I492" i="7"/>
  <c r="I493" i="7" s="1"/>
  <c r="G357" i="7"/>
  <c r="G368" i="7" s="1"/>
  <c r="G361" i="7"/>
  <c r="G372" i="7" s="1"/>
  <c r="F130" i="6"/>
  <c r="F173" i="6" s="1"/>
  <c r="G348" i="7"/>
  <c r="E242" i="4"/>
  <c r="E55" i="3"/>
  <c r="D289" i="4"/>
  <c r="D304" i="4" s="1"/>
  <c r="D790" i="5"/>
  <c r="D55" i="3"/>
  <c r="E129" i="3"/>
  <c r="E131" i="3" s="1"/>
  <c r="E132" i="3" s="1"/>
  <c r="E150" i="3"/>
  <c r="E152" i="3" s="1"/>
  <c r="D154" i="3"/>
  <c r="D155" i="3"/>
  <c r="D153" i="3"/>
  <c r="D558" i="7"/>
  <c r="D557" i="7"/>
  <c r="D562" i="7"/>
  <c r="D559" i="7"/>
  <c r="H100" i="4"/>
  <c r="H103" i="4" s="1"/>
  <c r="H73" i="4"/>
  <c r="H80" i="4" s="1"/>
  <c r="D601" i="7"/>
  <c r="G289" i="4"/>
  <c r="G304" i="4" s="1"/>
  <c r="D602" i="7"/>
  <c r="H72" i="4"/>
  <c r="H79" i="4" s="1"/>
  <c r="F100" i="4"/>
  <c r="F103" i="4" s="1"/>
  <c r="F107" i="4"/>
  <c r="F356" i="7"/>
  <c r="F367" i="7" s="1"/>
  <c r="F349" i="7"/>
  <c r="G131" i="3"/>
  <c r="H303" i="5"/>
  <c r="H314" i="5" s="1"/>
  <c r="G95" i="3"/>
  <c r="F75" i="3"/>
  <c r="E51" i="3"/>
  <c r="G243" i="5"/>
  <c r="G304" i="5"/>
  <c r="G315" i="5" s="1"/>
  <c r="G227" i="4"/>
  <c r="G242" i="4"/>
  <c r="G257" i="4"/>
  <c r="G130" i="6"/>
  <c r="G180" i="6" s="1"/>
  <c r="G130" i="3"/>
  <c r="G122" i="3"/>
  <c r="E109" i="4"/>
  <c r="E112" i="4" s="1"/>
  <c r="E110" i="4"/>
  <c r="E113" i="4" s="1"/>
  <c r="I360" i="7"/>
  <c r="I371" i="7" s="1"/>
  <c r="I359" i="7"/>
  <c r="I370" i="7" s="1"/>
  <c r="I379" i="7" s="1"/>
  <c r="I412" i="7" s="1"/>
  <c r="F76" i="3"/>
  <c r="G41" i="3"/>
  <c r="G51" i="3"/>
  <c r="D130" i="6"/>
  <c r="D180" i="6" s="1"/>
  <c r="D529" i="5"/>
  <c r="D703" i="5"/>
  <c r="D1051" i="5"/>
  <c r="D877" i="5"/>
  <c r="F365" i="7"/>
  <c r="F327" i="7"/>
  <c r="F492" i="7"/>
  <c r="F493" i="7" s="1"/>
  <c r="E35" i="4"/>
  <c r="E50" i="4" s="1"/>
  <c r="E65" i="4" s="1"/>
  <c r="E177" i="3"/>
  <c r="E174" i="3"/>
  <c r="E80" i="5"/>
  <c r="G95" i="5"/>
  <c r="G529" i="5"/>
  <c r="G790" i="5"/>
  <c r="G1051" i="5"/>
  <c r="G703" i="5"/>
  <c r="G964" i="5"/>
  <c r="G450" i="5"/>
  <c r="G877" i="5"/>
  <c r="G616" i="5"/>
  <c r="G153" i="6"/>
  <c r="F153" i="6"/>
  <c r="F41" i="3"/>
  <c r="F18" i="3"/>
  <c r="F51" i="3"/>
  <c r="F55" i="3"/>
  <c r="G140" i="3"/>
  <c r="I538" i="7"/>
  <c r="I537" i="7"/>
  <c r="I316" i="7"/>
  <c r="I347" i="7"/>
  <c r="H357" i="7"/>
  <c r="H368" i="7" s="1"/>
  <c r="G548" i="7"/>
  <c r="G547" i="7"/>
  <c r="F547" i="7"/>
  <c r="F548" i="7"/>
  <c r="D174" i="3"/>
  <c r="H131" i="3"/>
  <c r="H132" i="3" s="1"/>
  <c r="H492" i="7"/>
  <c r="H493" i="7" s="1"/>
  <c r="G35" i="4"/>
  <c r="G50" i="4" s="1"/>
  <c r="G65" i="4" s="1"/>
  <c r="G177" i="3"/>
  <c r="G174" i="3"/>
  <c r="E130" i="6"/>
  <c r="E180" i="6" s="1"/>
  <c r="F361" i="7"/>
  <c r="F372" i="7" s="1"/>
  <c r="F357" i="7"/>
  <c r="F368" i="7" s="1"/>
  <c r="F359" i="7"/>
  <c r="F370" i="7" s="1"/>
  <c r="F379" i="7" s="1"/>
  <c r="E230" i="5"/>
  <c r="F168" i="1"/>
  <c r="D124" i="2" s="1"/>
  <c r="E226" i="5"/>
  <c r="F170" i="1"/>
  <c r="D126" i="2" s="1"/>
  <c r="I547" i="7"/>
  <c r="I548" i="7"/>
  <c r="H130" i="6"/>
  <c r="H173" i="6" s="1"/>
  <c r="E349" i="7"/>
  <c r="E358" i="7"/>
  <c r="E369" i="7" s="1"/>
  <c r="E378" i="7" s="1"/>
  <c r="E359" i="7"/>
  <c r="E370" i="7" s="1"/>
  <c r="E379" i="7" s="1"/>
  <c r="D226" i="5"/>
  <c r="D230" i="5"/>
  <c r="E170" i="1"/>
  <c r="C126" i="2" s="1"/>
  <c r="E168" i="1"/>
  <c r="C124" i="2" s="1"/>
  <c r="E316" i="7"/>
  <c r="E347" i="7"/>
  <c r="E360" i="7"/>
  <c r="I355" i="7"/>
  <c r="I366" i="7" s="1"/>
  <c r="H145" i="6"/>
  <c r="H146" i="6" s="1"/>
  <c r="H147" i="6" s="1"/>
  <c r="H153" i="6"/>
  <c r="I358" i="7"/>
  <c r="I369" i="7" s="1"/>
  <c r="I378" i="7" s="1"/>
  <c r="I344" i="7"/>
  <c r="I356" i="7"/>
  <c r="I367" i="7" s="1"/>
  <c r="G234" i="7"/>
  <c r="G231" i="7"/>
  <c r="G233" i="7"/>
  <c r="G232" i="7"/>
  <c r="G236" i="7"/>
  <c r="H356" i="7"/>
  <c r="H367" i="7" s="1"/>
  <c r="H355" i="7"/>
  <c r="H366" i="7" s="1"/>
  <c r="H358" i="7"/>
  <c r="H369" i="7" s="1"/>
  <c r="H378" i="7" s="1"/>
  <c r="H316" i="7"/>
  <c r="H347" i="7"/>
  <c r="E492" i="7"/>
  <c r="E493" i="7" s="1"/>
  <c r="G327" i="7"/>
  <c r="G354" i="7"/>
  <c r="D163" i="6"/>
  <c r="F25" i="6"/>
  <c r="F105" i="6"/>
  <c r="H68" i="4"/>
  <c r="H75" i="4" s="1"/>
  <c r="H69" i="4"/>
  <c r="H76" i="4" s="1"/>
  <c r="H70" i="4"/>
  <c r="H77" i="4" s="1"/>
  <c r="F140" i="3"/>
  <c r="E228" i="7"/>
  <c r="E229" i="7"/>
  <c r="E230" i="7"/>
  <c r="E538" i="7"/>
  <c r="E537" i="7"/>
  <c r="E327" i="7"/>
  <c r="E354" i="7"/>
  <c r="F537" i="7"/>
  <c r="F538" i="7"/>
  <c r="F122" i="3"/>
  <c r="F129" i="3"/>
  <c r="F243" i="5"/>
  <c r="F304" i="5"/>
  <c r="F315" i="5" s="1"/>
  <c r="D233" i="7"/>
  <c r="D234" i="7"/>
  <c r="D232" i="7"/>
  <c r="D236" i="7"/>
  <c r="D231" i="7"/>
  <c r="D131" i="3"/>
  <c r="D132" i="3" s="1"/>
  <c r="F344" i="7"/>
  <c r="E357" i="7"/>
  <c r="E368" i="7" s="1"/>
  <c r="G347" i="7"/>
  <c r="G316" i="7"/>
  <c r="D204" i="4"/>
  <c r="D281" i="4"/>
  <c r="D296" i="4" s="1"/>
  <c r="F358" i="7"/>
  <c r="F369" i="7" s="1"/>
  <c r="F378" i="7" s="1"/>
  <c r="F348" i="7"/>
  <c r="F316" i="7"/>
  <c r="F347" i="7"/>
  <c r="F360" i="7"/>
  <c r="E140" i="3"/>
  <c r="E153" i="6"/>
  <c r="F355" i="7"/>
  <c r="F366" i="7" s="1"/>
  <c r="F228" i="7"/>
  <c r="F230" i="7"/>
  <c r="F229" i="7"/>
  <c r="E355" i="7"/>
  <c r="E366" i="7" s="1"/>
  <c r="E344" i="7"/>
  <c r="E356" i="7"/>
  <c r="E367" i="7" s="1"/>
  <c r="I354" i="7"/>
  <c r="I327" i="7"/>
  <c r="I348" i="7"/>
  <c r="I361" i="7"/>
  <c r="I372" i="7" s="1"/>
  <c r="I350" i="7"/>
  <c r="H537" i="7"/>
  <c r="H538" i="7"/>
  <c r="C234" i="7"/>
  <c r="C231" i="7"/>
  <c r="C232" i="7"/>
  <c r="C233" i="7"/>
  <c r="C236" i="7"/>
  <c r="H359" i="7"/>
  <c r="H370" i="7" s="1"/>
  <c r="H379" i="7" s="1"/>
  <c r="G226" i="5"/>
  <c r="G230" i="5"/>
  <c r="H350" i="7"/>
  <c r="H327" i="7"/>
  <c r="H354" i="7"/>
  <c r="H344" i="7"/>
  <c r="G537" i="7"/>
  <c r="G538" i="7"/>
  <c r="G106" i="4"/>
  <c r="G82" i="4"/>
  <c r="G344" i="7"/>
  <c r="G359" i="7"/>
  <c r="G370" i="7" s="1"/>
  <c r="G379" i="7" s="1"/>
  <c r="F226" i="5"/>
  <c r="F230" i="5"/>
  <c r="G492" i="7"/>
  <c r="G493" i="7" s="1"/>
  <c r="F80" i="5"/>
  <c r="F35" i="4"/>
  <c r="F50" i="4" s="1"/>
  <c r="F65" i="4" s="1"/>
  <c r="F177" i="3"/>
  <c r="F174" i="3"/>
  <c r="H140" i="3"/>
  <c r="F242" i="4"/>
  <c r="G110" i="4"/>
  <c r="G113" i="4" s="1"/>
  <c r="G109" i="4"/>
  <c r="G112" i="4" s="1"/>
  <c r="G154" i="3" l="1"/>
  <c r="D69" i="4"/>
  <c r="D76" i="4" s="1"/>
  <c r="G156" i="3"/>
  <c r="G175" i="3" s="1"/>
  <c r="H155" i="3"/>
  <c r="D70" i="4"/>
  <c r="D77" i="4" s="1"/>
  <c r="F153" i="3"/>
  <c r="F156" i="3" s="1"/>
  <c r="F175" i="3" s="1"/>
  <c r="H154" i="3"/>
  <c r="F69" i="4"/>
  <c r="F76" i="4" s="1"/>
  <c r="F70" i="4"/>
  <c r="F77" i="4" s="1"/>
  <c r="G132" i="3"/>
  <c r="E70" i="4"/>
  <c r="E77" i="4" s="1"/>
  <c r="E69" i="4"/>
  <c r="E76" i="4" s="1"/>
  <c r="E68" i="4"/>
  <c r="E75" i="4" s="1"/>
  <c r="F257" i="4"/>
  <c r="G157" i="3"/>
  <c r="G160" i="3" s="1"/>
  <c r="G145" i="6"/>
  <c r="G146" i="6" s="1"/>
  <c r="G147" i="6" s="1"/>
  <c r="G149" i="6" s="1"/>
  <c r="G175" i="6"/>
  <c r="G433" i="7"/>
  <c r="G470" i="7" s="1"/>
  <c r="F351" i="7"/>
  <c r="G173" i="6"/>
  <c r="E351" i="7"/>
  <c r="H260" i="5"/>
  <c r="D175" i="6"/>
  <c r="F180" i="6"/>
  <c r="F175" i="6"/>
  <c r="I434" i="7"/>
  <c r="I471" i="7" s="1"/>
  <c r="F145" i="6"/>
  <c r="F146" i="6" s="1"/>
  <c r="F147" i="6" s="1"/>
  <c r="F148" i="6" s="1"/>
  <c r="F150" i="6" s="1"/>
  <c r="H180" i="6"/>
  <c r="G351" i="7"/>
  <c r="H271" i="5"/>
  <c r="D156" i="3"/>
  <c r="D157" i="3" s="1"/>
  <c r="D158" i="3" s="1"/>
  <c r="E155" i="3"/>
  <c r="E153" i="3"/>
  <c r="E154" i="3"/>
  <c r="F99" i="4"/>
  <c r="F102" i="4" s="1"/>
  <c r="F98" i="4"/>
  <c r="F101" i="4" s="1"/>
  <c r="E145" i="6"/>
  <c r="E146" i="6" s="1"/>
  <c r="E147" i="6" s="1"/>
  <c r="E148" i="6" s="1"/>
  <c r="E150" i="6" s="1"/>
  <c r="G254" i="5"/>
  <c r="G265" i="5"/>
  <c r="G276" i="5"/>
  <c r="G376" i="7"/>
  <c r="G431" i="7" s="1"/>
  <c r="D145" i="6"/>
  <c r="D146" i="6" s="1"/>
  <c r="D147" i="6" s="1"/>
  <c r="D148" i="6" s="1"/>
  <c r="D150" i="6" s="1"/>
  <c r="D173" i="6"/>
  <c r="D164" i="6"/>
  <c r="D166" i="6" s="1"/>
  <c r="D167" i="6" s="1"/>
  <c r="D168" i="6" s="1"/>
  <c r="E426" i="7"/>
  <c r="E482" i="7" s="1"/>
  <c r="F276" i="5"/>
  <c r="F254" i="5"/>
  <c r="F265" i="5"/>
  <c r="H426" i="7"/>
  <c r="H149" i="6"/>
  <c r="H148" i="6"/>
  <c r="H150" i="6" s="1"/>
  <c r="D299" i="5"/>
  <c r="D310" i="5" s="1"/>
  <c r="D238" i="5"/>
  <c r="E303" i="5"/>
  <c r="E314" i="5" s="1"/>
  <c r="E242" i="5"/>
  <c r="E175" i="6"/>
  <c r="G421" i="7"/>
  <c r="I351" i="7"/>
  <c r="E173" i="6"/>
  <c r="F163" i="6"/>
  <c r="F164" i="6" s="1"/>
  <c r="F166" i="6" s="1"/>
  <c r="F167" i="6" s="1"/>
  <c r="F168" i="6" s="1"/>
  <c r="E95" i="5"/>
  <c r="E703" i="5"/>
  <c r="E790" i="5"/>
  <c r="E529" i="5"/>
  <c r="E964" i="5"/>
  <c r="E450" i="5"/>
  <c r="E616" i="5"/>
  <c r="E877" i="5"/>
  <c r="E1051" i="5"/>
  <c r="F362" i="7"/>
  <c r="F450" i="5"/>
  <c r="F529" i="5"/>
  <c r="F703" i="5"/>
  <c r="F877" i="5"/>
  <c r="F1051" i="5"/>
  <c r="F616" i="5"/>
  <c r="F95" i="5"/>
  <c r="F964" i="5"/>
  <c r="F790" i="5"/>
  <c r="F238" i="5"/>
  <c r="F299" i="5"/>
  <c r="F310" i="5" s="1"/>
  <c r="G107" i="4"/>
  <c r="G100" i="4"/>
  <c r="G103" i="4" s="1"/>
  <c r="H362" i="7"/>
  <c r="H365" i="7"/>
  <c r="G242" i="5"/>
  <c r="G303" i="5"/>
  <c r="G314" i="5" s="1"/>
  <c r="C230" i="7"/>
  <c r="C229" i="7"/>
  <c r="C228" i="7"/>
  <c r="I362" i="7"/>
  <c r="I365" i="7"/>
  <c r="E163" i="6"/>
  <c r="E164" i="6" s="1"/>
  <c r="F371" i="7"/>
  <c r="F411" i="7"/>
  <c r="F433" i="7"/>
  <c r="D219" i="4"/>
  <c r="D234" i="4"/>
  <c r="D249" i="4"/>
  <c r="E365" i="7"/>
  <c r="E362" i="7"/>
  <c r="G362" i="7"/>
  <c r="G365" i="7"/>
  <c r="G230" i="7"/>
  <c r="G229" i="7"/>
  <c r="G228" i="7"/>
  <c r="E371" i="7"/>
  <c r="E433" i="7"/>
  <c r="E411" i="7"/>
  <c r="E299" i="5"/>
  <c r="E310" i="5" s="1"/>
  <c r="E238" i="5"/>
  <c r="G163" i="6"/>
  <c r="G164" i="6" s="1"/>
  <c r="G412" i="7"/>
  <c r="G434" i="7"/>
  <c r="D229" i="7"/>
  <c r="D230" i="7"/>
  <c r="D228" i="7"/>
  <c r="H411" i="7"/>
  <c r="H433" i="7"/>
  <c r="H163" i="6"/>
  <c r="H164" i="6" s="1"/>
  <c r="D242" i="5"/>
  <c r="D303" i="5"/>
  <c r="D314" i="5" s="1"/>
  <c r="G238" i="5"/>
  <c r="G299" i="5"/>
  <c r="G310" i="5" s="1"/>
  <c r="F242" i="5"/>
  <c r="F303" i="5"/>
  <c r="F314" i="5" s="1"/>
  <c r="G72" i="4"/>
  <c r="G79" i="4" s="1"/>
  <c r="G73" i="4"/>
  <c r="G80" i="4" s="1"/>
  <c r="G74" i="4"/>
  <c r="G81" i="4" s="1"/>
  <c r="G71" i="4"/>
  <c r="G78" i="4" s="1"/>
  <c r="G83" i="4"/>
  <c r="H412" i="7"/>
  <c r="H434" i="7"/>
  <c r="F426" i="7"/>
  <c r="F482" i="7" s="1"/>
  <c r="F131" i="3"/>
  <c r="F132" i="3" s="1"/>
  <c r="H351" i="7"/>
  <c r="I411" i="7"/>
  <c r="I433" i="7"/>
  <c r="I426" i="7"/>
  <c r="E412" i="7"/>
  <c r="E434" i="7"/>
  <c r="H175" i="6"/>
  <c r="F434" i="7"/>
  <c r="F412" i="7"/>
  <c r="F425" i="7"/>
  <c r="F377" i="7" s="1"/>
  <c r="H156" i="3" l="1"/>
  <c r="H175" i="3" s="1"/>
  <c r="H157" i="3"/>
  <c r="H158" i="3" s="1"/>
  <c r="D175" i="3"/>
  <c r="F157" i="3"/>
  <c r="F160" i="3" s="1"/>
  <c r="G148" i="6"/>
  <c r="G150" i="6" s="1"/>
  <c r="D160" i="3"/>
  <c r="D162" i="3" s="1"/>
  <c r="G158" i="3"/>
  <c r="G162" i="3" s="1"/>
  <c r="G166" i="6"/>
  <c r="G167" i="6" s="1"/>
  <c r="G168" i="6" s="1"/>
  <c r="G169" i="6" s="1"/>
  <c r="G170" i="6" s="1"/>
  <c r="G174" i="6" s="1"/>
  <c r="G176" i="6" s="1"/>
  <c r="G165" i="6"/>
  <c r="D165" i="6"/>
  <c r="F149" i="6"/>
  <c r="F169" i="6" s="1"/>
  <c r="F170" i="6" s="1"/>
  <c r="F174" i="6" s="1"/>
  <c r="F176" i="6" s="1"/>
  <c r="D149" i="6"/>
  <c r="D169" i="6" s="1"/>
  <c r="D170" i="6" s="1"/>
  <c r="D174" i="6" s="1"/>
  <c r="D176" i="6" s="1"/>
  <c r="E149" i="6"/>
  <c r="F165" i="6"/>
  <c r="E421" i="7"/>
  <c r="E423" i="7" s="1"/>
  <c r="E520" i="7" s="1"/>
  <c r="E156" i="3"/>
  <c r="G408" i="7"/>
  <c r="H165" i="6"/>
  <c r="H166" i="6"/>
  <c r="H167" i="6" s="1"/>
  <c r="H168" i="6" s="1"/>
  <c r="H169" i="6" s="1"/>
  <c r="H170" i="6" s="1"/>
  <c r="H174" i="6" s="1"/>
  <c r="H176" i="6" s="1"/>
  <c r="F253" i="5"/>
  <c r="F264" i="5"/>
  <c r="F275" i="5"/>
  <c r="G467" i="7"/>
  <c r="I425" i="7"/>
  <c r="I377" i="7" s="1"/>
  <c r="H425" i="7"/>
  <c r="H377" i="7" s="1"/>
  <c r="G423" i="7"/>
  <c r="G520" i="7" s="1"/>
  <c r="H482" i="7"/>
  <c r="H421" i="7"/>
  <c r="F471" i="7"/>
  <c r="I470" i="7"/>
  <c r="F376" i="7"/>
  <c r="G249" i="5"/>
  <c r="G260" i="5"/>
  <c r="G271" i="5"/>
  <c r="F32" i="5"/>
  <c r="F32" i="4"/>
  <c r="D275" i="5"/>
  <c r="D264" i="5"/>
  <c r="D253" i="5"/>
  <c r="F249" i="5"/>
  <c r="F271" i="5"/>
  <c r="F260" i="5"/>
  <c r="E264" i="5"/>
  <c r="E275" i="5"/>
  <c r="E253" i="5"/>
  <c r="I482" i="7"/>
  <c r="I421" i="7"/>
  <c r="G68" i="4"/>
  <c r="G75" i="4" s="1"/>
  <c r="G69" i="4"/>
  <c r="G76" i="4" s="1"/>
  <c r="G70" i="4"/>
  <c r="G77" i="4" s="1"/>
  <c r="H470" i="7"/>
  <c r="G471" i="7"/>
  <c r="E260" i="5"/>
  <c r="E249" i="5"/>
  <c r="E271" i="5"/>
  <c r="E470" i="7"/>
  <c r="G425" i="7"/>
  <c r="G377" i="7" s="1"/>
  <c r="E425" i="7"/>
  <c r="E377" i="7" s="1"/>
  <c r="H30" i="5"/>
  <c r="H30" i="4"/>
  <c r="E166" i="6"/>
  <c r="E167" i="6" s="1"/>
  <c r="E168" i="6" s="1"/>
  <c r="E165" i="6"/>
  <c r="F410" i="7"/>
  <c r="F432" i="7"/>
  <c r="I376" i="7"/>
  <c r="H471" i="7"/>
  <c r="F470" i="7"/>
  <c r="F421" i="7"/>
  <c r="G253" i="5"/>
  <c r="G275" i="5"/>
  <c r="G264" i="5"/>
  <c r="G99" i="4"/>
  <c r="G102" i="4" s="1"/>
  <c r="G98" i="4"/>
  <c r="G101" i="4" s="1"/>
  <c r="D271" i="5"/>
  <c r="D260" i="5"/>
  <c r="D249" i="5"/>
  <c r="H376" i="7"/>
  <c r="E376" i="7"/>
  <c r="H160" i="3" l="1"/>
  <c r="H162" i="3" s="1"/>
  <c r="F158" i="3"/>
  <c r="F162" i="3" s="1"/>
  <c r="E169" i="6"/>
  <c r="E170" i="6" s="1"/>
  <c r="E174" i="6" s="1"/>
  <c r="E176" i="6" s="1"/>
  <c r="E422" i="7"/>
  <c r="E519" i="7" s="1"/>
  <c r="D35" i="5" s="1"/>
  <c r="D50" i="5" s="1"/>
  <c r="E157" i="3"/>
  <c r="E175" i="3"/>
  <c r="D32" i="5"/>
  <c r="D32" i="4"/>
  <c r="F47" i="4"/>
  <c r="F175" i="4"/>
  <c r="H32" i="5"/>
  <c r="H32" i="4"/>
  <c r="H423" i="7"/>
  <c r="H520" i="7" s="1"/>
  <c r="E408" i="7"/>
  <c r="E380" i="7"/>
  <c r="E431" i="7"/>
  <c r="E32" i="5"/>
  <c r="E32" i="4"/>
  <c r="I380" i="7"/>
  <c r="I408" i="7"/>
  <c r="I431" i="7"/>
  <c r="E410" i="7"/>
  <c r="E432" i="7"/>
  <c r="F30" i="5"/>
  <c r="F30" i="4"/>
  <c r="G32" i="5"/>
  <c r="G32" i="4"/>
  <c r="D30" i="5"/>
  <c r="F152" i="5"/>
  <c r="F47" i="5"/>
  <c r="F431" i="7"/>
  <c r="F380" i="7"/>
  <c r="F408" i="7"/>
  <c r="G422" i="7"/>
  <c r="G519" i="7" s="1"/>
  <c r="I410" i="7"/>
  <c r="I432" i="7"/>
  <c r="F28" i="5"/>
  <c r="F28" i="4"/>
  <c r="H408" i="7"/>
  <c r="H431" i="7"/>
  <c r="H380" i="7"/>
  <c r="F469" i="7"/>
  <c r="H45" i="4"/>
  <c r="H345" i="4"/>
  <c r="H194" i="4"/>
  <c r="H189" i="4"/>
  <c r="G410" i="7"/>
  <c r="G432" i="7"/>
  <c r="G380" i="7"/>
  <c r="F423" i="7"/>
  <c r="F520" i="7" s="1"/>
  <c r="G30" i="4"/>
  <c r="G30" i="5"/>
  <c r="H102" i="5"/>
  <c r="H45" i="5"/>
  <c r="I423" i="7"/>
  <c r="I520" i="7" s="1"/>
  <c r="E30" i="5"/>
  <c r="E30" i="4"/>
  <c r="H410" i="7"/>
  <c r="H432" i="7"/>
  <c r="H32" i="6" l="1"/>
  <c r="H112" i="6"/>
  <c r="D112" i="6"/>
  <c r="D32" i="6"/>
  <c r="E521" i="7"/>
  <c r="D176" i="3"/>
  <c r="D178" i="3" s="1"/>
  <c r="E160" i="3"/>
  <c r="E158" i="3"/>
  <c r="E32" i="6"/>
  <c r="E112" i="6"/>
  <c r="I422" i="7"/>
  <c r="I519" i="7" s="1"/>
  <c r="H35" i="5" s="1"/>
  <c r="H50" i="5" s="1"/>
  <c r="H469" i="7"/>
  <c r="H356" i="5"/>
  <c r="H378" i="5"/>
  <c r="H366" i="5"/>
  <c r="H388" i="5"/>
  <c r="H382" i="7"/>
  <c r="H381" i="7"/>
  <c r="H383" i="7"/>
  <c r="F43" i="4"/>
  <c r="I469" i="7"/>
  <c r="G47" i="5"/>
  <c r="G152" i="5"/>
  <c r="E47" i="4"/>
  <c r="E175" i="4"/>
  <c r="E382" i="7"/>
  <c r="E381" i="7"/>
  <c r="E418" i="7" s="1"/>
  <c r="E383" i="7"/>
  <c r="D47" i="5"/>
  <c r="D152" i="5"/>
  <c r="H101" i="5"/>
  <c r="H116" i="5"/>
  <c r="F422" i="7"/>
  <c r="F519" i="7" s="1"/>
  <c r="G381" i="7"/>
  <c r="G418" i="7" s="1"/>
  <c r="G382" i="7"/>
  <c r="G383" i="7"/>
  <c r="H347" i="4"/>
  <c r="H352" i="4" s="1"/>
  <c r="H348" i="4"/>
  <c r="H349" i="4"/>
  <c r="H354" i="4" s="1"/>
  <c r="H350" i="4"/>
  <c r="H60" i="4" s="1"/>
  <c r="H371" i="4" s="1"/>
  <c r="H372" i="4" s="1"/>
  <c r="H346" i="4"/>
  <c r="H351" i="4" s="1"/>
  <c r="H135" i="4" s="1"/>
  <c r="H127" i="4"/>
  <c r="H126" i="4" s="1"/>
  <c r="E33" i="5"/>
  <c r="E48" i="5" s="1"/>
  <c r="E63" i="5" s="1"/>
  <c r="E33" i="4"/>
  <c r="E48" i="4" s="1"/>
  <c r="E63" i="4" s="1"/>
  <c r="H467" i="7"/>
  <c r="F43" i="5"/>
  <c r="F205" i="5"/>
  <c r="F216" i="5" s="1"/>
  <c r="D189" i="4"/>
  <c r="D45" i="4"/>
  <c r="D345" i="4"/>
  <c r="D194" i="4"/>
  <c r="F45" i="4"/>
  <c r="F345" i="4"/>
  <c r="F194" i="4"/>
  <c r="F189" i="4"/>
  <c r="E469" i="7"/>
  <c r="I382" i="7"/>
  <c r="I381" i="7"/>
  <c r="I383" i="7"/>
  <c r="E152" i="5"/>
  <c r="E47" i="5"/>
  <c r="H47" i="4"/>
  <c r="H175" i="4"/>
  <c r="E194" i="4"/>
  <c r="E189" i="4"/>
  <c r="E45" i="4"/>
  <c r="E345" i="4"/>
  <c r="G45" i="5"/>
  <c r="G102" i="5"/>
  <c r="G469" i="7"/>
  <c r="H282" i="4"/>
  <c r="H297" i="4" s="1"/>
  <c r="H205" i="4"/>
  <c r="G521" i="7"/>
  <c r="F35" i="5"/>
  <c r="F50" i="5" s="1"/>
  <c r="F176" i="3"/>
  <c r="F381" i="7"/>
  <c r="F418" i="7" s="1"/>
  <c r="F382" i="7"/>
  <c r="F383" i="7"/>
  <c r="D102" i="5"/>
  <c r="D45" i="5"/>
  <c r="F45" i="5"/>
  <c r="F102" i="5"/>
  <c r="E467" i="7"/>
  <c r="H152" i="5"/>
  <c r="H47" i="5"/>
  <c r="E45" i="5"/>
  <c r="E102" i="5"/>
  <c r="G189" i="4"/>
  <c r="G45" i="4"/>
  <c r="G345" i="4"/>
  <c r="G194" i="4"/>
  <c r="H210" i="4"/>
  <c r="H287" i="4"/>
  <c r="H302" i="4" s="1"/>
  <c r="F467" i="7"/>
  <c r="G175" i="4"/>
  <c r="G47" i="4"/>
  <c r="I467" i="7"/>
  <c r="H422" i="7"/>
  <c r="H519" i="7" s="1"/>
  <c r="D47" i="4"/>
  <c r="D175" i="4"/>
  <c r="H176" i="3" l="1"/>
  <c r="I521" i="7"/>
  <c r="D163" i="3"/>
  <c r="D166" i="3" s="1"/>
  <c r="D167" i="3" s="1"/>
  <c r="E162" i="3"/>
  <c r="H315" i="4"/>
  <c r="H332" i="4" s="1"/>
  <c r="H373" i="4"/>
  <c r="H188" i="4" s="1"/>
  <c r="H521" i="7"/>
  <c r="G35" i="5"/>
  <c r="G50" i="5" s="1"/>
  <c r="G176" i="3"/>
  <c r="E101" i="5"/>
  <c r="E116" i="5"/>
  <c r="F356" i="5"/>
  <c r="F366" i="5"/>
  <c r="F388" i="5"/>
  <c r="F378" i="5"/>
  <c r="F407" i="7"/>
  <c r="H250" i="4"/>
  <c r="H220" i="4"/>
  <c r="H235" i="4"/>
  <c r="E205" i="4"/>
  <c r="E282" i="4"/>
  <c r="E297" i="4" s="1"/>
  <c r="I384" i="7"/>
  <c r="I409" i="7"/>
  <c r="D287" i="4"/>
  <c r="D302" i="4" s="1"/>
  <c r="D210" i="4"/>
  <c r="G413" i="7"/>
  <c r="F521" i="7"/>
  <c r="E35" i="5"/>
  <c r="E50" i="5" s="1"/>
  <c r="E176" i="3"/>
  <c r="D205" i="5"/>
  <c r="D216" i="5" s="1"/>
  <c r="E417" i="7"/>
  <c r="E500" i="7"/>
  <c r="E499" i="7"/>
  <c r="G205" i="5"/>
  <c r="G216" i="5" s="1"/>
  <c r="H33" i="4"/>
  <c r="H48" i="4" s="1"/>
  <c r="H63" i="4" s="1"/>
  <c r="H33" i="5"/>
  <c r="H48" i="5" s="1"/>
  <c r="H63" i="5" s="1"/>
  <c r="H413" i="7"/>
  <c r="H387" i="5"/>
  <c r="H392" i="5" s="1"/>
  <c r="H391" i="5"/>
  <c r="H396" i="5" s="1"/>
  <c r="H393" i="5"/>
  <c r="H389" i="5"/>
  <c r="H394" i="5" s="1"/>
  <c r="H390" i="5"/>
  <c r="H395" i="5" s="1"/>
  <c r="G348" i="4"/>
  <c r="G346" i="4"/>
  <c r="G351" i="4" s="1"/>
  <c r="G135" i="4" s="1"/>
  <c r="G347" i="4"/>
  <c r="G352" i="4" s="1"/>
  <c r="G127" i="4"/>
  <c r="G126" i="4" s="1"/>
  <c r="G349" i="4"/>
  <c r="G354" i="4" s="1"/>
  <c r="G350" i="4"/>
  <c r="G60" i="4" s="1"/>
  <c r="G371" i="4" s="1"/>
  <c r="G372" i="4" s="1"/>
  <c r="E366" i="5"/>
  <c r="E388" i="5"/>
  <c r="E378" i="5"/>
  <c r="E356" i="5"/>
  <c r="D28" i="5"/>
  <c r="D28" i="4"/>
  <c r="D378" i="5"/>
  <c r="D366" i="5"/>
  <c r="D388" i="5"/>
  <c r="D356" i="5"/>
  <c r="F417" i="7"/>
  <c r="F499" i="7"/>
  <c r="F500" i="7"/>
  <c r="G116" i="5"/>
  <c r="G101" i="5"/>
  <c r="E210" i="4"/>
  <c r="E287" i="4"/>
  <c r="E302" i="4" s="1"/>
  <c r="I418" i="7"/>
  <c r="D33" i="4"/>
  <c r="D48" i="4" s="1"/>
  <c r="D63" i="4" s="1"/>
  <c r="D33" i="5"/>
  <c r="D48" i="5" s="1"/>
  <c r="D63" i="5" s="1"/>
  <c r="F127" i="4"/>
  <c r="F126" i="4" s="1"/>
  <c r="F349" i="4"/>
  <c r="F354" i="4" s="1"/>
  <c r="F58" i="4" s="1"/>
  <c r="F350" i="4"/>
  <c r="F60" i="4" s="1"/>
  <c r="F371" i="4" s="1"/>
  <c r="F372" i="4" s="1"/>
  <c r="F348" i="4"/>
  <c r="F346" i="4"/>
  <c r="F351" i="4" s="1"/>
  <c r="F135" i="4" s="1"/>
  <c r="F347" i="4"/>
  <c r="F352" i="4" s="1"/>
  <c r="D347" i="4"/>
  <c r="D352" i="4" s="1"/>
  <c r="D348" i="4"/>
  <c r="D349" i="4"/>
  <c r="D354" i="4" s="1"/>
  <c r="D350" i="4"/>
  <c r="D60" i="4" s="1"/>
  <c r="D371" i="4" s="1"/>
  <c r="D346" i="4"/>
  <c r="D351" i="4" s="1"/>
  <c r="D135" i="4" s="1"/>
  <c r="D127" i="4"/>
  <c r="D126" i="4" s="1"/>
  <c r="E78" i="5"/>
  <c r="E93" i="5" s="1"/>
  <c r="E33" i="6"/>
  <c r="E113" i="6"/>
  <c r="G500" i="7"/>
  <c r="G417" i="7"/>
  <c r="G499" i="7"/>
  <c r="E407" i="7"/>
  <c r="H384" i="7"/>
  <c r="H397" i="7" s="1"/>
  <c r="H409" i="7"/>
  <c r="H367" i="5"/>
  <c r="H372" i="5" s="1"/>
  <c r="H371" i="5"/>
  <c r="H368" i="5"/>
  <c r="H373" i="5" s="1"/>
  <c r="H369" i="5"/>
  <c r="H374" i="5" s="1"/>
  <c r="H365" i="5"/>
  <c r="H370" i="5" s="1"/>
  <c r="G33" i="5"/>
  <c r="G48" i="5" s="1"/>
  <c r="G63" i="5" s="1"/>
  <c r="G33" i="4"/>
  <c r="G48" i="4" s="1"/>
  <c r="G63" i="4" s="1"/>
  <c r="H28" i="5"/>
  <c r="H28" i="4"/>
  <c r="E28" i="4"/>
  <c r="E28" i="5"/>
  <c r="H240" i="4"/>
  <c r="H255" i="4"/>
  <c r="H225" i="4"/>
  <c r="D101" i="5"/>
  <c r="D116" i="5"/>
  <c r="F409" i="7"/>
  <c r="F384" i="7"/>
  <c r="F397" i="7" s="1"/>
  <c r="G388" i="5"/>
  <c r="G356" i="5"/>
  <c r="G378" i="5"/>
  <c r="G366" i="5"/>
  <c r="E346" i="4"/>
  <c r="E351" i="4" s="1"/>
  <c r="E135" i="4" s="1"/>
  <c r="E350" i="4"/>
  <c r="E60" i="4" s="1"/>
  <c r="E371" i="4" s="1"/>
  <c r="E372" i="4" s="1"/>
  <c r="E127" i="4"/>
  <c r="E126" i="4" s="1"/>
  <c r="E347" i="4"/>
  <c r="E352" i="4" s="1"/>
  <c r="E348" i="4"/>
  <c r="E349" i="4"/>
  <c r="E354" i="4" s="1"/>
  <c r="E205" i="5"/>
  <c r="E216" i="5" s="1"/>
  <c r="I407" i="7"/>
  <c r="F205" i="4"/>
  <c r="F282" i="4"/>
  <c r="F297" i="4" s="1"/>
  <c r="F58" i="5"/>
  <c r="H128" i="4"/>
  <c r="H129" i="4" s="1"/>
  <c r="H357" i="4"/>
  <c r="H353" i="4"/>
  <c r="G407" i="7"/>
  <c r="E413" i="7"/>
  <c r="H407" i="7"/>
  <c r="H382" i="5"/>
  <c r="H379" i="5"/>
  <c r="H383" i="5" s="1"/>
  <c r="H380" i="5"/>
  <c r="H384" i="5" s="1"/>
  <c r="H381" i="5"/>
  <c r="H385" i="5" s="1"/>
  <c r="G210" i="4"/>
  <c r="G287" i="4"/>
  <c r="G302" i="4" s="1"/>
  <c r="G205" i="4"/>
  <c r="G282" i="4"/>
  <c r="G297" i="4" s="1"/>
  <c r="H205" i="5"/>
  <c r="H216" i="5" s="1"/>
  <c r="F116" i="5"/>
  <c r="F101" i="5"/>
  <c r="F413" i="7"/>
  <c r="F178" i="3"/>
  <c r="F163" i="3"/>
  <c r="F166" i="3" s="1"/>
  <c r="F167" i="3" s="1"/>
  <c r="F33" i="5"/>
  <c r="F48" i="5" s="1"/>
  <c r="F63" i="5" s="1"/>
  <c r="F33" i="4"/>
  <c r="F48" i="4" s="1"/>
  <c r="F63" i="4" s="1"/>
  <c r="H178" i="3"/>
  <c r="H163" i="3"/>
  <c r="H166" i="3" s="1"/>
  <c r="H167" i="3" s="1"/>
  <c r="I413" i="7"/>
  <c r="F210" i="4"/>
  <c r="F287" i="4"/>
  <c r="F302" i="4" s="1"/>
  <c r="D205" i="4"/>
  <c r="D282" i="4"/>
  <c r="D297" i="4" s="1"/>
  <c r="G28" i="4"/>
  <c r="G28" i="5"/>
  <c r="H143" i="4"/>
  <c r="H134" i="4"/>
  <c r="H142" i="4" s="1"/>
  <c r="G384" i="7"/>
  <c r="G399" i="7" s="1"/>
  <c r="G409" i="7"/>
  <c r="H103" i="5"/>
  <c r="H117" i="5"/>
  <c r="H118" i="5" s="1"/>
  <c r="H109" i="5" s="1"/>
  <c r="H110" i="5" s="1"/>
  <c r="H107" i="5" s="1"/>
  <c r="H329" i="5" s="1"/>
  <c r="H346" i="5" s="1"/>
  <c r="H433" i="5"/>
  <c r="E409" i="7"/>
  <c r="E384" i="7"/>
  <c r="E397" i="7" s="1"/>
  <c r="H418" i="7"/>
  <c r="H358" i="5"/>
  <c r="H362" i="5" s="1"/>
  <c r="H357" i="5"/>
  <c r="H361" i="5" s="1"/>
  <c r="H360" i="5"/>
  <c r="H359" i="5"/>
  <c r="H363" i="5" s="1"/>
  <c r="F414" i="7" l="1"/>
  <c r="H124" i="4"/>
  <c r="H125" i="4" s="1"/>
  <c r="F399" i="7"/>
  <c r="E399" i="7"/>
  <c r="H136" i="4"/>
  <c r="H313" i="4" s="1"/>
  <c r="G373" i="4"/>
  <c r="G188" i="4" s="1"/>
  <c r="G315" i="4"/>
  <c r="G332" i="4" s="1"/>
  <c r="F373" i="4"/>
  <c r="F188" i="4" s="1"/>
  <c r="F315" i="4"/>
  <c r="F332" i="4" s="1"/>
  <c r="H204" i="4"/>
  <c r="H281" i="4"/>
  <c r="H296" i="4" s="1"/>
  <c r="E315" i="4"/>
  <c r="E332" i="4" s="1"/>
  <c r="E373" i="4"/>
  <c r="E188" i="4" s="1"/>
  <c r="H144" i="4"/>
  <c r="H145" i="4" s="1"/>
  <c r="H140" i="4" s="1"/>
  <c r="H152" i="4"/>
  <c r="G359" i="5"/>
  <c r="G363" i="5" s="1"/>
  <c r="G357" i="5"/>
  <c r="G361" i="5" s="1"/>
  <c r="G360" i="5"/>
  <c r="G358" i="5"/>
  <c r="G362" i="5" s="1"/>
  <c r="E43" i="5"/>
  <c r="E414" i="7"/>
  <c r="E415" i="7" s="1"/>
  <c r="E416" i="7" s="1"/>
  <c r="H119" i="5"/>
  <c r="H114" i="5" s="1"/>
  <c r="H225" i="5" s="1"/>
  <c r="F134" i="4"/>
  <c r="F142" i="4" s="1"/>
  <c r="F143" i="4"/>
  <c r="F128" i="4"/>
  <c r="F124" i="4" s="1"/>
  <c r="F125" i="4" s="1"/>
  <c r="D382" i="5"/>
  <c r="D379" i="5"/>
  <c r="D383" i="5" s="1"/>
  <c r="D380" i="5"/>
  <c r="D384" i="5" s="1"/>
  <c r="D381" i="5"/>
  <c r="D385" i="5" s="1"/>
  <c r="E357" i="5"/>
  <c r="E361" i="5" s="1"/>
  <c r="E358" i="5"/>
  <c r="E362" i="5" s="1"/>
  <c r="E360" i="5"/>
  <c r="E359" i="5"/>
  <c r="E363" i="5" s="1"/>
  <c r="E365" i="5"/>
  <c r="E370" i="5" s="1"/>
  <c r="E367" i="5"/>
  <c r="E372" i="5" s="1"/>
  <c r="E368" i="5"/>
  <c r="E373" i="5" s="1"/>
  <c r="E369" i="5"/>
  <c r="E374" i="5" s="1"/>
  <c r="E371" i="5"/>
  <c r="E117" i="5"/>
  <c r="E118" i="5" s="1"/>
  <c r="E109" i="5" s="1"/>
  <c r="E110" i="5" s="1"/>
  <c r="E107" i="5" s="1"/>
  <c r="E329" i="5" s="1"/>
  <c r="E346" i="5" s="1"/>
  <c r="E103" i="5"/>
  <c r="E433" i="5"/>
  <c r="H431" i="5"/>
  <c r="H499" i="7"/>
  <c r="H500" i="7"/>
  <c r="H417" i="7"/>
  <c r="H324" i="5"/>
  <c r="H467" i="5"/>
  <c r="D250" i="4"/>
  <c r="D220" i="4"/>
  <c r="D235" i="4"/>
  <c r="F78" i="5"/>
  <c r="F93" i="5" s="1"/>
  <c r="F33" i="6"/>
  <c r="F113" i="6"/>
  <c r="G235" i="4"/>
  <c r="G250" i="4"/>
  <c r="G220" i="4"/>
  <c r="H361" i="4"/>
  <c r="H172" i="4" s="1"/>
  <c r="H358" i="4"/>
  <c r="H362" i="4" s="1"/>
  <c r="H359" i="4"/>
  <c r="H363" i="4" s="1"/>
  <c r="H360" i="4"/>
  <c r="H364" i="4" s="1"/>
  <c r="H173" i="4" s="1"/>
  <c r="F220" i="4"/>
  <c r="F250" i="4"/>
  <c r="F235" i="4"/>
  <c r="E357" i="4"/>
  <c r="E353" i="4"/>
  <c r="E143" i="4"/>
  <c r="E134" i="4"/>
  <c r="E142" i="4" s="1"/>
  <c r="G393" i="5"/>
  <c r="G389" i="5"/>
  <c r="G394" i="5" s="1"/>
  <c r="G390" i="5"/>
  <c r="G395" i="5" s="1"/>
  <c r="G391" i="5"/>
  <c r="G396" i="5" s="1"/>
  <c r="G387" i="5"/>
  <c r="G392" i="5" s="1"/>
  <c r="E43" i="4"/>
  <c r="G113" i="6"/>
  <c r="G78" i="5"/>
  <c r="G93" i="5" s="1"/>
  <c r="G33" i="6"/>
  <c r="D128" i="4"/>
  <c r="D124" i="4" s="1"/>
  <c r="D125" i="4" s="1"/>
  <c r="D357" i="4"/>
  <c r="D353" i="4"/>
  <c r="F353" i="4"/>
  <c r="F357" i="4"/>
  <c r="D78" i="5"/>
  <c r="D93" i="5" s="1"/>
  <c r="D33" i="6"/>
  <c r="D113" i="6"/>
  <c r="E225" i="4"/>
  <c r="E240" i="4"/>
  <c r="E255" i="4"/>
  <c r="D358" i="5"/>
  <c r="D362" i="5" s="1"/>
  <c r="D359" i="5"/>
  <c r="D363" i="5" s="1"/>
  <c r="D360" i="5"/>
  <c r="D357" i="5"/>
  <c r="D361" i="5" s="1"/>
  <c r="E381" i="5"/>
  <c r="E385" i="5" s="1"/>
  <c r="E382" i="5"/>
  <c r="E380" i="5"/>
  <c r="E384" i="5" s="1"/>
  <c r="E379" i="5"/>
  <c r="E383" i="5" s="1"/>
  <c r="G143" i="4"/>
  <c r="G134" i="4"/>
  <c r="G142" i="4" s="1"/>
  <c r="H33" i="6"/>
  <c r="H78" i="5"/>
  <c r="H93" i="5" s="1"/>
  <c r="H113" i="6"/>
  <c r="D240" i="4"/>
  <c r="D225" i="4"/>
  <c r="D255" i="4"/>
  <c r="I385" i="7"/>
  <c r="I402" i="7"/>
  <c r="I401" i="7"/>
  <c r="I398" i="7"/>
  <c r="I400" i="7"/>
  <c r="E235" i="4"/>
  <c r="E220" i="4"/>
  <c r="E250" i="4"/>
  <c r="F380" i="5"/>
  <c r="F384" i="5" s="1"/>
  <c r="F382" i="5"/>
  <c r="F381" i="5"/>
  <c r="F385" i="5" s="1"/>
  <c r="F379" i="5"/>
  <c r="F383" i="5" s="1"/>
  <c r="F360" i="5"/>
  <c r="F359" i="5"/>
  <c r="F363" i="5" s="1"/>
  <c r="F358" i="5"/>
  <c r="F362" i="5" s="1"/>
  <c r="F357" i="5"/>
  <c r="F361" i="5" s="1"/>
  <c r="G178" i="3"/>
  <c r="G163" i="3"/>
  <c r="G166" i="3" s="1"/>
  <c r="G167" i="3" s="1"/>
  <c r="H60" i="5"/>
  <c r="E385" i="7"/>
  <c r="E401" i="7"/>
  <c r="E402" i="7"/>
  <c r="E400" i="7"/>
  <c r="E398" i="7"/>
  <c r="G385" i="7"/>
  <c r="G401" i="7"/>
  <c r="G398" i="7"/>
  <c r="G402" i="7"/>
  <c r="G400" i="7"/>
  <c r="G43" i="5"/>
  <c r="G397" i="7"/>
  <c r="I414" i="7"/>
  <c r="I415" i="7" s="1"/>
  <c r="G368" i="5"/>
  <c r="G373" i="5" s="1"/>
  <c r="G369" i="5"/>
  <c r="G374" i="5" s="1"/>
  <c r="G371" i="5"/>
  <c r="G365" i="5"/>
  <c r="G370" i="5" s="1"/>
  <c r="G367" i="5"/>
  <c r="G372" i="5" s="1"/>
  <c r="D117" i="5"/>
  <c r="D433" i="5"/>
  <c r="D103" i="5"/>
  <c r="H43" i="4"/>
  <c r="H385" i="7"/>
  <c r="H402" i="7"/>
  <c r="H401" i="7"/>
  <c r="H398" i="7"/>
  <c r="H400" i="7"/>
  <c r="D143" i="4"/>
  <c r="D134" i="4"/>
  <c r="D142" i="4" s="1"/>
  <c r="G103" i="5"/>
  <c r="G117" i="5"/>
  <c r="G118" i="5" s="1"/>
  <c r="G109" i="5" s="1"/>
  <c r="G110" i="5" s="1"/>
  <c r="G107" i="5" s="1"/>
  <c r="G329" i="5" s="1"/>
  <c r="G346" i="5" s="1"/>
  <c r="G433" i="5"/>
  <c r="D387" i="5"/>
  <c r="D392" i="5" s="1"/>
  <c r="D391" i="5"/>
  <c r="D396" i="5" s="1"/>
  <c r="D390" i="5"/>
  <c r="D395" i="5" s="1"/>
  <c r="D393" i="5"/>
  <c r="D389" i="5"/>
  <c r="D394" i="5" s="1"/>
  <c r="D43" i="4"/>
  <c r="E390" i="5"/>
  <c r="E395" i="5" s="1"/>
  <c r="E387" i="5"/>
  <c r="E392" i="5" s="1"/>
  <c r="E389" i="5"/>
  <c r="E394" i="5" s="1"/>
  <c r="E391" i="5"/>
  <c r="E396" i="5" s="1"/>
  <c r="E393" i="5"/>
  <c r="G353" i="4"/>
  <c r="G357" i="4"/>
  <c r="F415" i="7"/>
  <c r="F389" i="5"/>
  <c r="F394" i="5" s="1"/>
  <c r="F393" i="5"/>
  <c r="F390" i="5"/>
  <c r="F395" i="5" s="1"/>
  <c r="F391" i="5"/>
  <c r="F396" i="5" s="1"/>
  <c r="F387" i="5"/>
  <c r="F392" i="5" s="1"/>
  <c r="H434" i="5"/>
  <c r="H151" i="4"/>
  <c r="G43" i="4"/>
  <c r="F225" i="4"/>
  <c r="F240" i="4"/>
  <c r="F255" i="4"/>
  <c r="F433" i="5"/>
  <c r="F103" i="5"/>
  <c r="F117" i="5"/>
  <c r="F118" i="5" s="1"/>
  <c r="F109" i="5" s="1"/>
  <c r="F110" i="5" s="1"/>
  <c r="F107" i="5" s="1"/>
  <c r="F329" i="5" s="1"/>
  <c r="F346" i="5" s="1"/>
  <c r="G255" i="4"/>
  <c r="G225" i="4"/>
  <c r="G240" i="4"/>
  <c r="H414" i="7"/>
  <c r="H415" i="7" s="1"/>
  <c r="G414" i="7"/>
  <c r="G415" i="7" s="1"/>
  <c r="G416" i="7" s="1"/>
  <c r="F73" i="5"/>
  <c r="F108" i="6"/>
  <c r="F28" i="6"/>
  <c r="I397" i="7"/>
  <c r="E128" i="4"/>
  <c r="E124" i="4" s="1"/>
  <c r="E125" i="4" s="1"/>
  <c r="G379" i="5"/>
  <c r="G383" i="5" s="1"/>
  <c r="G380" i="5"/>
  <c r="G384" i="5" s="1"/>
  <c r="G382" i="5"/>
  <c r="G381" i="5"/>
  <c r="G385" i="5" s="1"/>
  <c r="F385" i="7"/>
  <c r="F402" i="7"/>
  <c r="F401" i="7"/>
  <c r="F400" i="7"/>
  <c r="F398" i="7"/>
  <c r="H43" i="5"/>
  <c r="H432" i="5"/>
  <c r="H399" i="7"/>
  <c r="I499" i="7"/>
  <c r="I500" i="7"/>
  <c r="I417" i="7"/>
  <c r="D367" i="5"/>
  <c r="D372" i="5" s="1"/>
  <c r="D371" i="5"/>
  <c r="D365" i="5"/>
  <c r="D370" i="5" s="1"/>
  <c r="D369" i="5"/>
  <c r="D374" i="5" s="1"/>
  <c r="D368" i="5"/>
  <c r="D373" i="5" s="1"/>
  <c r="D43" i="5"/>
  <c r="G128" i="4"/>
  <c r="G129" i="4" s="1"/>
  <c r="E178" i="3"/>
  <c r="E163" i="3"/>
  <c r="E166" i="3" s="1"/>
  <c r="E167" i="3" s="1"/>
  <c r="I399" i="7"/>
  <c r="F365" i="5"/>
  <c r="F370" i="5" s="1"/>
  <c r="F369" i="5"/>
  <c r="F374" i="5" s="1"/>
  <c r="F371" i="5"/>
  <c r="F367" i="5"/>
  <c r="F372" i="5" s="1"/>
  <c r="F368" i="5"/>
  <c r="F373" i="5" s="1"/>
  <c r="D432" i="5" l="1"/>
  <c r="E129" i="4"/>
  <c r="G432" i="5"/>
  <c r="D129" i="4"/>
  <c r="G136" i="4"/>
  <c r="G187" i="4" s="1"/>
  <c r="H187" i="4"/>
  <c r="H280" i="4" s="1"/>
  <c r="H295" i="4" s="1"/>
  <c r="H186" i="4"/>
  <c r="H202" i="4" s="1"/>
  <c r="G124" i="4"/>
  <c r="G125" i="4" s="1"/>
  <c r="F204" i="4"/>
  <c r="F281" i="4"/>
  <c r="F296" i="4" s="1"/>
  <c r="F129" i="4"/>
  <c r="H234" i="4"/>
  <c r="H249" i="4"/>
  <c r="H219" i="4"/>
  <c r="G204" i="4"/>
  <c r="G281" i="4"/>
  <c r="G296" i="4" s="1"/>
  <c r="E136" i="4"/>
  <c r="E186" i="4" s="1"/>
  <c r="G60" i="5"/>
  <c r="G30" i="6" s="1"/>
  <c r="F434" i="5"/>
  <c r="G119" i="5"/>
  <c r="G114" i="5" s="1"/>
  <c r="G225" i="5" s="1"/>
  <c r="F432" i="5"/>
  <c r="F136" i="4"/>
  <c r="F313" i="4" s="1"/>
  <c r="D118" i="5"/>
  <c r="D109" i="5" s="1"/>
  <c r="D110" i="5" s="1"/>
  <c r="D107" i="5" s="1"/>
  <c r="D329" i="5" s="1"/>
  <c r="D346" i="5" s="1"/>
  <c r="H419" i="7"/>
  <c r="H498" i="7"/>
  <c r="G77" i="3" s="1"/>
  <c r="G81" i="3" s="1"/>
  <c r="G83" i="3" s="1"/>
  <c r="F419" i="7"/>
  <c r="F498" i="7"/>
  <c r="E77" i="3" s="1"/>
  <c r="E81" i="3" s="1"/>
  <c r="E83" i="3" s="1"/>
  <c r="D58" i="4"/>
  <c r="G324" i="5"/>
  <c r="G467" i="5"/>
  <c r="H496" i="7"/>
  <c r="H497" i="7" s="1"/>
  <c r="H439" i="7"/>
  <c r="H393" i="7"/>
  <c r="H392" i="7"/>
  <c r="H389" i="7"/>
  <c r="H391" i="7"/>
  <c r="H394" i="7"/>
  <c r="H390" i="7"/>
  <c r="H388" i="7"/>
  <c r="D324" i="5"/>
  <c r="D467" i="5"/>
  <c r="I498" i="7"/>
  <c r="H77" i="3" s="1"/>
  <c r="H81" i="3" s="1"/>
  <c r="H83" i="3" s="1"/>
  <c r="I419" i="7"/>
  <c r="E439" i="7"/>
  <c r="E496" i="7"/>
  <c r="E497" i="7" s="1"/>
  <c r="E392" i="7"/>
  <c r="E393" i="7"/>
  <c r="E389" i="7"/>
  <c r="E391" i="7"/>
  <c r="E388" i="7"/>
  <c r="E394" i="7"/>
  <c r="E390" i="7"/>
  <c r="G144" i="4"/>
  <c r="G145" i="4" s="1"/>
  <c r="G140" i="4" s="1"/>
  <c r="G152" i="4"/>
  <c r="E152" i="4"/>
  <c r="E144" i="4"/>
  <c r="E145" i="4" s="1"/>
  <c r="E140" i="4" s="1"/>
  <c r="H325" i="5"/>
  <c r="H342" i="5"/>
  <c r="H289" i="5"/>
  <c r="E58" i="5"/>
  <c r="H176" i="4"/>
  <c r="H153" i="4"/>
  <c r="H154" i="4" s="1"/>
  <c r="H149" i="4" s="1"/>
  <c r="D58" i="5"/>
  <c r="F439" i="7"/>
  <c r="F496" i="7"/>
  <c r="F497" i="7" s="1"/>
  <c r="F392" i="7"/>
  <c r="F393" i="7"/>
  <c r="F391" i="7"/>
  <c r="F389" i="7"/>
  <c r="F388" i="7"/>
  <c r="F390" i="7"/>
  <c r="F394" i="7"/>
  <c r="F467" i="5"/>
  <c r="F324" i="5"/>
  <c r="H174" i="4"/>
  <c r="E119" i="5"/>
  <c r="E114" i="5" s="1"/>
  <c r="E225" i="5" s="1"/>
  <c r="D151" i="4"/>
  <c r="H75" i="5"/>
  <c r="H90" i="5" s="1"/>
  <c r="H110" i="6"/>
  <c r="H30" i="6"/>
  <c r="D434" i="5"/>
  <c r="E58" i="4"/>
  <c r="H436" i="5"/>
  <c r="H437" i="5" s="1"/>
  <c r="E434" i="5"/>
  <c r="F151" i="4"/>
  <c r="G434" i="5"/>
  <c r="H58" i="5"/>
  <c r="F88" i="5"/>
  <c r="H416" i="7"/>
  <c r="D144" i="4"/>
  <c r="D145" i="4" s="1"/>
  <c r="D140" i="4" s="1"/>
  <c r="D152" i="4"/>
  <c r="F416" i="7"/>
  <c r="G58" i="5"/>
  <c r="F431" i="5"/>
  <c r="D60" i="5"/>
  <c r="D361" i="4"/>
  <c r="D172" i="4" s="1"/>
  <c r="D359" i="4"/>
  <c r="D363" i="4" s="1"/>
  <c r="D360" i="4"/>
  <c r="D364" i="4" s="1"/>
  <c r="D173" i="4" s="1"/>
  <c r="D358" i="4"/>
  <c r="D362" i="4" s="1"/>
  <c r="E360" i="4"/>
  <c r="E364" i="4" s="1"/>
  <c r="E173" i="4" s="1"/>
  <c r="E358" i="4"/>
  <c r="E362" i="4" s="1"/>
  <c r="E359" i="4"/>
  <c r="E363" i="4" s="1"/>
  <c r="E361" i="4"/>
  <c r="E172" i="4" s="1"/>
  <c r="F119" i="5"/>
  <c r="F114" i="5" s="1"/>
  <c r="F225" i="5" s="1"/>
  <c r="H270" i="4"/>
  <c r="H314" i="4"/>
  <c r="H331" i="4"/>
  <c r="H237" i="5"/>
  <c r="H298" i="5"/>
  <c r="E432" i="5"/>
  <c r="E431" i="5"/>
  <c r="G431" i="5"/>
  <c r="E204" i="4"/>
  <c r="E281" i="4"/>
  <c r="E296" i="4" s="1"/>
  <c r="G498" i="7"/>
  <c r="F77" i="3" s="1"/>
  <c r="F81" i="3" s="1"/>
  <c r="F83" i="3" s="1"/>
  <c r="G419" i="7"/>
  <c r="G58" i="4"/>
  <c r="G358" i="4"/>
  <c r="G362" i="4" s="1"/>
  <c r="G359" i="4"/>
  <c r="G363" i="4" s="1"/>
  <c r="G360" i="4"/>
  <c r="G364" i="4" s="1"/>
  <c r="G173" i="4" s="1"/>
  <c r="G361" i="4"/>
  <c r="G172" i="4" s="1"/>
  <c r="D136" i="4"/>
  <c r="H58" i="4"/>
  <c r="I416" i="7"/>
  <c r="G496" i="7"/>
  <c r="G497" i="7" s="1"/>
  <c r="G439" i="7"/>
  <c r="G392" i="7"/>
  <c r="G389" i="7"/>
  <c r="G393" i="7"/>
  <c r="G391" i="7"/>
  <c r="G388" i="7"/>
  <c r="G390" i="7"/>
  <c r="G394" i="7"/>
  <c r="F60" i="5"/>
  <c r="I439" i="7"/>
  <c r="I496" i="7"/>
  <c r="I497" i="7" s="1"/>
  <c r="I393" i="7"/>
  <c r="I392" i="7"/>
  <c r="I391" i="7"/>
  <c r="I389" i="7"/>
  <c r="I390" i="7"/>
  <c r="I388" i="7"/>
  <c r="I394" i="7"/>
  <c r="G151" i="4"/>
  <c r="D431" i="5"/>
  <c r="F359" i="4"/>
  <c r="F363" i="4" s="1"/>
  <c r="F360" i="4"/>
  <c r="F364" i="4" s="1"/>
  <c r="F173" i="4" s="1"/>
  <c r="F361" i="4"/>
  <c r="F172" i="4" s="1"/>
  <c r="F358" i="4"/>
  <c r="F362" i="4" s="1"/>
  <c r="E151" i="4"/>
  <c r="E324" i="5"/>
  <c r="E467" i="5"/>
  <c r="E60" i="5"/>
  <c r="F152" i="4"/>
  <c r="F144" i="4"/>
  <c r="F145" i="4" s="1"/>
  <c r="F140" i="4" s="1"/>
  <c r="E498" i="7"/>
  <c r="D77" i="3" s="1"/>
  <c r="D81" i="3" s="1"/>
  <c r="D83" i="3" s="1"/>
  <c r="E419" i="7"/>
  <c r="H203" i="4" l="1"/>
  <c r="H218" i="4" s="1"/>
  <c r="G75" i="5"/>
  <c r="G90" i="5" s="1"/>
  <c r="G186" i="4"/>
  <c r="G202" i="4" s="1"/>
  <c r="E313" i="4"/>
  <c r="E331" i="4" s="1"/>
  <c r="E187" i="4"/>
  <c r="E280" i="4" s="1"/>
  <c r="E295" i="4" s="1"/>
  <c r="G313" i="4"/>
  <c r="G270" i="4" s="1"/>
  <c r="D119" i="5"/>
  <c r="D114" i="5" s="1"/>
  <c r="D225" i="5" s="1"/>
  <c r="D237" i="5" s="1"/>
  <c r="H279" i="4"/>
  <c r="H294" i="4" s="1"/>
  <c r="F187" i="4"/>
  <c r="F203" i="4" s="1"/>
  <c r="G110" i="6"/>
  <c r="F186" i="4"/>
  <c r="F279" i="4" s="1"/>
  <c r="G219" i="4"/>
  <c r="G249" i="4"/>
  <c r="G234" i="4"/>
  <c r="F219" i="4"/>
  <c r="F234" i="4"/>
  <c r="F249" i="4"/>
  <c r="D436" i="5"/>
  <c r="D437" i="5" s="1"/>
  <c r="F75" i="5"/>
  <c r="F90" i="5" s="1"/>
  <c r="F30" i="6"/>
  <c r="F110" i="6"/>
  <c r="G442" i="7"/>
  <c r="G505" i="7"/>
  <c r="G506" i="7" s="1"/>
  <c r="G516" i="7" s="1"/>
  <c r="F54" i="3" s="1"/>
  <c r="G449" i="7"/>
  <c r="G446" i="7"/>
  <c r="G450" i="7"/>
  <c r="G448" i="7"/>
  <c r="G436" i="5"/>
  <c r="G437" i="5" s="1"/>
  <c r="H309" i="5"/>
  <c r="E279" i="4"/>
  <c r="E202" i="4"/>
  <c r="G280" i="4"/>
  <c r="G295" i="4" s="1"/>
  <c r="G203" i="4"/>
  <c r="G28" i="6"/>
  <c r="G73" i="5"/>
  <c r="G108" i="6"/>
  <c r="H445" i="5"/>
  <c r="F237" i="5"/>
  <c r="F298" i="5"/>
  <c r="D108" i="6"/>
  <c r="D73" i="5"/>
  <c r="D28" i="6"/>
  <c r="E73" i="5"/>
  <c r="E108" i="6"/>
  <c r="E28" i="6"/>
  <c r="F270" i="4"/>
  <c r="F314" i="4"/>
  <c r="F331" i="4"/>
  <c r="H84" i="3"/>
  <c r="H85" i="3"/>
  <c r="H86" i="3"/>
  <c r="D342" i="5"/>
  <c r="D289" i="5"/>
  <c r="D325" i="5"/>
  <c r="H442" i="7"/>
  <c r="H505" i="7"/>
  <c r="H506" i="7" s="1"/>
  <c r="H516" i="7" s="1"/>
  <c r="G54" i="3" s="1"/>
  <c r="H449" i="7"/>
  <c r="H450" i="7"/>
  <c r="H448" i="7"/>
  <c r="H446" i="7"/>
  <c r="G325" i="5"/>
  <c r="G342" i="5"/>
  <c r="G289" i="5"/>
  <c r="F176" i="4"/>
  <c r="F153" i="4"/>
  <c r="F154" i="4" s="1"/>
  <c r="F149" i="4" s="1"/>
  <c r="E289" i="5"/>
  <c r="E342" i="5"/>
  <c r="E325" i="5"/>
  <c r="H248" i="4"/>
  <c r="G174" i="4"/>
  <c r="F20" i="3"/>
  <c r="F10" i="3"/>
  <c r="F19" i="3"/>
  <c r="F85" i="3"/>
  <c r="F86" i="3"/>
  <c r="F84" i="3"/>
  <c r="E436" i="5"/>
  <c r="E437" i="5" s="1"/>
  <c r="D153" i="4"/>
  <c r="D154" i="4" s="1"/>
  <c r="D149" i="4" s="1"/>
  <c r="D176" i="4"/>
  <c r="H458" i="5"/>
  <c r="H439" i="5"/>
  <c r="H447" i="5" s="1"/>
  <c r="D174" i="4"/>
  <c r="E10" i="3"/>
  <c r="E19" i="3"/>
  <c r="E20" i="3"/>
  <c r="E153" i="4"/>
  <c r="E154" i="4" s="1"/>
  <c r="E149" i="4" s="1"/>
  <c r="E176" i="4"/>
  <c r="D10" i="3"/>
  <c r="D19" i="3"/>
  <c r="D20" i="3"/>
  <c r="G10" i="3"/>
  <c r="G19" i="3"/>
  <c r="G20" i="3"/>
  <c r="G237" i="5"/>
  <c r="G298" i="5"/>
  <c r="H440" i="5"/>
  <c r="H448" i="5" s="1"/>
  <c r="E75" i="5"/>
  <c r="E90" i="5" s="1"/>
  <c r="E110" i="6"/>
  <c r="E30" i="6"/>
  <c r="E237" i="5"/>
  <c r="E298" i="5"/>
  <c r="H10" i="3"/>
  <c r="H19" i="3"/>
  <c r="H20" i="3"/>
  <c r="H259" i="5"/>
  <c r="H270" i="5"/>
  <c r="H248" i="5"/>
  <c r="G331" i="4"/>
  <c r="F174" i="4"/>
  <c r="F442" i="7"/>
  <c r="F505" i="7"/>
  <c r="F506" i="7" s="1"/>
  <c r="F516" i="7" s="1"/>
  <c r="E54" i="3" s="1"/>
  <c r="F450" i="7"/>
  <c r="F449" i="7"/>
  <c r="F448" i="7"/>
  <c r="F446" i="7"/>
  <c r="H232" i="4"/>
  <c r="H217" i="4"/>
  <c r="H247" i="4"/>
  <c r="E505" i="7"/>
  <c r="E506" i="7" s="1"/>
  <c r="E516" i="7" s="1"/>
  <c r="D54" i="3" s="1"/>
  <c r="E442" i="7"/>
  <c r="E450" i="7"/>
  <c r="E449" i="7"/>
  <c r="E448" i="7"/>
  <c r="E446" i="7"/>
  <c r="G84" i="3"/>
  <c r="G85" i="3"/>
  <c r="G86" i="3"/>
  <c r="H177" i="4"/>
  <c r="D84" i="3"/>
  <c r="D85" i="3"/>
  <c r="D86" i="3"/>
  <c r="E174" i="4"/>
  <c r="I442" i="7"/>
  <c r="I505" i="7"/>
  <c r="I506" i="7" s="1"/>
  <c r="I516" i="7" s="1"/>
  <c r="H54" i="3" s="1"/>
  <c r="I450" i="7"/>
  <c r="I449" i="7"/>
  <c r="I448" i="7"/>
  <c r="I446" i="7"/>
  <c r="D313" i="4"/>
  <c r="D186" i="4"/>
  <c r="D187" i="4"/>
  <c r="E249" i="4"/>
  <c r="E219" i="4"/>
  <c r="E234" i="4"/>
  <c r="D75" i="5"/>
  <c r="D90" i="5" s="1"/>
  <c r="D30" i="6"/>
  <c r="D110" i="6"/>
  <c r="F436" i="5"/>
  <c r="F437" i="5" s="1"/>
  <c r="H73" i="5"/>
  <c r="H108" i="6"/>
  <c r="H28" i="6"/>
  <c r="F289" i="5"/>
  <c r="F342" i="5"/>
  <c r="F325" i="5"/>
  <c r="H438" i="5"/>
  <c r="H446" i="5" s="1"/>
  <c r="G153" i="4"/>
  <c r="G154" i="4" s="1"/>
  <c r="G149" i="4" s="1"/>
  <c r="G176" i="4"/>
  <c r="E86" i="3"/>
  <c r="E84" i="3"/>
  <c r="E85" i="3"/>
  <c r="H87" i="3" l="1"/>
  <c r="H88" i="3" s="1"/>
  <c r="H442" i="5"/>
  <c r="G87" i="3"/>
  <c r="G106" i="3" s="1"/>
  <c r="G111" i="3" s="1"/>
  <c r="F87" i="3"/>
  <c r="F88" i="3" s="1"/>
  <c r="H233" i="4"/>
  <c r="E203" i="4"/>
  <c r="E248" i="4" s="1"/>
  <c r="G279" i="4"/>
  <c r="G294" i="4" s="1"/>
  <c r="D298" i="5"/>
  <c r="D309" i="5" s="1"/>
  <c r="E270" i="4"/>
  <c r="G314" i="4"/>
  <c r="E314" i="4"/>
  <c r="D177" i="4"/>
  <c r="D178" i="4" s="1"/>
  <c r="E87" i="3"/>
  <c r="E106" i="3" s="1"/>
  <c r="E111" i="3" s="1"/>
  <c r="D87" i="3"/>
  <c r="D88" i="3" s="1"/>
  <c r="F280" i="4"/>
  <c r="F295" i="4" s="1"/>
  <c r="F202" i="4"/>
  <c r="F247" i="4" s="1"/>
  <c r="D440" i="5"/>
  <c r="D448" i="5" s="1"/>
  <c r="F177" i="4"/>
  <c r="F178" i="4" s="1"/>
  <c r="E438" i="5"/>
  <c r="E446" i="5" s="1"/>
  <c r="G440" i="5"/>
  <c r="G448" i="5" s="1"/>
  <c r="E440" i="5"/>
  <c r="E448" i="5" s="1"/>
  <c r="F248" i="4"/>
  <c r="F233" i="4"/>
  <c r="F218" i="4"/>
  <c r="H88" i="5"/>
  <c r="D270" i="4"/>
  <c r="D314" i="4"/>
  <c r="D331" i="4"/>
  <c r="E441" i="7"/>
  <c r="E437" i="7" s="1"/>
  <c r="E270" i="5"/>
  <c r="E248" i="5"/>
  <c r="E259" i="5"/>
  <c r="F294" i="4"/>
  <c r="E445" i="5"/>
  <c r="E88" i="5"/>
  <c r="G88" i="5"/>
  <c r="E294" i="4"/>
  <c r="G445" i="5"/>
  <c r="F445" i="5"/>
  <c r="F441" i="7"/>
  <c r="F437" i="7" s="1"/>
  <c r="H42" i="3"/>
  <c r="H52" i="3"/>
  <c r="H17" i="3"/>
  <c r="H22" i="3" s="1"/>
  <c r="E42" i="3"/>
  <c r="E52" i="3"/>
  <c r="E17" i="3"/>
  <c r="E22" i="3" s="1"/>
  <c r="G247" i="4"/>
  <c r="G217" i="4"/>
  <c r="G232" i="4"/>
  <c r="H441" i="7"/>
  <c r="H437" i="7" s="1"/>
  <c r="F259" i="5"/>
  <c r="F270" i="5"/>
  <c r="F248" i="5"/>
  <c r="G441" i="7"/>
  <c r="E177" i="4"/>
  <c r="F458" i="5"/>
  <c r="F438" i="5"/>
  <c r="F446" i="5" s="1"/>
  <c r="F440" i="5"/>
  <c r="F448" i="5" s="1"/>
  <c r="F439" i="5"/>
  <c r="F447" i="5" s="1"/>
  <c r="D203" i="4"/>
  <c r="D280" i="4"/>
  <c r="D295" i="4" s="1"/>
  <c r="I441" i="7"/>
  <c r="I437" i="7" s="1"/>
  <c r="G309" i="5"/>
  <c r="D42" i="3"/>
  <c r="D52" i="3"/>
  <c r="D17" i="3"/>
  <c r="D22" i="3" s="1"/>
  <c r="H454" i="5"/>
  <c r="H463" i="5" s="1"/>
  <c r="H471" i="5" s="1"/>
  <c r="H479" i="5" s="1"/>
  <c r="H487" i="5" s="1"/>
  <c r="H782" i="5"/>
  <c r="H781" i="5" s="1"/>
  <c r="H869" i="5"/>
  <c r="H868" i="5" s="1"/>
  <c r="H455" i="5"/>
  <c r="H464" i="5" s="1"/>
  <c r="H472" i="5" s="1"/>
  <c r="H480" i="5" s="1"/>
  <c r="H488" i="5" s="1"/>
  <c r="H695" i="5"/>
  <c r="H694" i="5" s="1"/>
  <c r="H956" i="5"/>
  <c r="H955" i="5" s="1"/>
  <c r="H608" i="5"/>
  <c r="H607" i="5" s="1"/>
  <c r="H1043" i="5"/>
  <c r="H1042" i="5" s="1"/>
  <c r="H453" i="5"/>
  <c r="H462" i="5" s="1"/>
  <c r="H470" i="5" s="1"/>
  <c r="H456" i="5"/>
  <c r="H465" i="5" s="1"/>
  <c r="H473" i="5" s="1"/>
  <c r="H481" i="5" s="1"/>
  <c r="H489" i="5" s="1"/>
  <c r="H521" i="5"/>
  <c r="H520" i="5" s="1"/>
  <c r="E217" i="4"/>
  <c r="E247" i="4"/>
  <c r="E232" i="4"/>
  <c r="D445" i="5"/>
  <c r="G177" i="4"/>
  <c r="D248" i="5"/>
  <c r="D259" i="5"/>
  <c r="D270" i="5"/>
  <c r="D202" i="4"/>
  <c r="D279" i="4"/>
  <c r="E309" i="5"/>
  <c r="G248" i="5"/>
  <c r="G270" i="5"/>
  <c r="G259" i="5"/>
  <c r="G52" i="3"/>
  <c r="G17" i="3"/>
  <c r="G22" i="3" s="1"/>
  <c r="G42" i="3"/>
  <c r="E458" i="5"/>
  <c r="E439" i="5"/>
  <c r="E447" i="5" s="1"/>
  <c r="F17" i="3"/>
  <c r="F22" i="3" s="1"/>
  <c r="F42" i="3"/>
  <c r="F52" i="3"/>
  <c r="H178" i="4"/>
  <c r="D88" i="5"/>
  <c r="F309" i="5"/>
  <c r="G233" i="4"/>
  <c r="G218" i="4"/>
  <c r="G248" i="4"/>
  <c r="G458" i="5"/>
  <c r="G439" i="5"/>
  <c r="G447" i="5" s="1"/>
  <c r="G438" i="5"/>
  <c r="G446" i="5" s="1"/>
  <c r="D458" i="5"/>
  <c r="D438" i="5"/>
  <c r="D446" i="5" s="1"/>
  <c r="D439" i="5"/>
  <c r="D447" i="5" s="1"/>
  <c r="H106" i="3" l="1"/>
  <c r="H111" i="3" s="1"/>
  <c r="G88" i="3"/>
  <c r="G91" i="3" s="1"/>
  <c r="F106" i="3"/>
  <c r="F111" i="3" s="1"/>
  <c r="E233" i="4"/>
  <c r="E218" i="4"/>
  <c r="D106" i="3"/>
  <c r="D111" i="3" s="1"/>
  <c r="E88" i="3"/>
  <c r="E89" i="3" s="1"/>
  <c r="F232" i="4"/>
  <c r="F217" i="4"/>
  <c r="H497" i="5"/>
  <c r="H505" i="5" s="1"/>
  <c r="H457" i="5"/>
  <c r="H466" i="5" s="1"/>
  <c r="D23" i="3"/>
  <c r="D24" i="3"/>
  <c r="D25" i="3"/>
  <c r="I451" i="7"/>
  <c r="I481" i="7"/>
  <c r="I472" i="7"/>
  <c r="I438" i="7"/>
  <c r="D170" i="4"/>
  <c r="D317" i="4"/>
  <c r="D333" i="4" s="1"/>
  <c r="D195" i="4"/>
  <c r="G511" i="7"/>
  <c r="G510" i="7"/>
  <c r="G476" i="7"/>
  <c r="G435" i="7"/>
  <c r="G436" i="7"/>
  <c r="E53" i="3"/>
  <c r="D277" i="2" s="1"/>
  <c r="F442" i="5"/>
  <c r="H89" i="3"/>
  <c r="H91" i="3"/>
  <c r="E451" i="7"/>
  <c r="E481" i="7"/>
  <c r="E472" i="7"/>
  <c r="E438" i="7"/>
  <c r="D89" i="3"/>
  <c r="D91" i="3"/>
  <c r="F89" i="3"/>
  <c r="F91" i="3"/>
  <c r="F53" i="3"/>
  <c r="E277" i="2" s="1"/>
  <c r="E453" i="5"/>
  <c r="E462" i="5" s="1"/>
  <c r="E470" i="5" s="1"/>
  <c r="E608" i="5"/>
  <c r="E607" i="5" s="1"/>
  <c r="E782" i="5"/>
  <c r="E781" i="5" s="1"/>
  <c r="E956" i="5"/>
  <c r="E955" i="5" s="1"/>
  <c r="E454" i="5"/>
  <c r="E463" i="5" s="1"/>
  <c r="E471" i="5" s="1"/>
  <c r="E479" i="5" s="1"/>
  <c r="E487" i="5" s="1"/>
  <c r="E455" i="5"/>
  <c r="E464" i="5" s="1"/>
  <c r="E472" i="5" s="1"/>
  <c r="E480" i="5" s="1"/>
  <c r="E488" i="5" s="1"/>
  <c r="E456" i="5"/>
  <c r="E465" i="5" s="1"/>
  <c r="E473" i="5" s="1"/>
  <c r="E481" i="5" s="1"/>
  <c r="E489" i="5" s="1"/>
  <c r="E521" i="5"/>
  <c r="E520" i="5" s="1"/>
  <c r="E1043" i="5"/>
  <c r="E1042" i="5" s="1"/>
  <c r="E695" i="5"/>
  <c r="E694" i="5" s="1"/>
  <c r="E869" i="5"/>
  <c r="E868" i="5" s="1"/>
  <c r="G23" i="3"/>
  <c r="G24" i="3"/>
  <c r="G25" i="3"/>
  <c r="D294" i="4"/>
  <c r="D442" i="5"/>
  <c r="H474" i="5"/>
  <c r="H482" i="5" s="1"/>
  <c r="H478" i="5"/>
  <c r="D53" i="3"/>
  <c r="C277" i="2" s="1"/>
  <c r="I510" i="7"/>
  <c r="I511" i="7"/>
  <c r="I435" i="7"/>
  <c r="I436" i="7"/>
  <c r="I476" i="7"/>
  <c r="F317" i="4"/>
  <c r="F333" i="4" s="1"/>
  <c r="F195" i="4"/>
  <c r="F170" i="4"/>
  <c r="F472" i="7"/>
  <c r="F481" i="7"/>
  <c r="F451" i="7"/>
  <c r="F438" i="7"/>
  <c r="E510" i="7"/>
  <c r="E511" i="7"/>
  <c r="E476" i="7"/>
  <c r="E435" i="7"/>
  <c r="E436" i="7"/>
  <c r="D454" i="5"/>
  <c r="D463" i="5" s="1"/>
  <c r="D471" i="5" s="1"/>
  <c r="D479" i="5" s="1"/>
  <c r="D487" i="5" s="1"/>
  <c r="D453" i="5"/>
  <c r="D462" i="5" s="1"/>
  <c r="D470" i="5" s="1"/>
  <c r="D608" i="5"/>
  <c r="D607" i="5" s="1"/>
  <c r="D695" i="5"/>
  <c r="D694" i="5" s="1"/>
  <c r="D782" i="5"/>
  <c r="D781" i="5" s="1"/>
  <c r="D1043" i="5"/>
  <c r="D1042" i="5" s="1"/>
  <c r="D456" i="5"/>
  <c r="D465" i="5" s="1"/>
  <c r="D473" i="5" s="1"/>
  <c r="D481" i="5" s="1"/>
  <c r="D489" i="5" s="1"/>
  <c r="D521" i="5"/>
  <c r="D520" i="5" s="1"/>
  <c r="D455" i="5"/>
  <c r="D464" i="5" s="1"/>
  <c r="D472" i="5" s="1"/>
  <c r="D480" i="5" s="1"/>
  <c r="D488" i="5" s="1"/>
  <c r="D869" i="5"/>
  <c r="D868" i="5" s="1"/>
  <c r="D956" i="5"/>
  <c r="D955" i="5" s="1"/>
  <c r="G455" i="5"/>
  <c r="G464" i="5" s="1"/>
  <c r="G472" i="5" s="1"/>
  <c r="G480" i="5" s="1"/>
  <c r="G488" i="5" s="1"/>
  <c r="G521" i="5"/>
  <c r="G520" i="5" s="1"/>
  <c r="G695" i="5"/>
  <c r="G694" i="5" s="1"/>
  <c r="G869" i="5"/>
  <c r="G868" i="5" s="1"/>
  <c r="G1043" i="5"/>
  <c r="G1042" i="5" s="1"/>
  <c r="G956" i="5"/>
  <c r="G955" i="5" s="1"/>
  <c r="G454" i="5"/>
  <c r="G463" i="5" s="1"/>
  <c r="G471" i="5" s="1"/>
  <c r="G479" i="5" s="1"/>
  <c r="G487" i="5" s="1"/>
  <c r="G608" i="5"/>
  <c r="G607" i="5" s="1"/>
  <c r="G453" i="5"/>
  <c r="G462" i="5" s="1"/>
  <c r="G470" i="5" s="1"/>
  <c r="G456" i="5"/>
  <c r="G465" i="5" s="1"/>
  <c r="G473" i="5" s="1"/>
  <c r="G481" i="5" s="1"/>
  <c r="G489" i="5" s="1"/>
  <c r="G782" i="5"/>
  <c r="G781" i="5" s="1"/>
  <c r="G53" i="3"/>
  <c r="F277" i="2" s="1"/>
  <c r="D232" i="4"/>
  <c r="D217" i="4"/>
  <c r="D247" i="4"/>
  <c r="H495" i="5"/>
  <c r="H451" i="7"/>
  <c r="H472" i="7"/>
  <c r="H481" i="7"/>
  <c r="H438" i="7"/>
  <c r="H23" i="3"/>
  <c r="H24" i="3"/>
  <c r="H25" i="3"/>
  <c r="F511" i="7"/>
  <c r="F510" i="7"/>
  <c r="F476" i="7"/>
  <c r="F435" i="7"/>
  <c r="F436" i="7"/>
  <c r="G442" i="5"/>
  <c r="G178" i="4"/>
  <c r="H170" i="4"/>
  <c r="H195" i="4"/>
  <c r="H317" i="4"/>
  <c r="H333" i="4" s="1"/>
  <c r="F24" i="3"/>
  <c r="F25" i="3"/>
  <c r="F23" i="3"/>
  <c r="E178" i="4"/>
  <c r="H496" i="5"/>
  <c r="D218" i="4"/>
  <c r="D233" i="4"/>
  <c r="D248" i="4"/>
  <c r="F456" i="5"/>
  <c r="F465" i="5" s="1"/>
  <c r="F473" i="5" s="1"/>
  <c r="F481" i="5" s="1"/>
  <c r="F489" i="5" s="1"/>
  <c r="F1043" i="5"/>
  <c r="F1042" i="5" s="1"/>
  <c r="F454" i="5"/>
  <c r="F463" i="5" s="1"/>
  <c r="F471" i="5" s="1"/>
  <c r="F479" i="5" s="1"/>
  <c r="F487" i="5" s="1"/>
  <c r="F608" i="5"/>
  <c r="F607" i="5" s="1"/>
  <c r="F869" i="5"/>
  <c r="F868" i="5" s="1"/>
  <c r="F453" i="5"/>
  <c r="F462" i="5" s="1"/>
  <c r="F470" i="5" s="1"/>
  <c r="F782" i="5"/>
  <c r="F781" i="5" s="1"/>
  <c r="F521" i="5"/>
  <c r="F520" i="5" s="1"/>
  <c r="F455" i="5"/>
  <c r="F464" i="5" s="1"/>
  <c r="F472" i="5" s="1"/>
  <c r="F480" i="5" s="1"/>
  <c r="F488" i="5" s="1"/>
  <c r="F956" i="5"/>
  <c r="F955" i="5" s="1"/>
  <c r="F695" i="5"/>
  <c r="F694" i="5" s="1"/>
  <c r="G437" i="7"/>
  <c r="H511" i="7"/>
  <c r="H510" i="7"/>
  <c r="H435" i="7"/>
  <c r="H436" i="7"/>
  <c r="H476" i="7"/>
  <c r="E25" i="3"/>
  <c r="E23" i="3"/>
  <c r="E24" i="3"/>
  <c r="H53" i="3"/>
  <c r="G277" i="2" s="1"/>
  <c r="E442" i="5"/>
  <c r="G89" i="3" l="1"/>
  <c r="H26" i="3"/>
  <c r="G26" i="3"/>
  <c r="G28" i="3"/>
  <c r="G29" i="3" s="1"/>
  <c r="F28" i="3"/>
  <c r="F30" i="3" s="1"/>
  <c r="H28" i="3"/>
  <c r="H29" i="3" s="1"/>
  <c r="E91" i="3"/>
  <c r="E93" i="3" s="1"/>
  <c r="D26" i="3"/>
  <c r="E28" i="3"/>
  <c r="E29" i="3" s="1"/>
  <c r="D28" i="3"/>
  <c r="D30" i="3" s="1"/>
  <c r="G279" i="2"/>
  <c r="G278" i="2"/>
  <c r="G280" i="2"/>
  <c r="H509" i="7"/>
  <c r="H512" i="7"/>
  <c r="H513" i="7" s="1"/>
  <c r="H508" i="7"/>
  <c r="F478" i="5"/>
  <c r="F474" i="5"/>
  <c r="F482" i="5" s="1"/>
  <c r="E317" i="4"/>
  <c r="E333" i="4" s="1"/>
  <c r="E170" i="4"/>
  <c r="E195" i="4"/>
  <c r="F508" i="7"/>
  <c r="F509" i="7"/>
  <c r="F512" i="7"/>
  <c r="F513" i="7" s="1"/>
  <c r="F280" i="2"/>
  <c r="F278" i="2"/>
  <c r="F279" i="2"/>
  <c r="G497" i="5"/>
  <c r="G495" i="5"/>
  <c r="F459" i="7"/>
  <c r="F460" i="7"/>
  <c r="F458" i="7"/>
  <c r="F456" i="7"/>
  <c r="I455" i="7"/>
  <c r="I445" i="7"/>
  <c r="I480" i="7"/>
  <c r="I486" i="7" s="1"/>
  <c r="I488" i="7" s="1"/>
  <c r="I466" i="7"/>
  <c r="E474" i="5"/>
  <c r="E482" i="5" s="1"/>
  <c r="E478" i="5"/>
  <c r="E460" i="7"/>
  <c r="E459" i="7"/>
  <c r="E458" i="7"/>
  <c r="E456" i="7"/>
  <c r="I460" i="7"/>
  <c r="I459" i="7"/>
  <c r="I456" i="7"/>
  <c r="I458" i="7"/>
  <c r="E26" i="3"/>
  <c r="H466" i="7"/>
  <c r="H480" i="7"/>
  <c r="H486" i="7" s="1"/>
  <c r="H488" i="7" s="1"/>
  <c r="H455" i="7"/>
  <c r="H445" i="7"/>
  <c r="F496" i="5"/>
  <c r="F504" i="5" s="1"/>
  <c r="F457" i="5"/>
  <c r="F466" i="5" s="1"/>
  <c r="H504" i="5"/>
  <c r="F26" i="3"/>
  <c r="G195" i="4"/>
  <c r="G170" i="4"/>
  <c r="G317" i="4"/>
  <c r="G333" i="4" s="1"/>
  <c r="G34" i="4"/>
  <c r="G49" i="4" s="1"/>
  <c r="G34" i="5"/>
  <c r="G49" i="5" s="1"/>
  <c r="G478" i="5"/>
  <c r="G474" i="5"/>
  <c r="G482" i="5" s="1"/>
  <c r="D496" i="5"/>
  <c r="D504" i="5" s="1"/>
  <c r="D474" i="5"/>
  <c r="D482" i="5" s="1"/>
  <c r="D478" i="5"/>
  <c r="E480" i="7"/>
  <c r="E486" i="7" s="1"/>
  <c r="E488" i="7" s="1"/>
  <c r="E455" i="7"/>
  <c r="E466" i="7"/>
  <c r="E445" i="7"/>
  <c r="F211" i="4"/>
  <c r="F288" i="4"/>
  <c r="F303" i="4" s="1"/>
  <c r="I447" i="7"/>
  <c r="I457" i="7"/>
  <c r="I468" i="7"/>
  <c r="C279" i="2"/>
  <c r="C280" i="2"/>
  <c r="C278" i="2"/>
  <c r="H475" i="5"/>
  <c r="E497" i="5"/>
  <c r="E505" i="5" s="1"/>
  <c r="E278" i="2"/>
  <c r="E280" i="2"/>
  <c r="E279" i="2"/>
  <c r="F93" i="3"/>
  <c r="D34" i="5"/>
  <c r="D49" i="5" s="1"/>
  <c r="D34" i="4"/>
  <c r="D49" i="4" s="1"/>
  <c r="D278" i="2"/>
  <c r="D280" i="2"/>
  <c r="D279" i="2"/>
  <c r="G445" i="7"/>
  <c r="G466" i="7"/>
  <c r="G480" i="7"/>
  <c r="D211" i="4"/>
  <c r="D288" i="4"/>
  <c r="D303" i="4" s="1"/>
  <c r="H34" i="5"/>
  <c r="H49" i="5" s="1"/>
  <c r="H34" i="4"/>
  <c r="H49" i="4" s="1"/>
  <c r="H457" i="7"/>
  <c r="H447" i="7"/>
  <c r="H468" i="7"/>
  <c r="G481" i="7"/>
  <c r="G451" i="7"/>
  <c r="G472" i="7"/>
  <c r="G438" i="7"/>
  <c r="G455" i="7" s="1"/>
  <c r="F497" i="5"/>
  <c r="H211" i="4"/>
  <c r="H288" i="4"/>
  <c r="H303" i="4" s="1"/>
  <c r="F445" i="7"/>
  <c r="F466" i="7"/>
  <c r="F455" i="7"/>
  <c r="F480" i="7"/>
  <c r="F486" i="7" s="1"/>
  <c r="F488" i="7" s="1"/>
  <c r="H503" i="5"/>
  <c r="G496" i="5"/>
  <c r="G504" i="5" s="1"/>
  <c r="D457" i="5"/>
  <c r="D466" i="5" s="1"/>
  <c r="D495" i="5"/>
  <c r="E447" i="7"/>
  <c r="E457" i="7"/>
  <c r="E468" i="7"/>
  <c r="E496" i="5"/>
  <c r="E504" i="5" s="1"/>
  <c r="H93" i="3"/>
  <c r="G447" i="7"/>
  <c r="G468" i="7"/>
  <c r="F495" i="5"/>
  <c r="G93" i="3"/>
  <c r="F468" i="7"/>
  <c r="F447" i="7"/>
  <c r="F457" i="7"/>
  <c r="H459" i="7"/>
  <c r="H460" i="7"/>
  <c r="H458" i="7"/>
  <c r="H456" i="7"/>
  <c r="G457" i="5"/>
  <c r="G466" i="5" s="1"/>
  <c r="D497" i="5"/>
  <c r="D505" i="5" s="1"/>
  <c r="E508" i="7"/>
  <c r="E509" i="7"/>
  <c r="E512" i="7"/>
  <c r="E513" i="7" s="1"/>
  <c r="E34" i="5"/>
  <c r="E49" i="5" s="1"/>
  <c r="E34" i="4"/>
  <c r="E49" i="4" s="1"/>
  <c r="I508" i="7"/>
  <c r="I512" i="7"/>
  <c r="I513" i="7" s="1"/>
  <c r="I509" i="7"/>
  <c r="H486" i="5"/>
  <c r="H483" i="5"/>
  <c r="E495" i="5"/>
  <c r="E457" i="5"/>
  <c r="E466" i="5" s="1"/>
  <c r="D93" i="3"/>
  <c r="G512" i="7"/>
  <c r="G513" i="7" s="1"/>
  <c r="G508" i="7"/>
  <c r="G509" i="7"/>
  <c r="F29" i="3" l="1"/>
  <c r="H30" i="3"/>
  <c r="H31" i="3"/>
  <c r="G31" i="3"/>
  <c r="F31" i="3"/>
  <c r="F32" i="3" s="1"/>
  <c r="G30" i="3"/>
  <c r="F475" i="5"/>
  <c r="E30" i="3"/>
  <c r="E31" i="3"/>
  <c r="D29" i="3"/>
  <c r="D31" i="3"/>
  <c r="E475" i="5"/>
  <c r="G457" i="7"/>
  <c r="E452" i="7"/>
  <c r="D94" i="3"/>
  <c r="D97" i="3" s="1"/>
  <c r="D98" i="3" s="1"/>
  <c r="D29" i="5"/>
  <c r="D29" i="4"/>
  <c r="F473" i="7"/>
  <c r="F474" i="7" s="1"/>
  <c r="E31" i="5"/>
  <c r="E46" i="5" s="1"/>
  <c r="E61" i="5" s="1"/>
  <c r="E31" i="4"/>
  <c r="E46" i="4" s="1"/>
  <c r="E61" i="4" s="1"/>
  <c r="G473" i="7"/>
  <c r="G474" i="7" s="1"/>
  <c r="G475" i="7" s="1"/>
  <c r="F31" i="4"/>
  <c r="F46" i="4" s="1"/>
  <c r="F61" i="4" s="1"/>
  <c r="F31" i="5"/>
  <c r="F46" i="5" s="1"/>
  <c r="F61" i="5" s="1"/>
  <c r="E306" i="2"/>
  <c r="E308" i="2" s="1"/>
  <c r="E293" i="2"/>
  <c r="E295" i="2" s="1"/>
  <c r="C293" i="2"/>
  <c r="C295" i="2" s="1"/>
  <c r="C306" i="2"/>
  <c r="C308" i="2" s="1"/>
  <c r="D486" i="5"/>
  <c r="D483" i="5"/>
  <c r="G211" i="4"/>
  <c r="G288" i="4"/>
  <c r="G303" i="4" s="1"/>
  <c r="H462" i="7"/>
  <c r="E486" i="5"/>
  <c r="E483" i="5"/>
  <c r="F293" i="2"/>
  <c r="F295" i="2" s="1"/>
  <c r="F306" i="2"/>
  <c r="F308" i="2" s="1"/>
  <c r="G294" i="2"/>
  <c r="G307" i="2"/>
  <c r="H494" i="5"/>
  <c r="H502" i="5" s="1"/>
  <c r="H491" i="5"/>
  <c r="F503" i="5"/>
  <c r="F29" i="5"/>
  <c r="F29" i="4"/>
  <c r="F452" i="7"/>
  <c r="F505" i="5"/>
  <c r="D306" i="2"/>
  <c r="D308" i="2" s="1"/>
  <c r="D293" i="2"/>
  <c r="D295" i="2" s="1"/>
  <c r="F94" i="3"/>
  <c r="F97" i="3" s="1"/>
  <c r="F98" i="3" s="1"/>
  <c r="E473" i="7"/>
  <c r="E474" i="7" s="1"/>
  <c r="D31" i="5"/>
  <c r="D46" i="5" s="1"/>
  <c r="D61" i="5" s="1"/>
  <c r="D31" i="4"/>
  <c r="D46" i="4" s="1"/>
  <c r="D61" i="4" s="1"/>
  <c r="I452" i="7"/>
  <c r="F483" i="5"/>
  <c r="F486" i="5"/>
  <c r="E29" i="5"/>
  <c r="E29" i="4"/>
  <c r="G459" i="7"/>
  <c r="G456" i="7"/>
  <c r="G460" i="7"/>
  <c r="G458" i="7"/>
  <c r="G29" i="5"/>
  <c r="G29" i="4"/>
  <c r="D226" i="4"/>
  <c r="D241" i="4"/>
  <c r="D256" i="4"/>
  <c r="G452" i="7"/>
  <c r="E294" i="2"/>
  <c r="E307" i="2"/>
  <c r="C294" i="2"/>
  <c r="C307" i="2"/>
  <c r="E462" i="7"/>
  <c r="D475" i="5"/>
  <c r="G475" i="5"/>
  <c r="H473" i="7"/>
  <c r="H474" i="7" s="1"/>
  <c r="G31" i="4"/>
  <c r="G46" i="4" s="1"/>
  <c r="G61" i="4" s="1"/>
  <c r="G31" i="5"/>
  <c r="G46" i="5" s="1"/>
  <c r="G61" i="5" s="1"/>
  <c r="I462" i="7"/>
  <c r="G505" i="5"/>
  <c r="E503" i="5"/>
  <c r="E94" i="3"/>
  <c r="E97" i="3" s="1"/>
  <c r="E98" i="3" s="1"/>
  <c r="G94" i="3"/>
  <c r="G97" i="3" s="1"/>
  <c r="G98" i="3" s="1"/>
  <c r="H94" i="3"/>
  <c r="H97" i="3" s="1"/>
  <c r="H98" i="3" s="1"/>
  <c r="D503" i="5"/>
  <c r="F462" i="7"/>
  <c r="H226" i="4"/>
  <c r="H256" i="4"/>
  <c r="H241" i="4"/>
  <c r="F34" i="5"/>
  <c r="F49" i="5" s="1"/>
  <c r="F34" i="4"/>
  <c r="F49" i="4" s="1"/>
  <c r="G486" i="7"/>
  <c r="G488" i="7" s="1"/>
  <c r="D294" i="2"/>
  <c r="D307" i="2"/>
  <c r="H29" i="4"/>
  <c r="H29" i="5"/>
  <c r="F256" i="4"/>
  <c r="F226" i="4"/>
  <c r="F241" i="4"/>
  <c r="G483" i="5"/>
  <c r="G486" i="5"/>
  <c r="H452" i="7"/>
  <c r="I473" i="7"/>
  <c r="I474" i="7" s="1"/>
  <c r="H31" i="5"/>
  <c r="H46" i="5" s="1"/>
  <c r="H61" i="5" s="1"/>
  <c r="H31" i="4"/>
  <c r="H46" i="4" s="1"/>
  <c r="H61" i="4" s="1"/>
  <c r="G503" i="5"/>
  <c r="F307" i="2"/>
  <c r="F294" i="2"/>
  <c r="E211" i="4"/>
  <c r="E288" i="4"/>
  <c r="E303" i="4" s="1"/>
  <c r="G293" i="2"/>
  <c r="G295" i="2" s="1"/>
  <c r="G306" i="2"/>
  <c r="G308" i="2" s="1"/>
  <c r="H32" i="3" l="1"/>
  <c r="H33" i="3" s="1"/>
  <c r="H36" i="3" s="1"/>
  <c r="G32" i="3"/>
  <c r="G33" i="3" s="1"/>
  <c r="G36" i="3" s="1"/>
  <c r="H57" i="3"/>
  <c r="H58" i="3" s="1"/>
  <c r="F33" i="3"/>
  <c r="F34" i="3" s="1"/>
  <c r="F57" i="3"/>
  <c r="F58" i="3" s="1"/>
  <c r="E32" i="3"/>
  <c r="E57" i="3" s="1"/>
  <c r="D273" i="2" s="1"/>
  <c r="D32" i="3"/>
  <c r="D33" i="3" s="1"/>
  <c r="D36" i="3" s="1"/>
  <c r="G462" i="7"/>
  <c r="E226" i="4"/>
  <c r="E241" i="4"/>
  <c r="E256" i="4"/>
  <c r="H44" i="5"/>
  <c r="H26" i="5"/>
  <c r="H27" i="5" s="1"/>
  <c r="H36" i="5"/>
  <c r="H477" i="7"/>
  <c r="H507" i="7"/>
  <c r="H475" i="7"/>
  <c r="G44" i="4"/>
  <c r="G36" i="4"/>
  <c r="G26" i="4"/>
  <c r="E44" i="4"/>
  <c r="E36" i="4"/>
  <c r="E26" i="4"/>
  <c r="E477" i="7"/>
  <c r="E507" i="7"/>
  <c r="E475" i="7"/>
  <c r="E491" i="5"/>
  <c r="E494" i="5"/>
  <c r="E502" i="5" s="1"/>
  <c r="F76" i="5"/>
  <c r="F91" i="5" s="1"/>
  <c r="F31" i="6"/>
  <c r="F111" i="6"/>
  <c r="D44" i="4"/>
  <c r="D26" i="4"/>
  <c r="D36" i="4"/>
  <c r="H76" i="5"/>
  <c r="H91" i="5" s="1"/>
  <c r="H31" i="6"/>
  <c r="H111" i="6"/>
  <c r="H44" i="4"/>
  <c r="H26" i="4"/>
  <c r="H36" i="4"/>
  <c r="G44" i="5"/>
  <c r="G26" i="5"/>
  <c r="G27" i="5" s="1"/>
  <c r="G36" i="5"/>
  <c r="E44" i="5"/>
  <c r="E26" i="5"/>
  <c r="E27" i="5" s="1"/>
  <c r="E36" i="5"/>
  <c r="F44" i="4"/>
  <c r="F36" i="4"/>
  <c r="F26" i="4"/>
  <c r="H507" i="5"/>
  <c r="E76" i="5"/>
  <c r="E91" i="5" s="1"/>
  <c r="E111" i="6"/>
  <c r="E31" i="6"/>
  <c r="D44" i="5"/>
  <c r="D36" i="5"/>
  <c r="D26" i="5"/>
  <c r="D27" i="5" s="1"/>
  <c r="F273" i="2"/>
  <c r="I477" i="7"/>
  <c r="I507" i="7"/>
  <c r="I475" i="7"/>
  <c r="G494" i="5"/>
  <c r="G502" i="5" s="1"/>
  <c r="G491" i="5"/>
  <c r="G76" i="5"/>
  <c r="G91" i="5" s="1"/>
  <c r="G31" i="6"/>
  <c r="G111" i="6"/>
  <c r="F44" i="5"/>
  <c r="F36" i="5"/>
  <c r="F26" i="5"/>
  <c r="F27" i="5" s="1"/>
  <c r="G477" i="7"/>
  <c r="G507" i="7"/>
  <c r="F507" i="7"/>
  <c r="F477" i="7"/>
  <c r="F475" i="7"/>
  <c r="G34" i="3"/>
  <c r="F491" i="5"/>
  <c r="F494" i="5"/>
  <c r="D76" i="5"/>
  <c r="D91" i="5" s="1"/>
  <c r="D111" i="6"/>
  <c r="D31" i="6"/>
  <c r="H498" i="5"/>
  <c r="H499" i="5" s="1"/>
  <c r="G241" i="4"/>
  <c r="G226" i="4"/>
  <c r="G256" i="4"/>
  <c r="D494" i="5"/>
  <c r="D502" i="5" s="1"/>
  <c r="D491" i="5"/>
  <c r="G273" i="2"/>
  <c r="H34" i="3" l="1"/>
  <c r="G57" i="3"/>
  <c r="G58" i="3" s="1"/>
  <c r="F36" i="3"/>
  <c r="E273" i="2"/>
  <c r="E274" i="2" s="1"/>
  <c r="E58" i="3"/>
  <c r="E33" i="3"/>
  <c r="D57" i="3"/>
  <c r="C273" i="2" s="1"/>
  <c r="C276" i="2" s="1"/>
  <c r="D34" i="3"/>
  <c r="D38" i="3" s="1"/>
  <c r="G275" i="2"/>
  <c r="G276" i="2"/>
  <c r="G274" i="2"/>
  <c r="G507" i="5"/>
  <c r="F59" i="4"/>
  <c r="F41" i="4"/>
  <c r="F42" i="4" s="1"/>
  <c r="F51" i="4"/>
  <c r="F368" i="4"/>
  <c r="F64" i="4" s="1"/>
  <c r="O194" i="4"/>
  <c r="H27" i="4"/>
  <c r="E507" i="5"/>
  <c r="G59" i="4"/>
  <c r="G41" i="4"/>
  <c r="G42" i="4" s="1"/>
  <c r="G51" i="4"/>
  <c r="G368" i="4"/>
  <c r="G64" i="4" s="1"/>
  <c r="D507" i="5"/>
  <c r="F498" i="5"/>
  <c r="F38" i="3"/>
  <c r="G498" i="5"/>
  <c r="H511" i="5"/>
  <c r="H509" i="5"/>
  <c r="H510" i="5"/>
  <c r="H59" i="4"/>
  <c r="H368" i="4"/>
  <c r="H64" i="4" s="1"/>
  <c r="H51" i="4"/>
  <c r="H41" i="4"/>
  <c r="H42" i="4" s="1"/>
  <c r="E59" i="4"/>
  <c r="E368" i="4"/>
  <c r="E64" i="4" s="1"/>
  <c r="E51" i="4"/>
  <c r="E41" i="4"/>
  <c r="E42" i="4" s="1"/>
  <c r="H59" i="5"/>
  <c r="H41" i="5"/>
  <c r="H42" i="5" s="1"/>
  <c r="H227" i="5" s="1"/>
  <c r="H51" i="5"/>
  <c r="D274" i="2"/>
  <c r="D276" i="2"/>
  <c r="D275" i="2"/>
  <c r="F276" i="2"/>
  <c r="F274" i="2"/>
  <c r="F275" i="2"/>
  <c r="F27" i="4"/>
  <c r="M194" i="4"/>
  <c r="G59" i="5"/>
  <c r="G51" i="5"/>
  <c r="G41" i="5"/>
  <c r="G42" i="5" s="1"/>
  <c r="G227" i="5" s="1"/>
  <c r="K194" i="4"/>
  <c r="K195" i="4" s="1"/>
  <c r="D27" i="4"/>
  <c r="N194" i="4"/>
  <c r="N195" i="4" s="1"/>
  <c r="G27" i="4"/>
  <c r="D498" i="5"/>
  <c r="F502" i="5"/>
  <c r="G38" i="3"/>
  <c r="F59" i="5"/>
  <c r="F41" i="5"/>
  <c r="F42" i="5" s="1"/>
  <c r="F227" i="5" s="1"/>
  <c r="F51" i="5"/>
  <c r="D59" i="5"/>
  <c r="D41" i="5"/>
  <c r="D42" i="5" s="1"/>
  <c r="D227" i="5" s="1"/>
  <c r="D51" i="5"/>
  <c r="H508" i="5"/>
  <c r="E59" i="5"/>
  <c r="E41" i="5"/>
  <c r="E42" i="5" s="1"/>
  <c r="E227" i="5" s="1"/>
  <c r="E51" i="5"/>
  <c r="H38" i="3"/>
  <c r="D59" i="4"/>
  <c r="D368" i="4"/>
  <c r="D64" i="4" s="1"/>
  <c r="D51" i="4"/>
  <c r="D41" i="4"/>
  <c r="D42" i="4" s="1"/>
  <c r="E498" i="5"/>
  <c r="E499" i="5" s="1"/>
  <c r="E27" i="4"/>
  <c r="L194" i="4"/>
  <c r="D58" i="3" l="1"/>
  <c r="C275" i="2"/>
  <c r="C291" i="2" s="1"/>
  <c r="E275" i="2"/>
  <c r="E304" i="2" s="1"/>
  <c r="E276" i="2"/>
  <c r="E36" i="3"/>
  <c r="E34" i="3"/>
  <c r="C274" i="2"/>
  <c r="C290" i="2" s="1"/>
  <c r="D190" i="4"/>
  <c r="H39" i="3"/>
  <c r="H43" i="3" s="1"/>
  <c r="H516" i="5"/>
  <c r="H513" i="5"/>
  <c r="H524" i="5"/>
  <c r="F507" i="5"/>
  <c r="F508" i="5" s="1"/>
  <c r="D291" i="2"/>
  <c r="D304" i="2"/>
  <c r="H526" i="5"/>
  <c r="H518" i="5"/>
  <c r="F39" i="3"/>
  <c r="F43" i="3" s="1"/>
  <c r="E510" i="5"/>
  <c r="E511" i="5"/>
  <c r="E509" i="5"/>
  <c r="F190" i="4"/>
  <c r="E290" i="2"/>
  <c r="E303" i="2"/>
  <c r="G510" i="5"/>
  <c r="G509" i="5"/>
  <c r="G511" i="5"/>
  <c r="G304" i="2"/>
  <c r="G291" i="2"/>
  <c r="F239" i="5"/>
  <c r="F300" i="5"/>
  <c r="G300" i="5"/>
  <c r="G239" i="5"/>
  <c r="F291" i="2"/>
  <c r="F304" i="2"/>
  <c r="H239" i="5"/>
  <c r="H300" i="5"/>
  <c r="H517" i="5"/>
  <c r="H525" i="5"/>
  <c r="D511" i="5"/>
  <c r="D510" i="5"/>
  <c r="D509" i="5"/>
  <c r="F86" i="4"/>
  <c r="F96" i="4" s="1"/>
  <c r="F56" i="4"/>
  <c r="F57" i="4" s="1"/>
  <c r="F66" i="4"/>
  <c r="G290" i="2"/>
  <c r="G303" i="2"/>
  <c r="E239" i="5"/>
  <c r="E300" i="5"/>
  <c r="D239" i="5"/>
  <c r="D300" i="5"/>
  <c r="F74" i="5"/>
  <c r="F29" i="6"/>
  <c r="F109" i="6"/>
  <c r="D39" i="3"/>
  <c r="D43" i="3" s="1"/>
  <c r="M195" i="4"/>
  <c r="F193" i="4" s="1"/>
  <c r="F290" i="2"/>
  <c r="F303" i="2"/>
  <c r="H109" i="6"/>
  <c r="H74" i="5"/>
  <c r="H29" i="6"/>
  <c r="E86" i="4"/>
  <c r="E96" i="4" s="1"/>
  <c r="E66" i="4"/>
  <c r="E56" i="4"/>
  <c r="E57" i="4" s="1"/>
  <c r="H66" i="4"/>
  <c r="H56" i="4"/>
  <c r="H57" i="4" s="1"/>
  <c r="H86" i="4"/>
  <c r="H96" i="4" s="1"/>
  <c r="H519" i="5"/>
  <c r="H527" i="5"/>
  <c r="G499" i="5"/>
  <c r="F499" i="5"/>
  <c r="D508" i="5"/>
  <c r="G190" i="4"/>
  <c r="E508" i="5"/>
  <c r="C303" i="2"/>
  <c r="L195" i="4"/>
  <c r="E193" i="4" s="1"/>
  <c r="D66" i="4"/>
  <c r="D56" i="4"/>
  <c r="D57" i="4" s="1"/>
  <c r="D86" i="4"/>
  <c r="D96" i="4" s="1"/>
  <c r="E74" i="5"/>
  <c r="E29" i="6"/>
  <c r="E109" i="6"/>
  <c r="D74" i="5"/>
  <c r="D29" i="6"/>
  <c r="D109" i="6"/>
  <c r="G39" i="3"/>
  <c r="G43" i="3" s="1"/>
  <c r="D499" i="5"/>
  <c r="G193" i="4"/>
  <c r="D193" i="4"/>
  <c r="G74" i="5"/>
  <c r="G109" i="6"/>
  <c r="G29" i="6"/>
  <c r="D303" i="2"/>
  <c r="D290" i="2"/>
  <c r="E190" i="4"/>
  <c r="H190" i="4"/>
  <c r="G56" i="4"/>
  <c r="G57" i="4" s="1"/>
  <c r="G192" i="4" s="1"/>
  <c r="G66" i="4"/>
  <c r="G86" i="4"/>
  <c r="G96" i="4" s="1"/>
  <c r="O195" i="4"/>
  <c r="H193" i="4" s="1"/>
  <c r="G508" i="5"/>
  <c r="C304" i="2" l="1"/>
  <c r="E291" i="2"/>
  <c r="E38" i="3"/>
  <c r="E39" i="3" s="1"/>
  <c r="E43" i="3" s="1"/>
  <c r="E44" i="3" s="1"/>
  <c r="D271" i="2" s="1"/>
  <c r="H532" i="5"/>
  <c r="H540" i="5" s="1"/>
  <c r="H534" i="5"/>
  <c r="H542" i="5" s="1"/>
  <c r="H533" i="5"/>
  <c r="H541" i="5" s="1"/>
  <c r="F270" i="2"/>
  <c r="F281" i="2" s="1"/>
  <c r="G44" i="3"/>
  <c r="F271" i="2" s="1"/>
  <c r="H209" i="4"/>
  <c r="H286" i="4"/>
  <c r="H301" i="4" s="1"/>
  <c r="E209" i="4"/>
  <c r="E286" i="4"/>
  <c r="E301" i="4" s="1"/>
  <c r="D44" i="3"/>
  <c r="C271" i="2" s="1"/>
  <c r="C270" i="2"/>
  <c r="C281" i="2" s="1"/>
  <c r="H44" i="3"/>
  <c r="G271" i="2" s="1"/>
  <c r="G270" i="2"/>
  <c r="G281" i="2" s="1"/>
  <c r="H283" i="4"/>
  <c r="H206" i="4"/>
  <c r="D292" i="2"/>
  <c r="G89" i="5"/>
  <c r="D95" i="4"/>
  <c r="D94" i="4"/>
  <c r="D93" i="4"/>
  <c r="G206" i="4"/>
  <c r="G283" i="4"/>
  <c r="H158" i="4"/>
  <c r="H197" i="4"/>
  <c r="E95" i="4"/>
  <c r="E94" i="4"/>
  <c r="E93" i="4"/>
  <c r="H89" i="5"/>
  <c r="F292" i="2"/>
  <c r="F89" i="5"/>
  <c r="F158" i="4"/>
  <c r="F197" i="4"/>
  <c r="D526" i="5"/>
  <c r="D518" i="5"/>
  <c r="F209" i="4"/>
  <c r="F286" i="4"/>
  <c r="F301" i="4" s="1"/>
  <c r="G518" i="5"/>
  <c r="G526" i="5"/>
  <c r="F206" i="4"/>
  <c r="F283" i="4"/>
  <c r="E518" i="5"/>
  <c r="E526" i="5"/>
  <c r="F524" i="5"/>
  <c r="F516" i="5"/>
  <c r="D206" i="4"/>
  <c r="D283" i="4"/>
  <c r="G93" i="4"/>
  <c r="G94" i="4"/>
  <c r="G95" i="4"/>
  <c r="H192" i="4"/>
  <c r="D305" i="2"/>
  <c r="D286" i="4"/>
  <c r="D301" i="4" s="1"/>
  <c r="D209" i="4"/>
  <c r="D158" i="4"/>
  <c r="D197" i="4"/>
  <c r="C292" i="2"/>
  <c r="G285" i="4"/>
  <c r="G300" i="4" s="1"/>
  <c r="G208" i="4"/>
  <c r="E311" i="5"/>
  <c r="G305" i="2"/>
  <c r="F93" i="4"/>
  <c r="F94" i="4"/>
  <c r="F95" i="4"/>
  <c r="D519" i="5"/>
  <c r="D527" i="5"/>
  <c r="F192" i="4"/>
  <c r="E270" i="2"/>
  <c r="E281" i="2" s="1"/>
  <c r="F44" i="3"/>
  <c r="E271" i="2" s="1"/>
  <c r="F510" i="5"/>
  <c r="F511" i="5"/>
  <c r="F509" i="5"/>
  <c r="G516" i="5"/>
  <c r="G524" i="5"/>
  <c r="G513" i="5"/>
  <c r="E206" i="4"/>
  <c r="E283" i="4"/>
  <c r="G209" i="4"/>
  <c r="G286" i="4"/>
  <c r="G301" i="4" s="1"/>
  <c r="D89" i="5"/>
  <c r="C305" i="2"/>
  <c r="D516" i="5"/>
  <c r="D513" i="5"/>
  <c r="D524" i="5"/>
  <c r="H535" i="5"/>
  <c r="H543" i="5" s="1"/>
  <c r="E158" i="4"/>
  <c r="E197" i="4"/>
  <c r="D311" i="5"/>
  <c r="E250" i="5"/>
  <c r="E272" i="5"/>
  <c r="E261" i="5"/>
  <c r="G292" i="2"/>
  <c r="H311" i="5"/>
  <c r="G272" i="5"/>
  <c r="G261" i="5"/>
  <c r="G250" i="5"/>
  <c r="F311" i="5"/>
  <c r="G527" i="5"/>
  <c r="G519" i="5"/>
  <c r="E305" i="2"/>
  <c r="E525" i="5"/>
  <c r="E517" i="5"/>
  <c r="G197" i="4"/>
  <c r="G158" i="4"/>
  <c r="E192" i="4"/>
  <c r="E89" i="5"/>
  <c r="E513" i="5"/>
  <c r="E524" i="5"/>
  <c r="E516" i="5"/>
  <c r="H95" i="4"/>
  <c r="H93" i="4"/>
  <c r="H94" i="4"/>
  <c r="F305" i="2"/>
  <c r="D261" i="5"/>
  <c r="D272" i="5"/>
  <c r="D250" i="5"/>
  <c r="D517" i="5"/>
  <c r="D525" i="5"/>
  <c r="H261" i="5"/>
  <c r="H250" i="5"/>
  <c r="H272" i="5"/>
  <c r="G311" i="5"/>
  <c r="F250" i="5"/>
  <c r="F272" i="5"/>
  <c r="F261" i="5"/>
  <c r="G517" i="5"/>
  <c r="G525" i="5"/>
  <c r="E292" i="2"/>
  <c r="E519" i="5"/>
  <c r="E527" i="5"/>
  <c r="D192" i="4"/>
  <c r="D270" i="2" l="1"/>
  <c r="D281" i="2" s="1"/>
  <c r="D284" i="2" s="1"/>
  <c r="D534" i="5"/>
  <c r="D542" i="5" s="1"/>
  <c r="G535" i="5"/>
  <c r="G543" i="5" s="1"/>
  <c r="G532" i="5"/>
  <c r="G540" i="5" s="1"/>
  <c r="G534" i="5"/>
  <c r="G542" i="5" s="1"/>
  <c r="E533" i="5"/>
  <c r="E541" i="5" s="1"/>
  <c r="D208" i="4"/>
  <c r="D285" i="4"/>
  <c r="D300" i="4" s="1"/>
  <c r="E298" i="4"/>
  <c r="K191" i="4"/>
  <c r="D191" i="4" s="1"/>
  <c r="D166" i="4"/>
  <c r="G91" i="4"/>
  <c r="G92" i="4" s="1"/>
  <c r="G119" i="4"/>
  <c r="G318" i="4" s="1"/>
  <c r="G335" i="4" s="1"/>
  <c r="G337" i="4" s="1"/>
  <c r="H550" i="5"/>
  <c r="H558" i="5" s="1"/>
  <c r="H566" i="5" s="1"/>
  <c r="H574" i="5" s="1"/>
  <c r="H549" i="5"/>
  <c r="H552" i="5"/>
  <c r="H560" i="5" s="1"/>
  <c r="H568" i="5" s="1"/>
  <c r="H576" i="5" s="1"/>
  <c r="H551" i="5"/>
  <c r="H559" i="5" s="1"/>
  <c r="H567" i="5" s="1"/>
  <c r="H575" i="5" s="1"/>
  <c r="F224" i="4"/>
  <c r="F239" i="4"/>
  <c r="F254" i="4"/>
  <c r="M191" i="4"/>
  <c r="F191" i="4" s="1"/>
  <c r="F166" i="4"/>
  <c r="H213" i="4"/>
  <c r="H290" i="4"/>
  <c r="H305" i="4" s="1"/>
  <c r="G251" i="4"/>
  <c r="G236" i="4"/>
  <c r="G221" i="4"/>
  <c r="H298" i="4"/>
  <c r="H254" i="4"/>
  <c r="H239" i="4"/>
  <c r="H224" i="4"/>
  <c r="F284" i="2"/>
  <c r="F283" i="2"/>
  <c r="F282" i="2"/>
  <c r="F285" i="2"/>
  <c r="D533" i="5"/>
  <c r="D541" i="5" s="1"/>
  <c r="H91" i="4"/>
  <c r="H92" i="4" s="1"/>
  <c r="H119" i="4"/>
  <c r="H318" i="4" s="1"/>
  <c r="H335" i="4" s="1"/>
  <c r="H337" i="4" s="1"/>
  <c r="E208" i="4"/>
  <c r="E285" i="4"/>
  <c r="E300" i="4" s="1"/>
  <c r="E221" i="4"/>
  <c r="E236" i="4"/>
  <c r="E251" i="4"/>
  <c r="F525" i="5"/>
  <c r="F517" i="5"/>
  <c r="E284" i="2"/>
  <c r="E282" i="2"/>
  <c r="E283" i="2"/>
  <c r="E285" i="2"/>
  <c r="F119" i="4"/>
  <c r="F318" i="4" s="1"/>
  <c r="F335" i="4" s="1"/>
  <c r="F337" i="4" s="1"/>
  <c r="F91" i="4"/>
  <c r="F92" i="4" s="1"/>
  <c r="D254" i="4"/>
  <c r="D224" i="4"/>
  <c r="D239" i="4"/>
  <c r="H208" i="4"/>
  <c r="H285" i="4"/>
  <c r="H300" i="4" s="1"/>
  <c r="H537" i="5"/>
  <c r="H536" i="5" s="1"/>
  <c r="H544" i="5" s="1"/>
  <c r="H553" i="5" s="1"/>
  <c r="F298" i="4"/>
  <c r="E91" i="4"/>
  <c r="E92" i="4" s="1"/>
  <c r="E119" i="4"/>
  <c r="E318" i="4" s="1"/>
  <c r="E335" i="4" s="1"/>
  <c r="E337" i="4" s="1"/>
  <c r="O191" i="4"/>
  <c r="H191" i="4" s="1"/>
  <c r="H166" i="4"/>
  <c r="G283" i="2"/>
  <c r="G282" i="2"/>
  <c r="G284" i="2"/>
  <c r="G285" i="2"/>
  <c r="G166" i="4"/>
  <c r="N191" i="4"/>
  <c r="G191" i="4" s="1"/>
  <c r="E290" i="4"/>
  <c r="E305" i="4" s="1"/>
  <c r="E213" i="4"/>
  <c r="G254" i="4"/>
  <c r="G224" i="4"/>
  <c r="G239" i="4"/>
  <c r="F527" i="5"/>
  <c r="F519" i="5"/>
  <c r="F208" i="4"/>
  <c r="F285" i="4"/>
  <c r="F300" i="4" s="1"/>
  <c r="D535" i="5"/>
  <c r="D543" i="5" s="1"/>
  <c r="G223" i="4"/>
  <c r="G253" i="4"/>
  <c r="G238" i="4"/>
  <c r="D298" i="4"/>
  <c r="F513" i="5"/>
  <c r="F251" i="4"/>
  <c r="F221" i="4"/>
  <c r="F236" i="4"/>
  <c r="D91" i="4"/>
  <c r="D92" i="4" s="1"/>
  <c r="D119" i="4"/>
  <c r="D318" i="4" s="1"/>
  <c r="D335" i="4" s="1"/>
  <c r="D337" i="4" s="1"/>
  <c r="E239" i="4"/>
  <c r="E224" i="4"/>
  <c r="E254" i="4"/>
  <c r="D282" i="2"/>
  <c r="D283" i="2"/>
  <c r="D285" i="2"/>
  <c r="E535" i="5"/>
  <c r="E543" i="5" s="1"/>
  <c r="G533" i="5"/>
  <c r="G541" i="5" s="1"/>
  <c r="E532" i="5"/>
  <c r="G213" i="4"/>
  <c r="G290" i="4"/>
  <c r="G305" i="4" s="1"/>
  <c r="E166" i="4"/>
  <c r="L191" i="4"/>
  <c r="E191" i="4" s="1"/>
  <c r="D532" i="5"/>
  <c r="F518" i="5"/>
  <c r="F526" i="5"/>
  <c r="D213" i="4"/>
  <c r="D290" i="4"/>
  <c r="D305" i="4" s="1"/>
  <c r="D236" i="4"/>
  <c r="D221" i="4"/>
  <c r="D251" i="4"/>
  <c r="F532" i="5"/>
  <c r="E534" i="5"/>
  <c r="E542" i="5" s="1"/>
  <c r="F213" i="4"/>
  <c r="F290" i="4"/>
  <c r="F305" i="4" s="1"/>
  <c r="G298" i="4"/>
  <c r="H236" i="4"/>
  <c r="H221" i="4"/>
  <c r="H251" i="4"/>
  <c r="C283" i="2"/>
  <c r="C282" i="2"/>
  <c r="C284" i="2"/>
  <c r="C285" i="2"/>
  <c r="H545" i="5" l="1"/>
  <c r="F533" i="5"/>
  <c r="F541" i="5" s="1"/>
  <c r="H284" i="4"/>
  <c r="H207" i="4"/>
  <c r="H198" i="4"/>
  <c r="F207" i="4"/>
  <c r="F284" i="4"/>
  <c r="F198" i="4"/>
  <c r="G207" i="4"/>
  <c r="G284" i="4"/>
  <c r="G198" i="4"/>
  <c r="E207" i="4"/>
  <c r="E284" i="4"/>
  <c r="E198" i="4"/>
  <c r="D284" i="4"/>
  <c r="D207" i="4"/>
  <c r="D198" i="4"/>
  <c r="F540" i="5"/>
  <c r="E243" i="4"/>
  <c r="E228" i="4"/>
  <c r="E258" i="4"/>
  <c r="H160" i="4"/>
  <c r="H161" i="4"/>
  <c r="H165" i="4"/>
  <c r="H162" i="4"/>
  <c r="H163" i="4"/>
  <c r="H164" i="4"/>
  <c r="C296" i="2"/>
  <c r="C299" i="2" s="1"/>
  <c r="C309" i="2"/>
  <c r="C312" i="2" s="1"/>
  <c r="C286" i="2"/>
  <c r="G228" i="4"/>
  <c r="G243" i="4"/>
  <c r="G258" i="4"/>
  <c r="D298" i="2"/>
  <c r="D301" i="2" s="1"/>
  <c r="D311" i="2"/>
  <c r="D314" i="2" s="1"/>
  <c r="D288" i="2"/>
  <c r="G296" i="2"/>
  <c r="G299" i="2" s="1"/>
  <c r="G309" i="2"/>
  <c r="G312" i="2" s="1"/>
  <c r="G286" i="2"/>
  <c r="H238" i="4"/>
  <c r="H253" i="4"/>
  <c r="H223" i="4"/>
  <c r="E310" i="2"/>
  <c r="E313" i="2" s="1"/>
  <c r="E297" i="2"/>
  <c r="E300" i="2" s="1"/>
  <c r="E287" i="2"/>
  <c r="F297" i="2"/>
  <c r="F300" i="2" s="1"/>
  <c r="F310" i="2"/>
  <c r="F313" i="2" s="1"/>
  <c r="F287" i="2"/>
  <c r="F165" i="4"/>
  <c r="F163" i="4"/>
  <c r="F160" i="4"/>
  <c r="F162" i="4"/>
  <c r="F164" i="4"/>
  <c r="F161" i="4"/>
  <c r="H584" i="5"/>
  <c r="H592" i="5" s="1"/>
  <c r="G551" i="5"/>
  <c r="G559" i="5" s="1"/>
  <c r="G567" i="5" s="1"/>
  <c r="G575" i="5" s="1"/>
  <c r="G552" i="5"/>
  <c r="G560" i="5" s="1"/>
  <c r="G568" i="5" s="1"/>
  <c r="G576" i="5" s="1"/>
  <c r="G550" i="5"/>
  <c r="G558" i="5" s="1"/>
  <c r="G566" i="5" s="1"/>
  <c r="G574" i="5" s="1"/>
  <c r="G549" i="5"/>
  <c r="C297" i="2"/>
  <c r="C300" i="2" s="1"/>
  <c r="C310" i="2"/>
  <c r="C313" i="2" s="1"/>
  <c r="C287" i="2"/>
  <c r="F228" i="4"/>
  <c r="F243" i="4"/>
  <c r="F258" i="4"/>
  <c r="F534" i="5"/>
  <c r="F542" i="5" s="1"/>
  <c r="E164" i="4"/>
  <c r="E163" i="4"/>
  <c r="E162" i="4"/>
  <c r="E165" i="4"/>
  <c r="E160" i="4"/>
  <c r="E161" i="4"/>
  <c r="E537" i="5"/>
  <c r="E536" i="5" s="1"/>
  <c r="E544" i="5" s="1"/>
  <c r="E553" i="5" s="1"/>
  <c r="E540" i="5"/>
  <c r="D310" i="2"/>
  <c r="D313" i="2" s="1"/>
  <c r="D297" i="2"/>
  <c r="D300" i="2" s="1"/>
  <c r="D287" i="2"/>
  <c r="F238" i="4"/>
  <c r="F223" i="4"/>
  <c r="F253" i="4"/>
  <c r="G165" i="4"/>
  <c r="G160" i="4"/>
  <c r="G164" i="4"/>
  <c r="G163" i="4"/>
  <c r="G162" i="4"/>
  <c r="G161" i="4"/>
  <c r="G310" i="2"/>
  <c r="G313" i="2" s="1"/>
  <c r="G297" i="2"/>
  <c r="G300" i="2" s="1"/>
  <c r="G287" i="2"/>
  <c r="E296" i="2"/>
  <c r="E299" i="2" s="1"/>
  <c r="E309" i="2"/>
  <c r="E312" i="2" s="1"/>
  <c r="E286" i="2"/>
  <c r="F298" i="2"/>
  <c r="F301" i="2" s="1"/>
  <c r="F311" i="2"/>
  <c r="F314" i="2" s="1"/>
  <c r="F288" i="2"/>
  <c r="H258" i="4"/>
  <c r="H228" i="4"/>
  <c r="H243" i="4"/>
  <c r="H554" i="5"/>
  <c r="H557" i="5"/>
  <c r="D160" i="4"/>
  <c r="D161" i="4"/>
  <c r="D164" i="4"/>
  <c r="D162" i="4"/>
  <c r="D165" i="4"/>
  <c r="D163" i="4"/>
  <c r="G537" i="5"/>
  <c r="G536" i="5" s="1"/>
  <c r="G544" i="5" s="1"/>
  <c r="G553" i="5" s="1"/>
  <c r="D258" i="4"/>
  <c r="D243" i="4"/>
  <c r="D228" i="4"/>
  <c r="D537" i="5"/>
  <c r="D536" i="5" s="1"/>
  <c r="D544" i="5" s="1"/>
  <c r="D553" i="5" s="1"/>
  <c r="D540" i="5"/>
  <c r="D309" i="2"/>
  <c r="D312" i="2" s="1"/>
  <c r="D296" i="2"/>
  <c r="D299" i="2" s="1"/>
  <c r="D286" i="2"/>
  <c r="F535" i="5"/>
  <c r="F543" i="5" s="1"/>
  <c r="E298" i="2"/>
  <c r="E301" i="2" s="1"/>
  <c r="E311" i="2"/>
  <c r="E314" i="2" s="1"/>
  <c r="E288" i="2"/>
  <c r="H583" i="5"/>
  <c r="H582" i="5"/>
  <c r="H590" i="5" s="1"/>
  <c r="C298" i="2"/>
  <c r="C301" i="2" s="1"/>
  <c r="C311" i="2"/>
  <c r="C314" i="2" s="1"/>
  <c r="C288" i="2"/>
  <c r="G311" i="2"/>
  <c r="G314" i="2" s="1"/>
  <c r="G298" i="2"/>
  <c r="G301" i="2" s="1"/>
  <c r="G288" i="2"/>
  <c r="E253" i="4"/>
  <c r="E223" i="4"/>
  <c r="E238" i="4"/>
  <c r="F309" i="2"/>
  <c r="F312" i="2" s="1"/>
  <c r="F296" i="2"/>
  <c r="F299" i="2" s="1"/>
  <c r="F286" i="2"/>
  <c r="D223" i="4"/>
  <c r="D238" i="4"/>
  <c r="D253" i="4"/>
  <c r="G545" i="5" l="1"/>
  <c r="G584" i="5"/>
  <c r="G592" i="5" s="1"/>
  <c r="G299" i="4"/>
  <c r="G306" i="4" s="1"/>
  <c r="G291" i="4"/>
  <c r="D550" i="5"/>
  <c r="D558" i="5" s="1"/>
  <c r="D566" i="5" s="1"/>
  <c r="D574" i="5" s="1"/>
  <c r="D549" i="5"/>
  <c r="D552" i="5"/>
  <c r="D560" i="5" s="1"/>
  <c r="D568" i="5" s="1"/>
  <c r="D576" i="5" s="1"/>
  <c r="D545" i="5"/>
  <c r="D551" i="5"/>
  <c r="D559" i="5" s="1"/>
  <c r="D567" i="5" s="1"/>
  <c r="D575" i="5" s="1"/>
  <c r="G583" i="5"/>
  <c r="G591" i="5" s="1"/>
  <c r="E299" i="4"/>
  <c r="E306" i="4" s="1"/>
  <c r="E291" i="4"/>
  <c r="G237" i="4"/>
  <c r="G244" i="4" s="1"/>
  <c r="G252" i="4"/>
  <c r="G259" i="4" s="1"/>
  <c r="G222" i="4"/>
  <c r="G229" i="4" s="1"/>
  <c r="G214" i="4"/>
  <c r="H565" i="5"/>
  <c r="H561" i="5"/>
  <c r="H569" i="5" s="1"/>
  <c r="G557" i="5"/>
  <c r="G554" i="5"/>
  <c r="F552" i="5"/>
  <c r="F560" i="5" s="1"/>
  <c r="F568" i="5" s="1"/>
  <c r="F576" i="5" s="1"/>
  <c r="F549" i="5"/>
  <c r="F550" i="5"/>
  <c r="F558" i="5" s="1"/>
  <c r="F566" i="5" s="1"/>
  <c r="F574" i="5" s="1"/>
  <c r="F551" i="5"/>
  <c r="F559" i="5" s="1"/>
  <c r="F567" i="5" s="1"/>
  <c r="F575" i="5" s="1"/>
  <c r="D222" i="4"/>
  <c r="D229" i="4" s="1"/>
  <c r="D237" i="4"/>
  <c r="D244" i="4" s="1"/>
  <c r="D252" i="4"/>
  <c r="D259" i="4" s="1"/>
  <c r="D214" i="4"/>
  <c r="E222" i="4"/>
  <c r="E229" i="4" s="1"/>
  <c r="E237" i="4"/>
  <c r="E244" i="4" s="1"/>
  <c r="E252" i="4"/>
  <c r="E259" i="4" s="1"/>
  <c r="E214" i="4"/>
  <c r="H222" i="4"/>
  <c r="H229" i="4" s="1"/>
  <c r="H237" i="4"/>
  <c r="H244" i="4" s="1"/>
  <c r="H252" i="4"/>
  <c r="H259" i="4" s="1"/>
  <c r="H214" i="4"/>
  <c r="F252" i="4"/>
  <c r="F259" i="4" s="1"/>
  <c r="F222" i="4"/>
  <c r="F229" i="4" s="1"/>
  <c r="F237" i="4"/>
  <c r="F244" i="4" s="1"/>
  <c r="F214" i="4"/>
  <c r="H591" i="5"/>
  <c r="E549" i="5"/>
  <c r="E545" i="5"/>
  <c r="E552" i="5"/>
  <c r="E560" i="5" s="1"/>
  <c r="E568" i="5" s="1"/>
  <c r="E576" i="5" s="1"/>
  <c r="E551" i="5"/>
  <c r="E559" i="5" s="1"/>
  <c r="E567" i="5" s="1"/>
  <c r="E575" i="5" s="1"/>
  <c r="E550" i="5"/>
  <c r="E558" i="5" s="1"/>
  <c r="E566" i="5" s="1"/>
  <c r="E574" i="5" s="1"/>
  <c r="G582" i="5"/>
  <c r="F537" i="5"/>
  <c r="F536" i="5" s="1"/>
  <c r="F544" i="5" s="1"/>
  <c r="F553" i="5" s="1"/>
  <c r="D299" i="4"/>
  <c r="D306" i="4" s="1"/>
  <c r="D291" i="4"/>
  <c r="F299" i="4"/>
  <c r="F306" i="4" s="1"/>
  <c r="F291" i="4"/>
  <c r="H299" i="4"/>
  <c r="H306" i="4" s="1"/>
  <c r="H291" i="4"/>
  <c r="H326" i="4" l="1"/>
  <c r="H327" i="4"/>
  <c r="D326" i="4"/>
  <c r="D327" i="4"/>
  <c r="D584" i="5"/>
  <c r="D592" i="5" s="1"/>
  <c r="G590" i="5"/>
  <c r="G561" i="5"/>
  <c r="G569" i="5" s="1"/>
  <c r="G565" i="5"/>
  <c r="D554" i="5"/>
  <c r="D557" i="5"/>
  <c r="F326" i="4"/>
  <c r="F327" i="4"/>
  <c r="E582" i="5"/>
  <c r="E590" i="5" s="1"/>
  <c r="E557" i="5"/>
  <c r="E554" i="5"/>
  <c r="F261" i="4"/>
  <c r="F262" i="4" s="1"/>
  <c r="H261" i="4"/>
  <c r="H262" i="4" s="1"/>
  <c r="E261" i="4"/>
  <c r="E262" i="4" s="1"/>
  <c r="D261" i="4"/>
  <c r="D262" i="4" s="1"/>
  <c r="F583" i="5"/>
  <c r="F545" i="5"/>
  <c r="G261" i="4"/>
  <c r="G262" i="4" s="1"/>
  <c r="D583" i="5"/>
  <c r="D591" i="5" s="1"/>
  <c r="D582" i="5"/>
  <c r="D590" i="5" s="1"/>
  <c r="E584" i="5"/>
  <c r="F557" i="5"/>
  <c r="F554" i="5"/>
  <c r="H570" i="5"/>
  <c r="H573" i="5"/>
  <c r="G327" i="4"/>
  <c r="G326" i="4"/>
  <c r="F584" i="5"/>
  <c r="E583" i="5"/>
  <c r="F582" i="5"/>
  <c r="F590" i="5" s="1"/>
  <c r="H562" i="5"/>
  <c r="E326" i="4"/>
  <c r="E327" i="4"/>
  <c r="G562" i="5" l="1"/>
  <c r="F328" i="4"/>
  <c r="G328" i="4"/>
  <c r="E328" i="4"/>
  <c r="D328" i="4"/>
  <c r="H578" i="5"/>
  <c r="H581" i="5"/>
  <c r="H589" i="5" s="1"/>
  <c r="E263" i="4"/>
  <c r="E265" i="4"/>
  <c r="E565" i="5"/>
  <c r="E561" i="5"/>
  <c r="E569" i="5" s="1"/>
  <c r="G573" i="5"/>
  <c r="G570" i="5"/>
  <c r="E592" i="5"/>
  <c r="H263" i="4"/>
  <c r="H265" i="4"/>
  <c r="D561" i="5"/>
  <c r="D569" i="5" s="1"/>
  <c r="D565" i="5"/>
  <c r="F591" i="5"/>
  <c r="F263" i="4"/>
  <c r="F265" i="4"/>
  <c r="H328" i="4"/>
  <c r="E591" i="5"/>
  <c r="F592" i="5"/>
  <c r="F561" i="5"/>
  <c r="F569" i="5" s="1"/>
  <c r="F565" i="5"/>
  <c r="G265" i="4"/>
  <c r="G263" i="4"/>
  <c r="D263" i="4"/>
  <c r="D265" i="4"/>
  <c r="E562" i="5" l="1"/>
  <c r="H267" i="4"/>
  <c r="H269" i="4" s="1"/>
  <c r="H272" i="4" s="1"/>
  <c r="H273" i="4" s="1"/>
  <c r="G267" i="4"/>
  <c r="G269" i="4" s="1"/>
  <c r="G272" i="4" s="1"/>
  <c r="G273" i="4" s="1"/>
  <c r="G578" i="5"/>
  <c r="G581" i="5"/>
  <c r="G589" i="5" s="1"/>
  <c r="E570" i="5"/>
  <c r="E573" i="5"/>
  <c r="H594" i="5"/>
  <c r="H595" i="5" s="1"/>
  <c r="F570" i="5"/>
  <c r="F573" i="5"/>
  <c r="F267" i="4"/>
  <c r="D570" i="5"/>
  <c r="D573" i="5"/>
  <c r="E267" i="4"/>
  <c r="H585" i="5"/>
  <c r="F562" i="5"/>
  <c r="D562" i="5"/>
  <c r="D267" i="4"/>
  <c r="E269" i="4" l="1"/>
  <c r="E272" i="4" s="1"/>
  <c r="E273" i="4" s="1"/>
  <c r="D269" i="4"/>
  <c r="D272" i="4" s="1"/>
  <c r="D273" i="4" s="1"/>
  <c r="D581" i="5"/>
  <c r="D578" i="5"/>
  <c r="H611" i="5"/>
  <c r="H603" i="5"/>
  <c r="G594" i="5"/>
  <c r="G595" i="5" s="1"/>
  <c r="H586" i="5"/>
  <c r="F581" i="5"/>
  <c r="F578" i="5"/>
  <c r="H598" i="5"/>
  <c r="H596" i="5"/>
  <c r="H597" i="5"/>
  <c r="G585" i="5"/>
  <c r="G586" i="5" s="1"/>
  <c r="F269" i="4"/>
  <c r="F272" i="4" s="1"/>
  <c r="F273" i="4" s="1"/>
  <c r="E581" i="5"/>
  <c r="E578" i="5"/>
  <c r="H619" i="5" l="1"/>
  <c r="H627" i="5" s="1"/>
  <c r="H604" i="5"/>
  <c r="H612" i="5"/>
  <c r="G611" i="5"/>
  <c r="G603" i="5"/>
  <c r="H606" i="5"/>
  <c r="H614" i="5"/>
  <c r="D585" i="5"/>
  <c r="D586" i="5" s="1"/>
  <c r="G597" i="5"/>
  <c r="G598" i="5"/>
  <c r="G596" i="5"/>
  <c r="H600" i="5"/>
  <c r="D589" i="5"/>
  <c r="E585" i="5"/>
  <c r="E586" i="5" s="1"/>
  <c r="F585" i="5"/>
  <c r="F586" i="5" s="1"/>
  <c r="E589" i="5"/>
  <c r="H605" i="5"/>
  <c r="H613" i="5"/>
  <c r="F589" i="5"/>
  <c r="G600" i="5" l="1"/>
  <c r="G619" i="5"/>
  <c r="G627" i="5" s="1"/>
  <c r="G612" i="5"/>
  <c r="G604" i="5"/>
  <c r="H621" i="5"/>
  <c r="H629" i="5" s="1"/>
  <c r="G606" i="5"/>
  <c r="G614" i="5"/>
  <c r="H622" i="5"/>
  <c r="H630" i="5" s="1"/>
  <c r="D594" i="5"/>
  <c r="D595" i="5" s="1"/>
  <c r="G605" i="5"/>
  <c r="G613" i="5"/>
  <c r="H636" i="5"/>
  <c r="F594" i="5"/>
  <c r="F595" i="5" s="1"/>
  <c r="E594" i="5"/>
  <c r="H620" i="5"/>
  <c r="G620" i="5" l="1"/>
  <c r="G628" i="5" s="1"/>
  <c r="G637" i="5" s="1"/>
  <c r="G645" i="5" s="1"/>
  <c r="G653" i="5" s="1"/>
  <c r="G661" i="5" s="1"/>
  <c r="D611" i="5"/>
  <c r="D603" i="5"/>
  <c r="F603" i="5"/>
  <c r="F611" i="5"/>
  <c r="E596" i="5"/>
  <c r="E598" i="5"/>
  <c r="E597" i="5"/>
  <c r="F596" i="5"/>
  <c r="F598" i="5"/>
  <c r="F597" i="5"/>
  <c r="D596" i="5"/>
  <c r="D597" i="5"/>
  <c r="D598" i="5"/>
  <c r="H628" i="5"/>
  <c r="H624" i="5"/>
  <c r="H623" i="5" s="1"/>
  <c r="H631" i="5" s="1"/>
  <c r="H640" i="5" s="1"/>
  <c r="E595" i="5"/>
  <c r="G636" i="5"/>
  <c r="H644" i="5"/>
  <c r="G621" i="5"/>
  <c r="G622" i="5"/>
  <c r="G630" i="5" s="1"/>
  <c r="G639" i="5" s="1"/>
  <c r="G647" i="5" s="1"/>
  <c r="G655" i="5" s="1"/>
  <c r="G663" i="5" s="1"/>
  <c r="D600" i="5" l="1"/>
  <c r="D619" i="5"/>
  <c r="D627" i="5" s="1"/>
  <c r="D605" i="5"/>
  <c r="D613" i="5"/>
  <c r="F604" i="5"/>
  <c r="F612" i="5"/>
  <c r="E613" i="5"/>
  <c r="E605" i="5"/>
  <c r="F600" i="5"/>
  <c r="G671" i="5"/>
  <c r="G679" i="5" s="1"/>
  <c r="H632" i="5"/>
  <c r="H637" i="5"/>
  <c r="H639" i="5"/>
  <c r="H647" i="5" s="1"/>
  <c r="H655" i="5" s="1"/>
  <c r="H663" i="5" s="1"/>
  <c r="F613" i="5"/>
  <c r="F605" i="5"/>
  <c r="E614" i="5"/>
  <c r="E606" i="5"/>
  <c r="F619" i="5"/>
  <c r="H638" i="5"/>
  <c r="H646" i="5" s="1"/>
  <c r="H654" i="5" s="1"/>
  <c r="H662" i="5" s="1"/>
  <c r="G669" i="5"/>
  <c r="G677" i="5" s="1"/>
  <c r="G644" i="5"/>
  <c r="D606" i="5"/>
  <c r="D614" i="5"/>
  <c r="F614" i="5"/>
  <c r="F606" i="5"/>
  <c r="E604" i="5"/>
  <c r="E612" i="5"/>
  <c r="G629" i="5"/>
  <c r="G624" i="5"/>
  <c r="G623" i="5" s="1"/>
  <c r="G631" i="5" s="1"/>
  <c r="G640" i="5" s="1"/>
  <c r="E611" i="5"/>
  <c r="E603" i="5"/>
  <c r="E600" i="5"/>
  <c r="D604" i="5"/>
  <c r="D612" i="5"/>
  <c r="H652" i="5"/>
  <c r="F622" i="5" l="1"/>
  <c r="F630" i="5" s="1"/>
  <c r="E619" i="5"/>
  <c r="E622" i="5"/>
  <c r="E630" i="5" s="1"/>
  <c r="D620" i="5"/>
  <c r="D628" i="5" s="1"/>
  <c r="D637" i="5" s="1"/>
  <c r="D645" i="5" s="1"/>
  <c r="D653" i="5" s="1"/>
  <c r="D661" i="5" s="1"/>
  <c r="D621" i="5"/>
  <c r="D629" i="5" s="1"/>
  <c r="H671" i="5"/>
  <c r="H679" i="5" s="1"/>
  <c r="D622" i="5"/>
  <c r="D630" i="5" s="1"/>
  <c r="H645" i="5"/>
  <c r="H641" i="5"/>
  <c r="H670" i="5"/>
  <c r="H678" i="5" s="1"/>
  <c r="F621" i="5"/>
  <c r="F629" i="5" s="1"/>
  <c r="E621" i="5"/>
  <c r="E629" i="5" s="1"/>
  <c r="H660" i="5"/>
  <c r="E627" i="5"/>
  <c r="D636" i="5"/>
  <c r="E620" i="5"/>
  <c r="E628" i="5" s="1"/>
  <c r="F620" i="5"/>
  <c r="F628" i="5" s="1"/>
  <c r="G652" i="5"/>
  <c r="G632" i="5"/>
  <c r="G638" i="5"/>
  <c r="F627" i="5"/>
  <c r="D638" i="5" l="1"/>
  <c r="D646" i="5" s="1"/>
  <c r="D654" i="5" s="1"/>
  <c r="D662" i="5" s="1"/>
  <c r="D670" i="5" s="1"/>
  <c r="D639" i="5"/>
  <c r="D647" i="5" s="1"/>
  <c r="D655" i="5" s="1"/>
  <c r="D663" i="5" s="1"/>
  <c r="D671" i="5" s="1"/>
  <c r="H668" i="5"/>
  <c r="D624" i="5"/>
  <c r="D623" i="5" s="1"/>
  <c r="D631" i="5" s="1"/>
  <c r="D640" i="5" s="1"/>
  <c r="D644" i="5"/>
  <c r="F637" i="5"/>
  <c r="F645" i="5" s="1"/>
  <c r="F653" i="5" s="1"/>
  <c r="F661" i="5" s="1"/>
  <c r="F638" i="5"/>
  <c r="F646" i="5" s="1"/>
  <c r="F654" i="5" s="1"/>
  <c r="F662" i="5" s="1"/>
  <c r="F639" i="5"/>
  <c r="F647" i="5" s="1"/>
  <c r="F655" i="5" s="1"/>
  <c r="F663" i="5" s="1"/>
  <c r="F636" i="5"/>
  <c r="D669" i="5"/>
  <c r="D677" i="5" s="1"/>
  <c r="E638" i="5"/>
  <c r="E646" i="5" s="1"/>
  <c r="E654" i="5" s="1"/>
  <c r="E662" i="5" s="1"/>
  <c r="E636" i="5"/>
  <c r="E637" i="5"/>
  <c r="E645" i="5" s="1"/>
  <c r="E653" i="5" s="1"/>
  <c r="E661" i="5" s="1"/>
  <c r="E639" i="5"/>
  <c r="E647" i="5" s="1"/>
  <c r="E655" i="5" s="1"/>
  <c r="E663" i="5" s="1"/>
  <c r="F624" i="5"/>
  <c r="F623" i="5" s="1"/>
  <c r="F631" i="5" s="1"/>
  <c r="F640" i="5" s="1"/>
  <c r="E624" i="5"/>
  <c r="E623" i="5" s="1"/>
  <c r="E631" i="5" s="1"/>
  <c r="E640" i="5" s="1"/>
  <c r="H653" i="5"/>
  <c r="H648" i="5"/>
  <c r="H656" i="5" s="1"/>
  <c r="G646" i="5"/>
  <c r="G641" i="5"/>
  <c r="G660" i="5"/>
  <c r="D641" i="5" l="1"/>
  <c r="H661" i="5"/>
  <c r="H657" i="5"/>
  <c r="E644" i="5"/>
  <c r="E641" i="5"/>
  <c r="F670" i="5"/>
  <c r="D652" i="5"/>
  <c r="D648" i="5"/>
  <c r="D656" i="5" s="1"/>
  <c r="G654" i="5"/>
  <c r="G648" i="5"/>
  <c r="G656" i="5" s="1"/>
  <c r="E632" i="5"/>
  <c r="F641" i="5"/>
  <c r="F644" i="5"/>
  <c r="F669" i="5"/>
  <c r="F677" i="5" s="1"/>
  <c r="E670" i="5"/>
  <c r="F632" i="5"/>
  <c r="G668" i="5"/>
  <c r="G676" i="5" s="1"/>
  <c r="H649" i="5"/>
  <c r="D678" i="5"/>
  <c r="E669" i="5"/>
  <c r="F671" i="5"/>
  <c r="F679" i="5" s="1"/>
  <c r="H676" i="5"/>
  <c r="D679" i="5"/>
  <c r="E671" i="5"/>
  <c r="E679" i="5" s="1"/>
  <c r="D632" i="5"/>
  <c r="E648" i="5" l="1"/>
  <c r="E656" i="5" s="1"/>
  <c r="E652" i="5"/>
  <c r="D660" i="5"/>
  <c r="D657" i="5"/>
  <c r="E677" i="5"/>
  <c r="F652" i="5"/>
  <c r="F648" i="5"/>
  <c r="F656" i="5" s="1"/>
  <c r="G649" i="5"/>
  <c r="D649" i="5"/>
  <c r="H669" i="5"/>
  <c r="H677" i="5" s="1"/>
  <c r="H681" i="5" s="1"/>
  <c r="H665" i="5"/>
  <c r="E678" i="5"/>
  <c r="G662" i="5"/>
  <c r="G657" i="5"/>
  <c r="F678" i="5"/>
  <c r="H685" i="5" l="1"/>
  <c r="H684" i="5"/>
  <c r="H682" i="5"/>
  <c r="H672" i="5"/>
  <c r="F657" i="5"/>
  <c r="F660" i="5"/>
  <c r="E649" i="5"/>
  <c r="E660" i="5"/>
  <c r="E657" i="5"/>
  <c r="H683" i="5"/>
  <c r="G670" i="5"/>
  <c r="G678" i="5" s="1"/>
  <c r="G665" i="5"/>
  <c r="F649" i="5"/>
  <c r="D668" i="5"/>
  <c r="D676" i="5" s="1"/>
  <c r="D665" i="5"/>
  <c r="H690" i="5" l="1"/>
  <c r="H687" i="5"/>
  <c r="H698" i="5"/>
  <c r="H691" i="5"/>
  <c r="H699" i="5"/>
  <c r="H700" i="5"/>
  <c r="H692" i="5"/>
  <c r="D681" i="5"/>
  <c r="G681" i="5"/>
  <c r="H693" i="5"/>
  <c r="H701" i="5"/>
  <c r="D672" i="5"/>
  <c r="D673" i="5" s="1"/>
  <c r="G672" i="5"/>
  <c r="E665" i="5"/>
  <c r="E668" i="5"/>
  <c r="F668" i="5"/>
  <c r="F665" i="5"/>
  <c r="H673" i="5"/>
  <c r="H709" i="5" l="1"/>
  <c r="H717" i="5" s="1"/>
  <c r="H706" i="5"/>
  <c r="H714" i="5" s="1"/>
  <c r="F672" i="5"/>
  <c r="D683" i="5"/>
  <c r="D685" i="5"/>
  <c r="D684" i="5"/>
  <c r="F676" i="5"/>
  <c r="G685" i="5"/>
  <c r="G683" i="5"/>
  <c r="G682" i="5"/>
  <c r="E672" i="5"/>
  <c r="E673" i="5" s="1"/>
  <c r="G673" i="5"/>
  <c r="D682" i="5"/>
  <c r="H707" i="5"/>
  <c r="H715" i="5" s="1"/>
  <c r="E676" i="5"/>
  <c r="G684" i="5"/>
  <c r="H708" i="5"/>
  <c r="H716" i="5" s="1"/>
  <c r="D690" i="5" l="1"/>
  <c r="D698" i="5"/>
  <c r="D687" i="5"/>
  <c r="G687" i="5"/>
  <c r="G690" i="5"/>
  <c r="G698" i="5"/>
  <c r="F681" i="5"/>
  <c r="G700" i="5"/>
  <c r="G692" i="5"/>
  <c r="G691" i="5"/>
  <c r="G699" i="5"/>
  <c r="D700" i="5"/>
  <c r="D692" i="5"/>
  <c r="F673" i="5"/>
  <c r="E681" i="5"/>
  <c r="E682" i="5" s="1"/>
  <c r="H724" i="5"/>
  <c r="H732" i="5" s="1"/>
  <c r="H740" i="5" s="1"/>
  <c r="H748" i="5" s="1"/>
  <c r="H725" i="5"/>
  <c r="H733" i="5" s="1"/>
  <c r="H741" i="5" s="1"/>
  <c r="H749" i="5" s="1"/>
  <c r="H723" i="5"/>
  <c r="H726" i="5"/>
  <c r="H734" i="5" s="1"/>
  <c r="H742" i="5" s="1"/>
  <c r="H750" i="5" s="1"/>
  <c r="G701" i="5"/>
  <c r="G693" i="5"/>
  <c r="D693" i="5"/>
  <c r="D701" i="5"/>
  <c r="H711" i="5"/>
  <c r="H710" i="5" s="1"/>
  <c r="H718" i="5" s="1"/>
  <c r="H727" i="5" s="1"/>
  <c r="D699" i="5"/>
  <c r="D691" i="5"/>
  <c r="D707" i="5" l="1"/>
  <c r="D715" i="5" s="1"/>
  <c r="G709" i="5"/>
  <c r="G717" i="5" s="1"/>
  <c r="H757" i="5"/>
  <c r="H765" i="5" s="1"/>
  <c r="F685" i="5"/>
  <c r="F683" i="5"/>
  <c r="F684" i="5"/>
  <c r="H719" i="5"/>
  <c r="E690" i="5"/>
  <c r="E698" i="5"/>
  <c r="H758" i="5"/>
  <c r="H766" i="5" s="1"/>
  <c r="H756" i="5"/>
  <c r="H764" i="5" s="1"/>
  <c r="G707" i="5"/>
  <c r="G715" i="5" s="1"/>
  <c r="G706" i="5"/>
  <c r="D706" i="5"/>
  <c r="D709" i="5"/>
  <c r="D717" i="5" s="1"/>
  <c r="H728" i="5"/>
  <c r="H731" i="5"/>
  <c r="E685" i="5"/>
  <c r="E683" i="5"/>
  <c r="E684" i="5"/>
  <c r="D708" i="5"/>
  <c r="D716" i="5" s="1"/>
  <c r="G708" i="5"/>
  <c r="G716" i="5" s="1"/>
  <c r="F682" i="5"/>
  <c r="E687" i="5" l="1"/>
  <c r="H735" i="5"/>
  <c r="H743" i="5" s="1"/>
  <c r="H739" i="5"/>
  <c r="F693" i="5"/>
  <c r="F701" i="5"/>
  <c r="E700" i="5"/>
  <c r="E692" i="5"/>
  <c r="F698" i="5"/>
  <c r="F690" i="5"/>
  <c r="F687" i="5"/>
  <c r="E699" i="5"/>
  <c r="E691" i="5"/>
  <c r="F692" i="5"/>
  <c r="F700" i="5"/>
  <c r="E693" i="5"/>
  <c r="E701" i="5"/>
  <c r="D711" i="5"/>
  <c r="D710" i="5" s="1"/>
  <c r="D718" i="5" s="1"/>
  <c r="D727" i="5" s="1"/>
  <c r="D714" i="5"/>
  <c r="E706" i="5"/>
  <c r="F691" i="5"/>
  <c r="F699" i="5"/>
  <c r="G711" i="5"/>
  <c r="G710" i="5" s="1"/>
  <c r="G718" i="5" s="1"/>
  <c r="G727" i="5" s="1"/>
  <c r="G714" i="5"/>
  <c r="H736" i="5" l="1"/>
  <c r="E708" i="5"/>
  <c r="E716" i="5" s="1"/>
  <c r="E707" i="5"/>
  <c r="E715" i="5" s="1"/>
  <c r="F706" i="5"/>
  <c r="F714" i="5" s="1"/>
  <c r="G725" i="5"/>
  <c r="G733" i="5" s="1"/>
  <c r="G741" i="5" s="1"/>
  <c r="G749" i="5" s="1"/>
  <c r="G724" i="5"/>
  <c r="G732" i="5" s="1"/>
  <c r="G740" i="5" s="1"/>
  <c r="G748" i="5" s="1"/>
  <c r="G723" i="5"/>
  <c r="G726" i="5"/>
  <c r="G734" i="5" s="1"/>
  <c r="G742" i="5" s="1"/>
  <c r="G750" i="5" s="1"/>
  <c r="G719" i="5"/>
  <c r="E709" i="5"/>
  <c r="E717" i="5" s="1"/>
  <c r="F709" i="5"/>
  <c r="F717" i="5" s="1"/>
  <c r="D724" i="5"/>
  <c r="D732" i="5" s="1"/>
  <c r="D740" i="5" s="1"/>
  <c r="D748" i="5" s="1"/>
  <c r="D719" i="5"/>
  <c r="D723" i="5"/>
  <c r="D726" i="5"/>
  <c r="D734" i="5" s="1"/>
  <c r="D742" i="5" s="1"/>
  <c r="D750" i="5" s="1"/>
  <c r="D725" i="5"/>
  <c r="D733" i="5" s="1"/>
  <c r="D741" i="5" s="1"/>
  <c r="D749" i="5" s="1"/>
  <c r="F707" i="5"/>
  <c r="F715" i="5" s="1"/>
  <c r="F708" i="5"/>
  <c r="F716" i="5" s="1"/>
  <c r="E714" i="5"/>
  <c r="H744" i="5"/>
  <c r="H747" i="5"/>
  <c r="E711" i="5" l="1"/>
  <c r="E710" i="5" s="1"/>
  <c r="E718" i="5" s="1"/>
  <c r="E727" i="5" s="1"/>
  <c r="G758" i="5"/>
  <c r="G766" i="5" s="1"/>
  <c r="G731" i="5"/>
  <c r="G728" i="5"/>
  <c r="E723" i="5"/>
  <c r="E724" i="5"/>
  <c r="E732" i="5" s="1"/>
  <c r="E740" i="5" s="1"/>
  <c r="E748" i="5" s="1"/>
  <c r="E725" i="5"/>
  <c r="E733" i="5" s="1"/>
  <c r="E741" i="5" s="1"/>
  <c r="E749" i="5" s="1"/>
  <c r="E726" i="5"/>
  <c r="E734" i="5" s="1"/>
  <c r="E742" i="5" s="1"/>
  <c r="E750" i="5" s="1"/>
  <c r="E719" i="5"/>
  <c r="D757" i="5"/>
  <c r="D765" i="5" s="1"/>
  <c r="D756" i="5"/>
  <c r="G756" i="5"/>
  <c r="H752" i="5"/>
  <c r="H755" i="5"/>
  <c r="D728" i="5"/>
  <c r="D731" i="5"/>
  <c r="F726" i="5"/>
  <c r="F734" i="5" s="1"/>
  <c r="F742" i="5" s="1"/>
  <c r="F750" i="5" s="1"/>
  <c r="F724" i="5"/>
  <c r="F732" i="5" s="1"/>
  <c r="F740" i="5" s="1"/>
  <c r="F748" i="5" s="1"/>
  <c r="F723" i="5"/>
  <c r="F725" i="5"/>
  <c r="F733" i="5" s="1"/>
  <c r="F741" i="5" s="1"/>
  <c r="F749" i="5" s="1"/>
  <c r="F711" i="5"/>
  <c r="F710" i="5" s="1"/>
  <c r="F718" i="5" s="1"/>
  <c r="F727" i="5" s="1"/>
  <c r="D758" i="5"/>
  <c r="D766" i="5" s="1"/>
  <c r="G757" i="5"/>
  <c r="G765" i="5" s="1"/>
  <c r="F756" i="5" l="1"/>
  <c r="F764" i="5" s="1"/>
  <c r="E757" i="5"/>
  <c r="E765" i="5" s="1"/>
  <c r="G735" i="5"/>
  <c r="G743" i="5" s="1"/>
  <c r="G739" i="5"/>
  <c r="H759" i="5"/>
  <c r="H760" i="5"/>
  <c r="G764" i="5"/>
  <c r="E756" i="5"/>
  <c r="E764" i="5" s="1"/>
  <c r="F757" i="5"/>
  <c r="F765" i="5" s="1"/>
  <c r="F719" i="5"/>
  <c r="E731" i="5"/>
  <c r="E728" i="5"/>
  <c r="F728" i="5"/>
  <c r="F731" i="5"/>
  <c r="D735" i="5"/>
  <c r="D743" i="5" s="1"/>
  <c r="D739" i="5"/>
  <c r="H763" i="5"/>
  <c r="D764" i="5"/>
  <c r="E758" i="5"/>
  <c r="F758" i="5"/>
  <c r="F766" i="5" s="1"/>
  <c r="G736" i="5" l="1"/>
  <c r="D736" i="5"/>
  <c r="E739" i="5"/>
  <c r="E735" i="5"/>
  <c r="E743" i="5" s="1"/>
  <c r="G747" i="5"/>
  <c r="G744" i="5"/>
  <c r="E766" i="5"/>
  <c r="D744" i="5"/>
  <c r="D747" i="5"/>
  <c r="H768" i="5"/>
  <c r="H769" i="5" s="1"/>
  <c r="F735" i="5"/>
  <c r="F743" i="5" s="1"/>
  <c r="F739" i="5"/>
  <c r="F736" i="5" l="1"/>
  <c r="F747" i="5"/>
  <c r="F744" i="5"/>
  <c r="H785" i="5"/>
  <c r="H777" i="5"/>
  <c r="D755" i="5"/>
  <c r="D752" i="5"/>
  <c r="G752" i="5"/>
  <c r="G755" i="5"/>
  <c r="G763" i="5" s="1"/>
  <c r="E736" i="5"/>
  <c r="H770" i="5"/>
  <c r="H771" i="5"/>
  <c r="H772" i="5"/>
  <c r="E744" i="5"/>
  <c r="E747" i="5"/>
  <c r="H793" i="5" l="1"/>
  <c r="E755" i="5"/>
  <c r="E763" i="5" s="1"/>
  <c r="E752" i="5"/>
  <c r="H786" i="5"/>
  <c r="H778" i="5"/>
  <c r="H774" i="5"/>
  <c r="F755" i="5"/>
  <c r="F752" i="5"/>
  <c r="H801" i="5"/>
  <c r="G768" i="5"/>
  <c r="D759" i="5"/>
  <c r="D760" i="5" s="1"/>
  <c r="H779" i="5"/>
  <c r="H787" i="5"/>
  <c r="G759" i="5"/>
  <c r="D763" i="5"/>
  <c r="H780" i="5"/>
  <c r="H788" i="5"/>
  <c r="H794" i="5" l="1"/>
  <c r="H802" i="5" s="1"/>
  <c r="H811" i="5" s="1"/>
  <c r="H819" i="5" s="1"/>
  <c r="H827" i="5" s="1"/>
  <c r="H835" i="5" s="1"/>
  <c r="D768" i="5"/>
  <c r="D769" i="5" s="1"/>
  <c r="H810" i="5"/>
  <c r="F759" i="5"/>
  <c r="F760" i="5" s="1"/>
  <c r="H795" i="5"/>
  <c r="G772" i="5"/>
  <c r="G771" i="5"/>
  <c r="G770" i="5"/>
  <c r="E768" i="5"/>
  <c r="E769" i="5" s="1"/>
  <c r="G760" i="5"/>
  <c r="F763" i="5"/>
  <c r="E759" i="5"/>
  <c r="E760" i="5" s="1"/>
  <c r="H796" i="5"/>
  <c r="H804" i="5" s="1"/>
  <c r="H813" i="5" s="1"/>
  <c r="H821" i="5" s="1"/>
  <c r="H829" i="5" s="1"/>
  <c r="H837" i="5" s="1"/>
  <c r="G769" i="5"/>
  <c r="H845" i="5" l="1"/>
  <c r="H853" i="5" s="1"/>
  <c r="G774" i="5"/>
  <c r="G777" i="5"/>
  <c r="G785" i="5"/>
  <c r="G780" i="5"/>
  <c r="G788" i="5"/>
  <c r="H843" i="5"/>
  <c r="F768" i="5"/>
  <c r="F769" i="5" s="1"/>
  <c r="E771" i="5"/>
  <c r="E770" i="5"/>
  <c r="E772" i="5"/>
  <c r="H803" i="5"/>
  <c r="H798" i="5"/>
  <c r="H797" i="5" s="1"/>
  <c r="H805" i="5" s="1"/>
  <c r="H814" i="5" s="1"/>
  <c r="D785" i="5"/>
  <c r="D777" i="5"/>
  <c r="G786" i="5"/>
  <c r="G778" i="5"/>
  <c r="D771" i="5"/>
  <c r="D772" i="5"/>
  <c r="D770" i="5"/>
  <c r="G779" i="5"/>
  <c r="G787" i="5"/>
  <c r="H818" i="5"/>
  <c r="E777" i="5"/>
  <c r="E785" i="5"/>
  <c r="D774" i="5" l="1"/>
  <c r="F777" i="5"/>
  <c r="F785" i="5"/>
  <c r="E788" i="5"/>
  <c r="E780" i="5"/>
  <c r="H826" i="5"/>
  <c r="D788" i="5"/>
  <c r="D780" i="5"/>
  <c r="E778" i="5"/>
  <c r="E786" i="5"/>
  <c r="G796" i="5"/>
  <c r="G804" i="5" s="1"/>
  <c r="E793" i="5"/>
  <c r="D779" i="5"/>
  <c r="D787" i="5"/>
  <c r="E779" i="5"/>
  <c r="E787" i="5"/>
  <c r="E774" i="5"/>
  <c r="G795" i="5"/>
  <c r="G803" i="5" s="1"/>
  <c r="G794" i="5"/>
  <c r="G802" i="5" s="1"/>
  <c r="D793" i="5"/>
  <c r="H806" i="5"/>
  <c r="H812" i="5"/>
  <c r="H851" i="5"/>
  <c r="G793" i="5"/>
  <c r="D786" i="5"/>
  <c r="D778" i="5"/>
  <c r="F770" i="5"/>
  <c r="F772" i="5"/>
  <c r="F771" i="5"/>
  <c r="F774" i="5" l="1"/>
  <c r="D796" i="5"/>
  <c r="D804" i="5" s="1"/>
  <c r="E796" i="5"/>
  <c r="E804" i="5" s="1"/>
  <c r="E794" i="5"/>
  <c r="E802" i="5" s="1"/>
  <c r="E795" i="5"/>
  <c r="E803" i="5" s="1"/>
  <c r="F780" i="5"/>
  <c r="F788" i="5"/>
  <c r="G798" i="5"/>
  <c r="G797" i="5" s="1"/>
  <c r="G805" i="5" s="1"/>
  <c r="G814" i="5" s="1"/>
  <c r="G801" i="5"/>
  <c r="F778" i="5"/>
  <c r="F786" i="5"/>
  <c r="D795" i="5"/>
  <c r="D803" i="5" s="1"/>
  <c r="F793" i="5"/>
  <c r="D794" i="5"/>
  <c r="D802" i="5" s="1"/>
  <c r="H820" i="5"/>
  <c r="H815" i="5"/>
  <c r="E801" i="5"/>
  <c r="F787" i="5"/>
  <c r="F779" i="5"/>
  <c r="H834" i="5"/>
  <c r="D801" i="5"/>
  <c r="E798" i="5" l="1"/>
  <c r="E797" i="5" s="1"/>
  <c r="E805" i="5" s="1"/>
  <c r="E814" i="5" s="1"/>
  <c r="D798" i="5"/>
  <c r="D797" i="5" s="1"/>
  <c r="D805" i="5" s="1"/>
  <c r="D814" i="5" s="1"/>
  <c r="F794" i="5"/>
  <c r="F802" i="5" s="1"/>
  <c r="F796" i="5"/>
  <c r="F804" i="5" s="1"/>
  <c r="H842" i="5"/>
  <c r="H850" i="5" s="1"/>
  <c r="F801" i="5"/>
  <c r="H828" i="5"/>
  <c r="H822" i="5"/>
  <c r="H830" i="5" s="1"/>
  <c r="G810" i="5"/>
  <c r="G813" i="5"/>
  <c r="G821" i="5" s="1"/>
  <c r="G829" i="5" s="1"/>
  <c r="G837" i="5" s="1"/>
  <c r="G806" i="5"/>
  <c r="G812" i="5"/>
  <c r="G820" i="5" s="1"/>
  <c r="G828" i="5" s="1"/>
  <c r="G836" i="5" s="1"/>
  <c r="G811" i="5"/>
  <c r="G819" i="5" s="1"/>
  <c r="G827" i="5" s="1"/>
  <c r="G835" i="5" s="1"/>
  <c r="E812" i="5"/>
  <c r="E820" i="5" s="1"/>
  <c r="E828" i="5" s="1"/>
  <c r="E836" i="5" s="1"/>
  <c r="E813" i="5"/>
  <c r="E821" i="5" s="1"/>
  <c r="E829" i="5" s="1"/>
  <c r="E837" i="5" s="1"/>
  <c r="E811" i="5"/>
  <c r="E819" i="5" s="1"/>
  <c r="E827" i="5" s="1"/>
  <c r="E835" i="5" s="1"/>
  <c r="E810" i="5"/>
  <c r="D813" i="5"/>
  <c r="D821" i="5" s="1"/>
  <c r="D829" i="5" s="1"/>
  <c r="D837" i="5" s="1"/>
  <c r="D810" i="5"/>
  <c r="D811" i="5"/>
  <c r="D819" i="5" s="1"/>
  <c r="D827" i="5" s="1"/>
  <c r="D835" i="5" s="1"/>
  <c r="D812" i="5"/>
  <c r="D820" i="5" s="1"/>
  <c r="D828" i="5" s="1"/>
  <c r="D836" i="5" s="1"/>
  <c r="F795" i="5"/>
  <c r="F803" i="5" s="1"/>
  <c r="E806" i="5" l="1"/>
  <c r="D806" i="5"/>
  <c r="D844" i="5"/>
  <c r="E845" i="5"/>
  <c r="E853" i="5" s="1"/>
  <c r="D843" i="5"/>
  <c r="D851" i="5" s="1"/>
  <c r="E818" i="5"/>
  <c r="E815" i="5"/>
  <c r="E844" i="5"/>
  <c r="E852" i="5" s="1"/>
  <c r="G845" i="5"/>
  <c r="H836" i="5"/>
  <c r="H831" i="5"/>
  <c r="D818" i="5"/>
  <c r="D815" i="5"/>
  <c r="E843" i="5"/>
  <c r="E851" i="5" s="1"/>
  <c r="G843" i="5"/>
  <c r="G851" i="5" s="1"/>
  <c r="G818" i="5"/>
  <c r="G815" i="5"/>
  <c r="F811" i="5"/>
  <c r="F819" i="5" s="1"/>
  <c r="F827" i="5" s="1"/>
  <c r="F835" i="5" s="1"/>
  <c r="F810" i="5"/>
  <c r="F813" i="5"/>
  <c r="F821" i="5" s="1"/>
  <c r="F829" i="5" s="1"/>
  <c r="F837" i="5" s="1"/>
  <c r="F812" i="5"/>
  <c r="F820" i="5" s="1"/>
  <c r="F828" i="5" s="1"/>
  <c r="F836" i="5" s="1"/>
  <c r="D845" i="5"/>
  <c r="G844" i="5"/>
  <c r="H823" i="5"/>
  <c r="F798" i="5"/>
  <c r="F797" i="5" s="1"/>
  <c r="F805" i="5" s="1"/>
  <c r="F814" i="5" s="1"/>
  <c r="F845" i="5" l="1"/>
  <c r="F853" i="5" s="1"/>
  <c r="G826" i="5"/>
  <c r="G822" i="5"/>
  <c r="G830" i="5" s="1"/>
  <c r="G823" i="5"/>
  <c r="F815" i="5"/>
  <c r="F818" i="5"/>
  <c r="G853" i="5"/>
  <c r="E822" i="5"/>
  <c r="E830" i="5" s="1"/>
  <c r="E826" i="5"/>
  <c r="D853" i="5"/>
  <c r="F844" i="5"/>
  <c r="F852" i="5" s="1"/>
  <c r="F843" i="5"/>
  <c r="F851" i="5" s="1"/>
  <c r="D826" i="5"/>
  <c r="D822" i="5"/>
  <c r="D830" i="5" s="1"/>
  <c r="G852" i="5"/>
  <c r="F806" i="5"/>
  <c r="H844" i="5"/>
  <c r="H852" i="5" s="1"/>
  <c r="H839" i="5"/>
  <c r="D852" i="5"/>
  <c r="H855" i="5" l="1"/>
  <c r="E834" i="5"/>
  <c r="E831" i="5"/>
  <c r="F822" i="5"/>
  <c r="F830" i="5" s="1"/>
  <c r="F826" i="5"/>
  <c r="D831" i="5"/>
  <c r="D834" i="5"/>
  <c r="H846" i="5"/>
  <c r="H847" i="5" s="1"/>
  <c r="D823" i="5"/>
  <c r="E823" i="5"/>
  <c r="G831" i="5"/>
  <c r="G834" i="5"/>
  <c r="D842" i="5" l="1"/>
  <c r="D850" i="5" s="1"/>
  <c r="D839" i="5"/>
  <c r="F831" i="5"/>
  <c r="F834" i="5"/>
  <c r="E839" i="5"/>
  <c r="E842" i="5"/>
  <c r="E850" i="5" s="1"/>
  <c r="G842" i="5"/>
  <c r="G839" i="5"/>
  <c r="H859" i="5"/>
  <c r="H857" i="5"/>
  <c r="H856" i="5"/>
  <c r="F823" i="5"/>
  <c r="H858" i="5"/>
  <c r="H864" i="5" l="1"/>
  <c r="H872" i="5"/>
  <c r="H861" i="5"/>
  <c r="H873" i="5"/>
  <c r="H865" i="5"/>
  <c r="G846" i="5"/>
  <c r="G847" i="5" s="1"/>
  <c r="D855" i="5"/>
  <c r="D856" i="5" s="1"/>
  <c r="H874" i="5"/>
  <c r="H866" i="5"/>
  <c r="H875" i="5"/>
  <c r="H867" i="5"/>
  <c r="E855" i="5"/>
  <c r="F839" i="5"/>
  <c r="F842" i="5"/>
  <c r="F850" i="5" s="1"/>
  <c r="D846" i="5"/>
  <c r="D847" i="5" s="1"/>
  <c r="G850" i="5"/>
  <c r="E846" i="5"/>
  <c r="E847" i="5" s="1"/>
  <c r="H882" i="5" l="1"/>
  <c r="H890" i="5" s="1"/>
  <c r="H883" i="5"/>
  <c r="H891" i="5" s="1"/>
  <c r="H881" i="5"/>
  <c r="H889" i="5" s="1"/>
  <c r="F855" i="5"/>
  <c r="F856" i="5" s="1"/>
  <c r="E859" i="5"/>
  <c r="E857" i="5"/>
  <c r="E858" i="5"/>
  <c r="D864" i="5"/>
  <c r="D872" i="5"/>
  <c r="G855" i="5"/>
  <c r="G856" i="5" s="1"/>
  <c r="F846" i="5"/>
  <c r="D857" i="5"/>
  <c r="D859" i="5"/>
  <c r="D858" i="5"/>
  <c r="H880" i="5"/>
  <c r="E856" i="5"/>
  <c r="D874" i="5" l="1"/>
  <c r="D866" i="5"/>
  <c r="G864" i="5"/>
  <c r="G872" i="5"/>
  <c r="E866" i="5"/>
  <c r="E874" i="5"/>
  <c r="F872" i="5"/>
  <c r="F864" i="5"/>
  <c r="E861" i="5"/>
  <c r="E864" i="5"/>
  <c r="E872" i="5"/>
  <c r="D875" i="5"/>
  <c r="D867" i="5"/>
  <c r="D861" i="5"/>
  <c r="E873" i="5"/>
  <c r="E865" i="5"/>
  <c r="D873" i="5"/>
  <c r="D865" i="5"/>
  <c r="E867" i="5"/>
  <c r="E875" i="5"/>
  <c r="F859" i="5"/>
  <c r="F858" i="5"/>
  <c r="F857" i="5"/>
  <c r="H885" i="5"/>
  <c r="H884" i="5" s="1"/>
  <c r="H892" i="5" s="1"/>
  <c r="H901" i="5" s="1"/>
  <c r="H888" i="5"/>
  <c r="F847" i="5"/>
  <c r="G857" i="5"/>
  <c r="G858" i="5"/>
  <c r="G859" i="5"/>
  <c r="D880" i="5"/>
  <c r="D881" i="5" l="1"/>
  <c r="D889" i="5" s="1"/>
  <c r="D882" i="5"/>
  <c r="D890" i="5" s="1"/>
  <c r="F880" i="5"/>
  <c r="F888" i="5" s="1"/>
  <c r="E881" i="5"/>
  <c r="E889" i="5" s="1"/>
  <c r="E882" i="5"/>
  <c r="E890" i="5" s="1"/>
  <c r="G866" i="5"/>
  <c r="G874" i="5"/>
  <c r="G865" i="5"/>
  <c r="G873" i="5"/>
  <c r="F865" i="5"/>
  <c r="F873" i="5"/>
  <c r="E883" i="5"/>
  <c r="E891" i="5" s="1"/>
  <c r="F861" i="5"/>
  <c r="G861" i="5"/>
  <c r="D888" i="5"/>
  <c r="F866" i="5"/>
  <c r="F874" i="5"/>
  <c r="E880" i="5"/>
  <c r="G875" i="5"/>
  <c r="G867" i="5"/>
  <c r="H898" i="5"/>
  <c r="H906" i="5" s="1"/>
  <c r="H914" i="5" s="1"/>
  <c r="H922" i="5" s="1"/>
  <c r="H893" i="5"/>
  <c r="H897" i="5"/>
  <c r="H900" i="5"/>
  <c r="H908" i="5" s="1"/>
  <c r="H916" i="5" s="1"/>
  <c r="H924" i="5" s="1"/>
  <c r="H899" i="5"/>
  <c r="H907" i="5" s="1"/>
  <c r="H915" i="5" s="1"/>
  <c r="H923" i="5" s="1"/>
  <c r="F867" i="5"/>
  <c r="F875" i="5"/>
  <c r="D883" i="5"/>
  <c r="D891" i="5" s="1"/>
  <c r="G880" i="5"/>
  <c r="F881" i="5" l="1"/>
  <c r="F889" i="5" s="1"/>
  <c r="F898" i="5" s="1"/>
  <c r="F906" i="5" s="1"/>
  <c r="F914" i="5" s="1"/>
  <c r="F922" i="5" s="1"/>
  <c r="G883" i="5"/>
  <c r="G891" i="5" s="1"/>
  <c r="H931" i="5"/>
  <c r="H939" i="5" s="1"/>
  <c r="H932" i="5"/>
  <c r="H940" i="5" s="1"/>
  <c r="F882" i="5"/>
  <c r="F890" i="5" s="1"/>
  <c r="F899" i="5" s="1"/>
  <c r="F907" i="5" s="1"/>
  <c r="F915" i="5" s="1"/>
  <c r="F923" i="5" s="1"/>
  <c r="H902" i="5"/>
  <c r="H905" i="5"/>
  <c r="D898" i="5"/>
  <c r="D906" i="5" s="1"/>
  <c r="D914" i="5" s="1"/>
  <c r="D922" i="5" s="1"/>
  <c r="D899" i="5"/>
  <c r="D907" i="5" s="1"/>
  <c r="D915" i="5" s="1"/>
  <c r="D923" i="5" s="1"/>
  <c r="D900" i="5"/>
  <c r="D908" i="5" s="1"/>
  <c r="D916" i="5" s="1"/>
  <c r="D924" i="5" s="1"/>
  <c r="D897" i="5"/>
  <c r="G881" i="5"/>
  <c r="G889" i="5" s="1"/>
  <c r="G882" i="5"/>
  <c r="G890" i="5" s="1"/>
  <c r="F883" i="5"/>
  <c r="F891" i="5" s="1"/>
  <c r="F900" i="5" s="1"/>
  <c r="F908" i="5" s="1"/>
  <c r="F916" i="5" s="1"/>
  <c r="F924" i="5" s="1"/>
  <c r="E885" i="5"/>
  <c r="E884" i="5" s="1"/>
  <c r="E892" i="5" s="1"/>
  <c r="E901" i="5" s="1"/>
  <c r="E888" i="5"/>
  <c r="D885" i="5"/>
  <c r="D884" i="5" s="1"/>
  <c r="D892" i="5" s="1"/>
  <c r="D901" i="5" s="1"/>
  <c r="F897" i="5"/>
  <c r="G888" i="5"/>
  <c r="H930" i="5"/>
  <c r="F932" i="5" l="1"/>
  <c r="F940" i="5" s="1"/>
  <c r="F905" i="5"/>
  <c r="H909" i="5"/>
  <c r="H917" i="5" s="1"/>
  <c r="H913" i="5"/>
  <c r="F930" i="5"/>
  <c r="F938" i="5" s="1"/>
  <c r="F885" i="5"/>
  <c r="F884" i="5" s="1"/>
  <c r="F892" i="5" s="1"/>
  <c r="F931" i="5"/>
  <c r="F939" i="5" s="1"/>
  <c r="E897" i="5"/>
  <c r="E893" i="5"/>
  <c r="E899" i="5"/>
  <c r="E907" i="5" s="1"/>
  <c r="E915" i="5" s="1"/>
  <c r="E923" i="5" s="1"/>
  <c r="E898" i="5"/>
  <c r="E906" i="5" s="1"/>
  <c r="E914" i="5" s="1"/>
  <c r="E922" i="5" s="1"/>
  <c r="E900" i="5"/>
  <c r="E908" i="5" s="1"/>
  <c r="E916" i="5" s="1"/>
  <c r="E924" i="5" s="1"/>
  <c r="D931" i="5"/>
  <c r="D939" i="5" s="1"/>
  <c r="D902" i="5"/>
  <c r="D905" i="5"/>
  <c r="H938" i="5"/>
  <c r="D932" i="5"/>
  <c r="G899" i="5"/>
  <c r="G907" i="5" s="1"/>
  <c r="G915" i="5" s="1"/>
  <c r="G923" i="5" s="1"/>
  <c r="G897" i="5"/>
  <c r="G900" i="5"/>
  <c r="G908" i="5" s="1"/>
  <c r="G916" i="5" s="1"/>
  <c r="G924" i="5" s="1"/>
  <c r="G898" i="5"/>
  <c r="G906" i="5" s="1"/>
  <c r="G914" i="5" s="1"/>
  <c r="G922" i="5" s="1"/>
  <c r="G885" i="5"/>
  <c r="G884" i="5" s="1"/>
  <c r="G892" i="5" s="1"/>
  <c r="G901" i="5" s="1"/>
  <c r="D893" i="5"/>
  <c r="D930" i="5"/>
  <c r="D938" i="5" s="1"/>
  <c r="E932" i="5" l="1"/>
  <c r="G931" i="5"/>
  <c r="G939" i="5" s="1"/>
  <c r="E930" i="5"/>
  <c r="G893" i="5"/>
  <c r="E931" i="5"/>
  <c r="E939" i="5" s="1"/>
  <c r="H910" i="5"/>
  <c r="F909" i="5"/>
  <c r="F917" i="5" s="1"/>
  <c r="F913" i="5"/>
  <c r="G932" i="5"/>
  <c r="D940" i="5"/>
  <c r="D913" i="5"/>
  <c r="D909" i="5"/>
  <c r="D917" i="5" s="1"/>
  <c r="F901" i="5"/>
  <c r="F902" i="5" s="1"/>
  <c r="F893" i="5"/>
  <c r="H918" i="5"/>
  <c r="H921" i="5"/>
  <c r="G905" i="5"/>
  <c r="G902" i="5"/>
  <c r="E902" i="5"/>
  <c r="E905" i="5"/>
  <c r="G930" i="5"/>
  <c r="G938" i="5" s="1"/>
  <c r="D910" i="5" l="1"/>
  <c r="E913" i="5"/>
  <c r="E909" i="5"/>
  <c r="E917" i="5" s="1"/>
  <c r="G909" i="5"/>
  <c r="G917" i="5" s="1"/>
  <c r="G913" i="5"/>
  <c r="D918" i="5"/>
  <c r="D921" i="5"/>
  <c r="F921" i="5"/>
  <c r="F918" i="5"/>
  <c r="H929" i="5"/>
  <c r="H926" i="5"/>
  <c r="E940" i="5"/>
  <c r="G940" i="5"/>
  <c r="F910" i="5"/>
  <c r="E938" i="5"/>
  <c r="G910" i="5" l="1"/>
  <c r="E921" i="5"/>
  <c r="E918" i="5"/>
  <c r="G921" i="5"/>
  <c r="G918" i="5"/>
  <c r="H933" i="5"/>
  <c r="H934" i="5" s="1"/>
  <c r="F929" i="5"/>
  <c r="F937" i="5" s="1"/>
  <c r="F926" i="5"/>
  <c r="H937" i="5"/>
  <c r="D926" i="5"/>
  <c r="D929" i="5"/>
  <c r="E910" i="5"/>
  <c r="H942" i="5" l="1"/>
  <c r="H943" i="5" s="1"/>
  <c r="E926" i="5"/>
  <c r="E929" i="5"/>
  <c r="E937" i="5" s="1"/>
  <c r="D933" i="5"/>
  <c r="F942" i="5"/>
  <c r="G926" i="5"/>
  <c r="G929" i="5"/>
  <c r="G937" i="5" s="1"/>
  <c r="D937" i="5"/>
  <c r="F933" i="5"/>
  <c r="G942" i="5" l="1"/>
  <c r="F946" i="5"/>
  <c r="F944" i="5"/>
  <c r="F945" i="5"/>
  <c r="E942" i="5"/>
  <c r="H959" i="5"/>
  <c r="H951" i="5"/>
  <c r="D942" i="5"/>
  <c r="D943" i="5" s="1"/>
  <c r="E933" i="5"/>
  <c r="E934" i="5" s="1"/>
  <c r="H945" i="5"/>
  <c r="H946" i="5"/>
  <c r="H944" i="5"/>
  <c r="F934" i="5"/>
  <c r="G933" i="5"/>
  <c r="G934" i="5" s="1"/>
  <c r="F943" i="5"/>
  <c r="D934" i="5"/>
  <c r="H960" i="5" l="1"/>
  <c r="H952" i="5"/>
  <c r="D959" i="5"/>
  <c r="D951" i="5"/>
  <c r="F961" i="5"/>
  <c r="F953" i="5"/>
  <c r="G944" i="5"/>
  <c r="G945" i="5"/>
  <c r="G946" i="5"/>
  <c r="H962" i="5"/>
  <c r="H954" i="5"/>
  <c r="D945" i="5"/>
  <c r="D944" i="5"/>
  <c r="D946" i="5"/>
  <c r="F952" i="5"/>
  <c r="F960" i="5"/>
  <c r="H953" i="5"/>
  <c r="H961" i="5"/>
  <c r="H948" i="5"/>
  <c r="E945" i="5"/>
  <c r="E946" i="5"/>
  <c r="E944" i="5"/>
  <c r="F954" i="5"/>
  <c r="F962" i="5"/>
  <c r="G943" i="5"/>
  <c r="F951" i="5"/>
  <c r="F948" i="5"/>
  <c r="F959" i="5"/>
  <c r="H967" i="5"/>
  <c r="E943" i="5"/>
  <c r="H969" i="5" l="1"/>
  <c r="H977" i="5" s="1"/>
  <c r="F969" i="5"/>
  <c r="F977" i="5" s="1"/>
  <c r="H968" i="5"/>
  <c r="H976" i="5" s="1"/>
  <c r="G948" i="5"/>
  <c r="G959" i="5"/>
  <c r="G951" i="5"/>
  <c r="E953" i="5"/>
  <c r="E961" i="5"/>
  <c r="D960" i="5"/>
  <c r="D952" i="5"/>
  <c r="G954" i="5"/>
  <c r="G962" i="5"/>
  <c r="E948" i="5"/>
  <c r="E951" i="5"/>
  <c r="E959" i="5"/>
  <c r="F970" i="5"/>
  <c r="F978" i="5" s="1"/>
  <c r="D953" i="5"/>
  <c r="D961" i="5"/>
  <c r="G961" i="5"/>
  <c r="G953" i="5"/>
  <c r="D948" i="5"/>
  <c r="H975" i="5"/>
  <c r="F967" i="5"/>
  <c r="E952" i="5"/>
  <c r="E960" i="5"/>
  <c r="F968" i="5"/>
  <c r="F976" i="5" s="1"/>
  <c r="H970" i="5"/>
  <c r="H978" i="5" s="1"/>
  <c r="G960" i="5"/>
  <c r="G952" i="5"/>
  <c r="D967" i="5"/>
  <c r="E962" i="5"/>
  <c r="E954" i="5"/>
  <c r="D954" i="5"/>
  <c r="D962" i="5"/>
  <c r="H972" i="5" l="1"/>
  <c r="H971" i="5" s="1"/>
  <c r="H979" i="5" s="1"/>
  <c r="H988" i="5" s="1"/>
  <c r="G969" i="5"/>
  <c r="G977" i="5" s="1"/>
  <c r="D970" i="5"/>
  <c r="D978" i="5" s="1"/>
  <c r="D968" i="5"/>
  <c r="D976" i="5" s="1"/>
  <c r="E970" i="5"/>
  <c r="E978" i="5" s="1"/>
  <c r="G968" i="5"/>
  <c r="G976" i="5" s="1"/>
  <c r="E967" i="5"/>
  <c r="E975" i="5" s="1"/>
  <c r="G967" i="5"/>
  <c r="G975" i="5" s="1"/>
  <c r="E968" i="5"/>
  <c r="E976" i="5" s="1"/>
  <c r="D969" i="5"/>
  <c r="D977" i="5" s="1"/>
  <c r="F972" i="5"/>
  <c r="F971" i="5" s="1"/>
  <c r="F979" i="5" s="1"/>
  <c r="F988" i="5" s="1"/>
  <c r="F975" i="5"/>
  <c r="D975" i="5"/>
  <c r="H987" i="5"/>
  <c r="H995" i="5" s="1"/>
  <c r="H1003" i="5" s="1"/>
  <c r="H1011" i="5" s="1"/>
  <c r="H984" i="5"/>
  <c r="H985" i="5"/>
  <c r="H993" i="5" s="1"/>
  <c r="H1001" i="5" s="1"/>
  <c r="H1009" i="5" s="1"/>
  <c r="H986" i="5"/>
  <c r="H994" i="5" s="1"/>
  <c r="H1002" i="5" s="1"/>
  <c r="H1010" i="5" s="1"/>
  <c r="G970" i="5"/>
  <c r="G978" i="5" s="1"/>
  <c r="E969" i="5"/>
  <c r="E977" i="5" s="1"/>
  <c r="H980" i="5" l="1"/>
  <c r="D972" i="5"/>
  <c r="D971" i="5" s="1"/>
  <c r="D979" i="5" s="1"/>
  <c r="D988" i="5" s="1"/>
  <c r="H992" i="5"/>
  <c r="H989" i="5"/>
  <c r="H1019" i="5"/>
  <c r="H1027" i="5" s="1"/>
  <c r="H402" i="5"/>
  <c r="F985" i="5"/>
  <c r="F993" i="5" s="1"/>
  <c r="F1001" i="5" s="1"/>
  <c r="F1009" i="5" s="1"/>
  <c r="F984" i="5"/>
  <c r="F987" i="5"/>
  <c r="F995" i="5" s="1"/>
  <c r="F1003" i="5" s="1"/>
  <c r="F1011" i="5" s="1"/>
  <c r="F980" i="5"/>
  <c r="F986" i="5"/>
  <c r="F994" i="5" s="1"/>
  <c r="F1002" i="5" s="1"/>
  <c r="F1010" i="5" s="1"/>
  <c r="G984" i="5"/>
  <c r="G986" i="5"/>
  <c r="G994" i="5" s="1"/>
  <c r="G1002" i="5" s="1"/>
  <c r="G1010" i="5" s="1"/>
  <c r="G985" i="5"/>
  <c r="G993" i="5" s="1"/>
  <c r="G1001" i="5" s="1"/>
  <c r="G1009" i="5" s="1"/>
  <c r="G987" i="5"/>
  <c r="G995" i="5" s="1"/>
  <c r="G1003" i="5" s="1"/>
  <c r="G1011" i="5" s="1"/>
  <c r="E986" i="5"/>
  <c r="E994" i="5" s="1"/>
  <c r="E1002" i="5" s="1"/>
  <c r="E1010" i="5" s="1"/>
  <c r="E985" i="5"/>
  <c r="E993" i="5" s="1"/>
  <c r="E1001" i="5" s="1"/>
  <c r="E1009" i="5" s="1"/>
  <c r="E984" i="5"/>
  <c r="E987" i="5"/>
  <c r="E995" i="5" s="1"/>
  <c r="E1003" i="5" s="1"/>
  <c r="E1011" i="5" s="1"/>
  <c r="H401" i="5"/>
  <c r="H1018" i="5"/>
  <c r="G972" i="5"/>
  <c r="G971" i="5" s="1"/>
  <c r="G979" i="5" s="1"/>
  <c r="G988" i="5" s="1"/>
  <c r="E972" i="5"/>
  <c r="E971" i="5" s="1"/>
  <c r="E979" i="5" s="1"/>
  <c r="E988" i="5" s="1"/>
  <c r="H400" i="5"/>
  <c r="H1017" i="5"/>
  <c r="H1025" i="5" s="1"/>
  <c r="D980" i="5"/>
  <c r="D987" i="5"/>
  <c r="D995" i="5" s="1"/>
  <c r="D1003" i="5" s="1"/>
  <c r="D1011" i="5" s="1"/>
  <c r="D984" i="5"/>
  <c r="D986" i="5"/>
  <c r="D994" i="5" s="1"/>
  <c r="D1002" i="5" s="1"/>
  <c r="D1010" i="5" s="1"/>
  <c r="D985" i="5"/>
  <c r="D993" i="5" s="1"/>
  <c r="D1001" i="5" s="1"/>
  <c r="D1009" i="5" s="1"/>
  <c r="D989" i="5" l="1"/>
  <c r="D992" i="5"/>
  <c r="E1019" i="5"/>
  <c r="E402" i="5"/>
  <c r="D402" i="5"/>
  <c r="D1019" i="5"/>
  <c r="D1027" i="5" s="1"/>
  <c r="H1026" i="5"/>
  <c r="E992" i="5"/>
  <c r="E989" i="5"/>
  <c r="F1018" i="5"/>
  <c r="F401" i="5"/>
  <c r="F400" i="5"/>
  <c r="F1017" i="5"/>
  <c r="F1025" i="5" s="1"/>
  <c r="H409" i="5"/>
  <c r="H150" i="5" s="1"/>
  <c r="E400" i="5"/>
  <c r="E1017" i="5"/>
  <c r="E1025" i="5" s="1"/>
  <c r="D401" i="5"/>
  <c r="D1018" i="5"/>
  <c r="D1026" i="5" s="1"/>
  <c r="E980" i="5"/>
  <c r="E1018" i="5"/>
  <c r="E1026" i="5" s="1"/>
  <c r="E401" i="5"/>
  <c r="G980" i="5"/>
  <c r="F1019" i="5"/>
  <c r="F1027" i="5" s="1"/>
  <c r="F402" i="5"/>
  <c r="G402" i="5"/>
  <c r="G1019" i="5"/>
  <c r="G989" i="5"/>
  <c r="G992" i="5"/>
  <c r="F989" i="5"/>
  <c r="F992" i="5"/>
  <c r="H408" i="5"/>
  <c r="H149" i="5" s="1"/>
  <c r="G1017" i="5"/>
  <c r="G1025" i="5" s="1"/>
  <c r="G400" i="5"/>
  <c r="D400" i="5"/>
  <c r="D1017" i="5"/>
  <c r="D1025" i="5" s="1"/>
  <c r="G401" i="5"/>
  <c r="G1018" i="5"/>
  <c r="G1026" i="5" s="1"/>
  <c r="H410" i="5"/>
  <c r="H151" i="5" s="1"/>
  <c r="H1000" i="5"/>
  <c r="H996" i="5"/>
  <c r="H1004" i="5" s="1"/>
  <c r="H417" i="5" l="1"/>
  <c r="H418" i="5"/>
  <c r="H416" i="5"/>
  <c r="E408" i="5"/>
  <c r="E149" i="5" s="1"/>
  <c r="E410" i="5"/>
  <c r="E151" i="5" s="1"/>
  <c r="H1005" i="5"/>
  <c r="H1008" i="5"/>
  <c r="F408" i="5"/>
  <c r="F149" i="5" s="1"/>
  <c r="H997" i="5"/>
  <c r="G409" i="5"/>
  <c r="G150" i="5" s="1"/>
  <c r="D408" i="5"/>
  <c r="D149" i="5" s="1"/>
  <c r="F409" i="5"/>
  <c r="F150" i="5" s="1"/>
  <c r="D410" i="5"/>
  <c r="D151" i="5" s="1"/>
  <c r="G408" i="5"/>
  <c r="G149" i="5" s="1"/>
  <c r="G1027" i="5"/>
  <c r="F410" i="5"/>
  <c r="F151" i="5" s="1"/>
  <c r="E409" i="5"/>
  <c r="E150" i="5" s="1"/>
  <c r="F1026" i="5"/>
  <c r="E1027" i="5"/>
  <c r="D996" i="5"/>
  <c r="D1004" i="5" s="1"/>
  <c r="D1000" i="5"/>
  <c r="G1000" i="5"/>
  <c r="G996" i="5"/>
  <c r="G1004" i="5" s="1"/>
  <c r="G410" i="5"/>
  <c r="G151" i="5" s="1"/>
  <c r="D409" i="5"/>
  <c r="D150" i="5" s="1"/>
  <c r="F996" i="5"/>
  <c r="F1004" i="5" s="1"/>
  <c r="F1000" i="5"/>
  <c r="E996" i="5"/>
  <c r="E1004" i="5" s="1"/>
  <c r="E1000" i="5"/>
  <c r="F997" i="5" l="1"/>
  <c r="D416" i="5"/>
  <c r="E997" i="5"/>
  <c r="D997" i="5"/>
  <c r="F418" i="5"/>
  <c r="F417" i="5"/>
  <c r="D417" i="5"/>
  <c r="D418" i="5"/>
  <c r="E1008" i="5"/>
  <c r="E1005" i="5"/>
  <c r="F416" i="5"/>
  <c r="E416" i="5"/>
  <c r="F1005" i="5"/>
  <c r="F1008" i="5"/>
  <c r="G997" i="5"/>
  <c r="G416" i="5"/>
  <c r="H1016" i="5"/>
  <c r="H1024" i="5" s="1"/>
  <c r="H399" i="5"/>
  <c r="H1013" i="5"/>
  <c r="G1008" i="5"/>
  <c r="G1005" i="5"/>
  <c r="D1005" i="5"/>
  <c r="D1008" i="5"/>
  <c r="G418" i="5"/>
  <c r="E417" i="5"/>
  <c r="G417" i="5"/>
  <c r="E418" i="5"/>
  <c r="G1013" i="5" l="1"/>
  <c r="G399" i="5"/>
  <c r="G1016" i="5"/>
  <c r="G1024" i="5" s="1"/>
  <c r="H407" i="5"/>
  <c r="H415" i="5" s="1"/>
  <c r="H404" i="5"/>
  <c r="F399" i="5"/>
  <c r="F1016" i="5"/>
  <c r="F1013" i="5"/>
  <c r="D1016" i="5"/>
  <c r="D1013" i="5"/>
  <c r="D399" i="5"/>
  <c r="H1020" i="5"/>
  <c r="H1029" i="5"/>
  <c r="H1030" i="5" s="1"/>
  <c r="E1013" i="5"/>
  <c r="E1016" i="5"/>
  <c r="E399" i="5"/>
  <c r="E407" i="5" l="1"/>
  <c r="E415" i="5" s="1"/>
  <c r="E404" i="5"/>
  <c r="H1038" i="5"/>
  <c r="H1046" i="5"/>
  <c r="G407" i="5"/>
  <c r="G404" i="5"/>
  <c r="E1020" i="5"/>
  <c r="H1031" i="5"/>
  <c r="H1033" i="5"/>
  <c r="H1032" i="5"/>
  <c r="D1020" i="5"/>
  <c r="F1020" i="5"/>
  <c r="F1021" i="5" s="1"/>
  <c r="H420" i="5"/>
  <c r="D1024" i="5"/>
  <c r="F1024" i="5"/>
  <c r="H412" i="5"/>
  <c r="H65" i="5" s="1"/>
  <c r="H411" i="5"/>
  <c r="H153" i="5" s="1"/>
  <c r="H148" i="5"/>
  <c r="G1029" i="5"/>
  <c r="G1030" i="5" s="1"/>
  <c r="E1024" i="5"/>
  <c r="H1021" i="5"/>
  <c r="D404" i="5"/>
  <c r="D407" i="5"/>
  <c r="D415" i="5" s="1"/>
  <c r="F404" i="5"/>
  <c r="F407" i="5"/>
  <c r="G1020" i="5"/>
  <c r="G1021" i="5" s="1"/>
  <c r="F1029" i="5" l="1"/>
  <c r="F1030" i="5" s="1"/>
  <c r="H1049" i="5"/>
  <c r="H1041" i="5"/>
  <c r="H157" i="5"/>
  <c r="H35" i="6"/>
  <c r="H58" i="6" s="1"/>
  <c r="H115" i="6"/>
  <c r="H118" i="6" s="1"/>
  <c r="E420" i="5"/>
  <c r="D420" i="5"/>
  <c r="H154" i="5"/>
  <c r="H166" i="5" s="1"/>
  <c r="D1029" i="5"/>
  <c r="H1047" i="5"/>
  <c r="H1039" i="5"/>
  <c r="H1035" i="5"/>
  <c r="F148" i="5"/>
  <c r="F411" i="5"/>
  <c r="F153" i="5" s="1"/>
  <c r="F412" i="5"/>
  <c r="F65" i="5" s="1"/>
  <c r="D412" i="5"/>
  <c r="D65" i="5" s="1"/>
  <c r="D148" i="5"/>
  <c r="D411" i="5"/>
  <c r="D153" i="5" s="1"/>
  <c r="G148" i="5"/>
  <c r="G412" i="5"/>
  <c r="G65" i="5" s="1"/>
  <c r="G411" i="5"/>
  <c r="G153" i="5" s="1"/>
  <c r="E411" i="5"/>
  <c r="E153" i="5" s="1"/>
  <c r="E148" i="5"/>
  <c r="E412" i="5"/>
  <c r="E65" i="5" s="1"/>
  <c r="F415" i="5"/>
  <c r="G1032" i="5"/>
  <c r="G1031" i="5"/>
  <c r="G1033" i="5"/>
  <c r="D1021" i="5"/>
  <c r="H1048" i="5"/>
  <c r="H1040" i="5"/>
  <c r="E1021" i="5"/>
  <c r="G415" i="5"/>
  <c r="H1054" i="5"/>
  <c r="G1046" i="5"/>
  <c r="G1038" i="5"/>
  <c r="E1029" i="5"/>
  <c r="E1030" i="5" s="1"/>
  <c r="H1057" i="5" l="1"/>
  <c r="H1065" i="5" s="1"/>
  <c r="G1054" i="5"/>
  <c r="G1062" i="5" s="1"/>
  <c r="H1055" i="5"/>
  <c r="H1063" i="5" s="1"/>
  <c r="E157" i="5"/>
  <c r="E35" i="6"/>
  <c r="E58" i="6" s="1"/>
  <c r="E115" i="6"/>
  <c r="E118" i="6" s="1"/>
  <c r="G157" i="5"/>
  <c r="G35" i="6"/>
  <c r="G58" i="6" s="1"/>
  <c r="G115" i="6"/>
  <c r="G118" i="6" s="1"/>
  <c r="F157" i="5"/>
  <c r="F35" i="6"/>
  <c r="F58" i="6" s="1"/>
  <c r="F115" i="6"/>
  <c r="F118" i="6" s="1"/>
  <c r="H1062" i="5"/>
  <c r="G1048" i="5"/>
  <c r="G1040" i="5"/>
  <c r="F1046" i="5"/>
  <c r="F1038" i="5"/>
  <c r="G1035" i="5"/>
  <c r="G420" i="5"/>
  <c r="D157" i="5"/>
  <c r="D35" i="6"/>
  <c r="D58" i="6" s="1"/>
  <c r="D115" i="6"/>
  <c r="D118" i="6" s="1"/>
  <c r="E154" i="5"/>
  <c r="E166" i="5" s="1"/>
  <c r="G154" i="5"/>
  <c r="G166" i="5" s="1"/>
  <c r="G1049" i="5"/>
  <c r="G1041" i="5"/>
  <c r="D154" i="5"/>
  <c r="D166" i="5" s="1"/>
  <c r="D1032" i="5"/>
  <c r="D1033" i="5"/>
  <c r="D1031" i="5"/>
  <c r="H121" i="6"/>
  <c r="H204" i="6"/>
  <c r="H1056" i="5"/>
  <c r="H1064" i="5" s="1"/>
  <c r="G1039" i="5"/>
  <c r="G1047" i="5"/>
  <c r="D1030" i="5"/>
  <c r="E1038" i="5"/>
  <c r="E1046" i="5"/>
  <c r="H424" i="5"/>
  <c r="H425" i="5"/>
  <c r="H426" i="5"/>
  <c r="H423" i="5"/>
  <c r="F1033" i="5"/>
  <c r="F1031" i="5"/>
  <c r="F1032" i="5"/>
  <c r="E1032" i="5"/>
  <c r="E1031" i="5"/>
  <c r="E1033" i="5"/>
  <c r="F420" i="5"/>
  <c r="F154" i="5"/>
  <c r="F166" i="5" s="1"/>
  <c r="F1054" i="5" l="1"/>
  <c r="F1062" i="5" s="1"/>
  <c r="G1057" i="5"/>
  <c r="G1065" i="5" s="1"/>
  <c r="F1041" i="5"/>
  <c r="F1049" i="5"/>
  <c r="E1054" i="5"/>
  <c r="F426" i="5"/>
  <c r="F425" i="5"/>
  <c r="F424" i="5"/>
  <c r="F1040" i="5"/>
  <c r="F1048" i="5"/>
  <c r="G1055" i="5"/>
  <c r="D121" i="6"/>
  <c r="D204" i="6"/>
  <c r="H1059" i="5"/>
  <c r="H1058" i="5" s="1"/>
  <c r="H1066" i="5" s="1"/>
  <c r="H1067" i="5" s="1"/>
  <c r="G204" i="6"/>
  <c r="G121" i="6"/>
  <c r="E1047" i="5"/>
  <c r="E1039" i="5"/>
  <c r="H427" i="5"/>
  <c r="D1041" i="5"/>
  <c r="D1049" i="5"/>
  <c r="D425" i="5"/>
  <c r="D426" i="5"/>
  <c r="D424" i="5"/>
  <c r="D423" i="5"/>
  <c r="G426" i="5"/>
  <c r="G425" i="5"/>
  <c r="G424" i="5"/>
  <c r="E1040" i="5"/>
  <c r="E1048" i="5"/>
  <c r="D1048" i="5"/>
  <c r="D1040" i="5"/>
  <c r="G423" i="5"/>
  <c r="F1035" i="5"/>
  <c r="E204" i="6"/>
  <c r="E121" i="6"/>
  <c r="F423" i="5"/>
  <c r="E1035" i="5"/>
  <c r="E1041" i="5"/>
  <c r="E1049" i="5"/>
  <c r="F1039" i="5"/>
  <c r="F1047" i="5"/>
  <c r="D1038" i="5"/>
  <c r="D1035" i="5"/>
  <c r="D1046" i="5"/>
  <c r="D1039" i="5"/>
  <c r="D1047" i="5"/>
  <c r="G1056" i="5"/>
  <c r="G1064" i="5" s="1"/>
  <c r="F204" i="6"/>
  <c r="F121" i="6"/>
  <c r="E425" i="5"/>
  <c r="E424" i="5"/>
  <c r="E426" i="5"/>
  <c r="E423" i="5"/>
  <c r="D1054" i="5" l="1"/>
  <c r="D1062" i="5" s="1"/>
  <c r="F1055" i="5"/>
  <c r="F1063" i="5" s="1"/>
  <c r="E1056" i="5"/>
  <c r="E1064" i="5" s="1"/>
  <c r="G427" i="5"/>
  <c r="E1062" i="5"/>
  <c r="G1063" i="5"/>
  <c r="G1059" i="5"/>
  <c r="G1058" i="5" s="1"/>
  <c r="G1066" i="5" s="1"/>
  <c r="E1057" i="5"/>
  <c r="E1065" i="5" s="1"/>
  <c r="D427" i="5"/>
  <c r="D428" i="5" s="1"/>
  <c r="D164" i="5" s="1"/>
  <c r="D175" i="5" s="1"/>
  <c r="D194" i="5" s="1"/>
  <c r="D129" i="5" s="1"/>
  <c r="D141" i="5" s="1"/>
  <c r="F427" i="5"/>
  <c r="F428" i="5" s="1"/>
  <c r="F164" i="5" s="1"/>
  <c r="F175" i="5" s="1"/>
  <c r="F194" i="5" s="1"/>
  <c r="F129" i="5" s="1"/>
  <c r="F141" i="5" s="1"/>
  <c r="D1056" i="5"/>
  <c r="D1064" i="5" s="1"/>
  <c r="D1057" i="5"/>
  <c r="D1065" i="5" s="1"/>
  <c r="E1055" i="5"/>
  <c r="E1063" i="5" s="1"/>
  <c r="F1056" i="5"/>
  <c r="F1064" i="5" s="1"/>
  <c r="E427" i="5"/>
  <c r="H428" i="5"/>
  <c r="H165" i="5" s="1"/>
  <c r="D1055" i="5"/>
  <c r="D1063" i="5" s="1"/>
  <c r="F1057" i="5"/>
  <c r="F1065" i="5" s="1"/>
  <c r="D163" i="5" l="1"/>
  <c r="D174" i="5" s="1"/>
  <c r="D193" i="5" s="1"/>
  <c r="D128" i="5" s="1"/>
  <c r="D140" i="5" s="1"/>
  <c r="D162" i="5"/>
  <c r="D173" i="5" s="1"/>
  <c r="D192" i="5" s="1"/>
  <c r="D127" i="5" s="1"/>
  <c r="D139" i="5" s="1"/>
  <c r="D161" i="5"/>
  <c r="D172" i="5" s="1"/>
  <c r="D191" i="5" s="1"/>
  <c r="D126" i="5" s="1"/>
  <c r="D138" i="5" s="1"/>
  <c r="H176" i="5"/>
  <c r="H206" i="5"/>
  <c r="D160" i="5"/>
  <c r="F165" i="5"/>
  <c r="F176" i="5" s="1"/>
  <c r="D165" i="5"/>
  <c r="D176" i="5" s="1"/>
  <c r="F161" i="5"/>
  <c r="E1059" i="5"/>
  <c r="E1058" i="5" s="1"/>
  <c r="E1066" i="5" s="1"/>
  <c r="E1067" i="5" s="1"/>
  <c r="F1059" i="5"/>
  <c r="F1058" i="5" s="1"/>
  <c r="F1066" i="5" s="1"/>
  <c r="F1067" i="5" s="1"/>
  <c r="F162" i="5"/>
  <c r="F160" i="5"/>
  <c r="F163" i="5"/>
  <c r="G1067" i="5"/>
  <c r="H162" i="5"/>
  <c r="H164" i="5"/>
  <c r="H175" i="5" s="1"/>
  <c r="H194" i="5" s="1"/>
  <c r="H129" i="5" s="1"/>
  <c r="H141" i="5" s="1"/>
  <c r="H161" i="5"/>
  <c r="H163" i="5"/>
  <c r="H160" i="5"/>
  <c r="E428" i="5"/>
  <c r="E165" i="5" s="1"/>
  <c r="E176" i="5" s="1"/>
  <c r="D1059" i="5"/>
  <c r="D1058" i="5" s="1"/>
  <c r="D1066" i="5" s="1"/>
  <c r="D1067" i="5" s="1"/>
  <c r="G428" i="5"/>
  <c r="G165" i="5" s="1"/>
  <c r="G176" i="5" s="1"/>
  <c r="D204" i="5" l="1"/>
  <c r="D215" i="5" s="1"/>
  <c r="D203" i="5"/>
  <c r="D214" i="5" s="1"/>
  <c r="D202" i="5"/>
  <c r="D213" i="5" s="1"/>
  <c r="H174" i="5"/>
  <c r="H193" i="5" s="1"/>
  <c r="H128" i="5" s="1"/>
  <c r="H140" i="5" s="1"/>
  <c r="H204" i="5"/>
  <c r="H215" i="5" s="1"/>
  <c r="H172" i="5"/>
  <c r="H191" i="5" s="1"/>
  <c r="H126" i="5" s="1"/>
  <c r="H138" i="5" s="1"/>
  <c r="H202" i="5"/>
  <c r="H213" i="5" s="1"/>
  <c r="F174" i="5"/>
  <c r="F193" i="5" s="1"/>
  <c r="F128" i="5" s="1"/>
  <c r="F140" i="5" s="1"/>
  <c r="F204" i="5"/>
  <c r="F215" i="5" s="1"/>
  <c r="D206" i="5"/>
  <c r="D171" i="5"/>
  <c r="D201" i="5"/>
  <c r="E162" i="5"/>
  <c r="E164" i="5"/>
  <c r="E175" i="5" s="1"/>
  <c r="E194" i="5" s="1"/>
  <c r="E129" i="5" s="1"/>
  <c r="E141" i="5" s="1"/>
  <c r="E161" i="5"/>
  <c r="E160" i="5"/>
  <c r="E163" i="5"/>
  <c r="F171" i="5"/>
  <c r="F201" i="5"/>
  <c r="E206" i="5"/>
  <c r="G163" i="5"/>
  <c r="G162" i="5"/>
  <c r="G160" i="5"/>
  <c r="G164" i="5"/>
  <c r="G175" i="5" s="1"/>
  <c r="G194" i="5" s="1"/>
  <c r="G129" i="5" s="1"/>
  <c r="G141" i="5" s="1"/>
  <c r="G161" i="5"/>
  <c r="H171" i="5"/>
  <c r="H201" i="5"/>
  <c r="H173" i="5"/>
  <c r="H192" i="5" s="1"/>
  <c r="H127" i="5" s="1"/>
  <c r="H139" i="5" s="1"/>
  <c r="H203" i="5"/>
  <c r="H214" i="5" s="1"/>
  <c r="F173" i="5"/>
  <c r="F192" i="5" s="1"/>
  <c r="F127" i="5" s="1"/>
  <c r="F139" i="5" s="1"/>
  <c r="F203" i="5"/>
  <c r="F214" i="5" s="1"/>
  <c r="F172" i="5"/>
  <c r="F191" i="5" s="1"/>
  <c r="F126" i="5" s="1"/>
  <c r="F138" i="5" s="1"/>
  <c r="F202" i="5"/>
  <c r="F213" i="5" s="1"/>
  <c r="F206" i="5"/>
  <c r="G206" i="5"/>
  <c r="H177" i="5" l="1"/>
  <c r="H190" i="5"/>
  <c r="G172" i="5"/>
  <c r="G191" i="5" s="1"/>
  <c r="G126" i="5" s="1"/>
  <c r="G138" i="5" s="1"/>
  <c r="G202" i="5"/>
  <c r="G213" i="5" s="1"/>
  <c r="G174" i="5"/>
  <c r="G193" i="5" s="1"/>
  <c r="G128" i="5" s="1"/>
  <c r="G140" i="5" s="1"/>
  <c r="G204" i="5"/>
  <c r="G215" i="5" s="1"/>
  <c r="E174" i="5"/>
  <c r="E193" i="5" s="1"/>
  <c r="E128" i="5" s="1"/>
  <c r="E140" i="5" s="1"/>
  <c r="E204" i="5"/>
  <c r="E215" i="5" s="1"/>
  <c r="E173" i="5"/>
  <c r="E192" i="5" s="1"/>
  <c r="E127" i="5" s="1"/>
  <c r="E139" i="5" s="1"/>
  <c r="E203" i="5"/>
  <c r="E214" i="5" s="1"/>
  <c r="E171" i="5"/>
  <c r="E201" i="5"/>
  <c r="D207" i="5"/>
  <c r="D327" i="5" s="1"/>
  <c r="D212" i="5"/>
  <c r="H207" i="5"/>
  <c r="H327" i="5" s="1"/>
  <c r="H212" i="5"/>
  <c r="G171" i="5"/>
  <c r="G201" i="5"/>
  <c r="F207" i="5"/>
  <c r="F327" i="5" s="1"/>
  <c r="F212" i="5"/>
  <c r="E172" i="5"/>
  <c r="E191" i="5" s="1"/>
  <c r="E126" i="5" s="1"/>
  <c r="E138" i="5" s="1"/>
  <c r="E202" i="5"/>
  <c r="E213" i="5" s="1"/>
  <c r="D177" i="5"/>
  <c r="D190" i="5"/>
  <c r="G173" i="5"/>
  <c r="G192" i="5" s="1"/>
  <c r="G127" i="5" s="1"/>
  <c r="G139" i="5" s="1"/>
  <c r="G203" i="5"/>
  <c r="G214" i="5" s="1"/>
  <c r="F190" i="5"/>
  <c r="F177" i="5"/>
  <c r="F195" i="5" l="1"/>
  <c r="F125" i="5"/>
  <c r="E190" i="5"/>
  <c r="E177" i="5"/>
  <c r="G212" i="5"/>
  <c r="G207" i="5"/>
  <c r="G327" i="5" s="1"/>
  <c r="D217" i="5"/>
  <c r="D218" i="5" s="1"/>
  <c r="D328" i="5" s="1"/>
  <c r="D343" i="5" s="1"/>
  <c r="D348" i="5" s="1"/>
  <c r="C371" i="2" s="1"/>
  <c r="H125" i="5"/>
  <c r="H195" i="5"/>
  <c r="H196" i="5" s="1"/>
  <c r="H188" i="5" s="1"/>
  <c r="G190" i="5"/>
  <c r="G177" i="5"/>
  <c r="D125" i="5"/>
  <c r="D195" i="5"/>
  <c r="F217" i="5"/>
  <c r="F218" i="5" s="1"/>
  <c r="F328" i="5" s="1"/>
  <c r="F343" i="5" s="1"/>
  <c r="F348" i="5" s="1"/>
  <c r="E371" i="2" s="1"/>
  <c r="H217" i="5"/>
  <c r="H218" i="5" s="1"/>
  <c r="H328" i="5" s="1"/>
  <c r="H343" i="5" s="1"/>
  <c r="H348" i="5" s="1"/>
  <c r="G371" i="2" s="1"/>
  <c r="E207" i="5"/>
  <c r="E327" i="5" s="1"/>
  <c r="E212" i="5"/>
  <c r="E373" i="2" l="1"/>
  <c r="E372" i="2"/>
  <c r="E374" i="2"/>
  <c r="F137" i="5"/>
  <c r="H137" i="5"/>
  <c r="G217" i="5"/>
  <c r="G218" i="5" s="1"/>
  <c r="G328" i="5" s="1"/>
  <c r="G343" i="5" s="1"/>
  <c r="G348" i="5" s="1"/>
  <c r="F371" i="2" s="1"/>
  <c r="F183" i="5"/>
  <c r="F130" i="5"/>
  <c r="F131" i="5" s="1"/>
  <c r="G372" i="2"/>
  <c r="G373" i="2"/>
  <c r="G374" i="2"/>
  <c r="D130" i="5"/>
  <c r="D131" i="5" s="1"/>
  <c r="D183" i="5"/>
  <c r="G125" i="5"/>
  <c r="G195" i="5"/>
  <c r="C374" i="2"/>
  <c r="C372" i="2"/>
  <c r="C373" i="2"/>
  <c r="F196" i="5"/>
  <c r="F188" i="5" s="1"/>
  <c r="D196" i="5"/>
  <c r="D188" i="5" s="1"/>
  <c r="H183" i="5"/>
  <c r="H130" i="5"/>
  <c r="E125" i="5"/>
  <c r="E195" i="5"/>
  <c r="E196" i="5" s="1"/>
  <c r="E188" i="5" s="1"/>
  <c r="E217" i="5"/>
  <c r="E218" i="5" s="1"/>
  <c r="E328" i="5" s="1"/>
  <c r="E343" i="5" s="1"/>
  <c r="E348" i="5" s="1"/>
  <c r="D371" i="2" s="1"/>
  <c r="D137" i="5"/>
  <c r="D374" i="2" l="1"/>
  <c r="D372" i="2"/>
  <c r="D373" i="2"/>
  <c r="G130" i="5"/>
  <c r="G131" i="5" s="1"/>
  <c r="G183" i="5"/>
  <c r="D142" i="5"/>
  <c r="D143" i="5" s="1"/>
  <c r="D124" i="5"/>
  <c r="D123" i="5" s="1"/>
  <c r="F142" i="5"/>
  <c r="F330" i="5" s="1"/>
  <c r="F124" i="5"/>
  <c r="F123" i="5" s="1"/>
  <c r="H142" i="5"/>
  <c r="H330" i="5" s="1"/>
  <c r="C388" i="2"/>
  <c r="C401" i="2"/>
  <c r="G196" i="5"/>
  <c r="G188" i="5" s="1"/>
  <c r="F184" i="5"/>
  <c r="F181" i="5" s="1"/>
  <c r="H131" i="5"/>
  <c r="E400" i="2"/>
  <c r="E402" i="2" s="1"/>
  <c r="E387" i="2"/>
  <c r="E389" i="2" s="1"/>
  <c r="E137" i="5"/>
  <c r="D184" i="5"/>
  <c r="D181" i="5" s="1"/>
  <c r="G387" i="2"/>
  <c r="G389" i="2" s="1"/>
  <c r="G400" i="2"/>
  <c r="G402" i="2" s="1"/>
  <c r="F372" i="2"/>
  <c r="F373" i="2"/>
  <c r="F374" i="2"/>
  <c r="E130" i="5"/>
  <c r="E131" i="5" s="1"/>
  <c r="E183" i="5"/>
  <c r="H184" i="5"/>
  <c r="H181" i="5" s="1"/>
  <c r="C400" i="2"/>
  <c r="C402" i="2" s="1"/>
  <c r="C387" i="2"/>
  <c r="C389" i="2" s="1"/>
  <c r="G137" i="5"/>
  <c r="G388" i="2"/>
  <c r="G401" i="2"/>
  <c r="E401" i="2"/>
  <c r="E388" i="2"/>
  <c r="H143" i="5" l="1"/>
  <c r="H136" i="5" s="1"/>
  <c r="H135" i="5" s="1"/>
  <c r="F143" i="5"/>
  <c r="F136" i="5" s="1"/>
  <c r="F135" i="5" s="1"/>
  <c r="E184" i="5"/>
  <c r="E181" i="5" s="1"/>
  <c r="G184" i="5"/>
  <c r="G181" i="5" s="1"/>
  <c r="D387" i="2"/>
  <c r="D389" i="2" s="1"/>
  <c r="D400" i="2"/>
  <c r="D402" i="2" s="1"/>
  <c r="E124" i="5"/>
  <c r="E123" i="5" s="1"/>
  <c r="E142" i="5"/>
  <c r="F387" i="2"/>
  <c r="F389" i="2" s="1"/>
  <c r="F400" i="2"/>
  <c r="F402" i="2" s="1"/>
  <c r="D330" i="5"/>
  <c r="F64" i="5"/>
  <c r="H124" i="5"/>
  <c r="H123" i="5" s="1"/>
  <c r="D136" i="5"/>
  <c r="D135" i="5" s="1"/>
  <c r="D64" i="5"/>
  <c r="D401" i="2"/>
  <c r="D388" i="2"/>
  <c r="F388" i="2"/>
  <c r="F401" i="2"/>
  <c r="H64" i="5"/>
  <c r="G124" i="5"/>
  <c r="G123" i="5" s="1"/>
  <c r="G142" i="5"/>
  <c r="G330" i="5" s="1"/>
  <c r="F79" i="5" l="1"/>
  <c r="F34" i="6"/>
  <c r="F114" i="6"/>
  <c r="F56" i="5"/>
  <c r="F66" i="5"/>
  <c r="H79" i="5"/>
  <c r="H34" i="6"/>
  <c r="H114" i="6"/>
  <c r="H56" i="5"/>
  <c r="H66" i="5"/>
  <c r="E64" i="5"/>
  <c r="G64" i="5"/>
  <c r="D79" i="5"/>
  <c r="D114" i="6"/>
  <c r="D34" i="6"/>
  <c r="D56" i="5"/>
  <c r="D66" i="5"/>
  <c r="E143" i="5"/>
  <c r="E136" i="5" s="1"/>
  <c r="E330" i="5"/>
  <c r="G143" i="5"/>
  <c r="D116" i="6" l="1"/>
  <c r="D135" i="6" s="1"/>
  <c r="D136" i="6" s="1"/>
  <c r="D36" i="6"/>
  <c r="D94" i="5"/>
  <c r="D71" i="5"/>
  <c r="D72" i="5" s="1"/>
  <c r="D81" i="5"/>
  <c r="G114" i="6"/>
  <c r="G79" i="5"/>
  <c r="G34" i="6"/>
  <c r="G56" i="5"/>
  <c r="G66" i="5"/>
  <c r="H116" i="6"/>
  <c r="H135" i="6" s="1"/>
  <c r="H136" i="6" s="1"/>
  <c r="H36" i="6"/>
  <c r="H94" i="5"/>
  <c r="H81" i="5"/>
  <c r="H71" i="5"/>
  <c r="H72" i="5" s="1"/>
  <c r="G136" i="5"/>
  <c r="G135" i="5" s="1"/>
  <c r="H57" i="5"/>
  <c r="H26" i="6"/>
  <c r="H106" i="6"/>
  <c r="F94" i="5"/>
  <c r="F71" i="5"/>
  <c r="F72" i="5" s="1"/>
  <c r="F81" i="5"/>
  <c r="E135" i="5"/>
  <c r="E79" i="5"/>
  <c r="E34" i="6"/>
  <c r="E114" i="6"/>
  <c r="E66" i="5"/>
  <c r="E56" i="5"/>
  <c r="F57" i="5"/>
  <c r="F26" i="6"/>
  <c r="F106" i="6"/>
  <c r="D106" i="6"/>
  <c r="D57" i="5"/>
  <c r="D26" i="6"/>
  <c r="F116" i="6"/>
  <c r="F135" i="6" s="1"/>
  <c r="F136" i="6" s="1"/>
  <c r="F36" i="6"/>
  <c r="D134" i="6" l="1"/>
  <c r="D154" i="6" s="1"/>
  <c r="D155" i="6" s="1"/>
  <c r="D156" i="6" s="1"/>
  <c r="F179" i="6"/>
  <c r="F181" i="6" s="1"/>
  <c r="F177" i="6"/>
  <c r="M229" i="5"/>
  <c r="H27" i="6"/>
  <c r="H107" i="6"/>
  <c r="H96" i="5"/>
  <c r="H86" i="5"/>
  <c r="H87" i="5" s="1"/>
  <c r="H232" i="5" s="1"/>
  <c r="G57" i="5"/>
  <c r="G26" i="6"/>
  <c r="G106" i="6"/>
  <c r="D96" i="5"/>
  <c r="D86" i="5"/>
  <c r="D87" i="5" s="1"/>
  <c r="D232" i="5" s="1"/>
  <c r="E36" i="6"/>
  <c r="E116" i="6"/>
  <c r="E135" i="6" s="1"/>
  <c r="E136" i="6" s="1"/>
  <c r="F86" i="5"/>
  <c r="F87" i="5" s="1"/>
  <c r="F232" i="5" s="1"/>
  <c r="F96" i="5"/>
  <c r="F134" i="6"/>
  <c r="F107" i="6"/>
  <c r="F27" i="6"/>
  <c r="O229" i="5"/>
  <c r="H179" i="6"/>
  <c r="H181" i="6" s="1"/>
  <c r="H177" i="6"/>
  <c r="D179" i="6"/>
  <c r="D181" i="6" s="1"/>
  <c r="D177" i="6"/>
  <c r="H134" i="6"/>
  <c r="G116" i="6"/>
  <c r="G135" i="6" s="1"/>
  <c r="G136" i="6" s="1"/>
  <c r="G36" i="6"/>
  <c r="K229" i="5"/>
  <c r="E57" i="5"/>
  <c r="E106" i="6"/>
  <c r="E26" i="6"/>
  <c r="E94" i="5"/>
  <c r="E71" i="5"/>
  <c r="E72" i="5" s="1"/>
  <c r="E81" i="5"/>
  <c r="D27" i="6"/>
  <c r="D107" i="6"/>
  <c r="G94" i="5"/>
  <c r="G81" i="5"/>
  <c r="G71" i="5"/>
  <c r="G72" i="5" s="1"/>
  <c r="D157" i="6" l="1"/>
  <c r="D158" i="6" s="1"/>
  <c r="D159" i="6" s="1"/>
  <c r="D160" i="6" s="1"/>
  <c r="D162" i="6" s="1"/>
  <c r="D182" i="6"/>
  <c r="D183" i="6" s="1"/>
  <c r="D184" i="6" s="1"/>
  <c r="D185" i="6" s="1"/>
  <c r="F182" i="6"/>
  <c r="F183" i="6" s="1"/>
  <c r="F184" i="6" s="1"/>
  <c r="F185" i="6" s="1"/>
  <c r="D228" i="5"/>
  <c r="D301" i="5" s="1"/>
  <c r="E134" i="6"/>
  <c r="E154" i="6" s="1"/>
  <c r="E155" i="6" s="1"/>
  <c r="H228" i="5"/>
  <c r="H240" i="5" s="1"/>
  <c r="H182" i="6"/>
  <c r="H183" i="6" s="1"/>
  <c r="H184" i="6" s="1"/>
  <c r="H185" i="6" s="1"/>
  <c r="F228" i="5"/>
  <c r="F240" i="5" s="1"/>
  <c r="E96" i="5"/>
  <c r="E86" i="5"/>
  <c r="E87" i="5" s="1"/>
  <c r="E232" i="5" s="1"/>
  <c r="F154" i="6"/>
  <c r="F155" i="6" s="1"/>
  <c r="H154" i="6"/>
  <c r="H155" i="6" s="1"/>
  <c r="G107" i="6"/>
  <c r="G27" i="6"/>
  <c r="H236" i="6"/>
  <c r="H205" i="6"/>
  <c r="H203" i="6"/>
  <c r="H119" i="6"/>
  <c r="F59" i="6"/>
  <c r="F38" i="6"/>
  <c r="F89" i="6" s="1"/>
  <c r="F90" i="6"/>
  <c r="F56" i="6"/>
  <c r="H244" i="5"/>
  <c r="H305" i="5"/>
  <c r="H316" i="5" s="1"/>
  <c r="H38" i="6"/>
  <c r="H89" i="6" s="1"/>
  <c r="H90" i="6"/>
  <c r="H59" i="6"/>
  <c r="H56" i="6"/>
  <c r="D59" i="6"/>
  <c r="D38" i="6"/>
  <c r="D90" i="6"/>
  <c r="D56" i="6"/>
  <c r="L229" i="5"/>
  <c r="E107" i="6"/>
  <c r="E27" i="6"/>
  <c r="O230" i="5"/>
  <c r="H229" i="5" s="1"/>
  <c r="F205" i="6"/>
  <c r="F236" i="6"/>
  <c r="F203" i="6"/>
  <c r="F119" i="6"/>
  <c r="E179" i="6"/>
  <c r="E181" i="6" s="1"/>
  <c r="E177" i="6"/>
  <c r="M230" i="5"/>
  <c r="F229" i="5" s="1"/>
  <c r="G96" i="5"/>
  <c r="G86" i="5"/>
  <c r="G87" i="5" s="1"/>
  <c r="G232" i="5" s="1"/>
  <c r="G179" i="6"/>
  <c r="G181" i="6" s="1"/>
  <c r="G177" i="6"/>
  <c r="K230" i="5"/>
  <c r="D229" i="5" s="1"/>
  <c r="D244" i="5"/>
  <c r="D305" i="5"/>
  <c r="D316" i="5" s="1"/>
  <c r="N229" i="5"/>
  <c r="N230" i="5" s="1"/>
  <c r="D236" i="6"/>
  <c r="D205" i="6"/>
  <c r="D203" i="6"/>
  <c r="D119" i="6"/>
  <c r="G134" i="6"/>
  <c r="F244" i="5"/>
  <c r="F305" i="5"/>
  <c r="F316" i="5" s="1"/>
  <c r="H233" i="5" l="1"/>
  <c r="F157" i="6"/>
  <c r="F158" i="6" s="1"/>
  <c r="F159" i="6" s="1"/>
  <c r="F160" i="6" s="1"/>
  <c r="F162" i="6" s="1"/>
  <c r="F188" i="6" s="1"/>
  <c r="F191" i="6" s="1"/>
  <c r="F124" i="6" s="1"/>
  <c r="F194" i="6" s="1"/>
  <c r="F196" i="6" s="1"/>
  <c r="F197" i="6" s="1"/>
  <c r="F156" i="6"/>
  <c r="D240" i="5"/>
  <c r="D262" i="5" s="1"/>
  <c r="D188" i="6"/>
  <c r="D191" i="6" s="1"/>
  <c r="E157" i="6"/>
  <c r="E158" i="6" s="1"/>
  <c r="E159" i="6" s="1"/>
  <c r="E160" i="6" s="1"/>
  <c r="E162" i="6" s="1"/>
  <c r="E156" i="6"/>
  <c r="D206" i="6"/>
  <c r="D208" i="6" s="1"/>
  <c r="E182" i="6"/>
  <c r="E183" i="6" s="1"/>
  <c r="E184" i="6" s="1"/>
  <c r="E185" i="6" s="1"/>
  <c r="F91" i="6"/>
  <c r="F93" i="6" s="1"/>
  <c r="G182" i="6"/>
  <c r="G183" i="6" s="1"/>
  <c r="G184" i="6" s="1"/>
  <c r="G185" i="6" s="1"/>
  <c r="H301" i="5"/>
  <c r="H312" i="5" s="1"/>
  <c r="E228" i="5"/>
  <c r="E240" i="5" s="1"/>
  <c r="H157" i="6"/>
  <c r="H158" i="6" s="1"/>
  <c r="H159" i="6" s="1"/>
  <c r="H160" i="6" s="1"/>
  <c r="H162" i="6" s="1"/>
  <c r="H188" i="6" s="1"/>
  <c r="H191" i="6" s="1"/>
  <c r="H124" i="6" s="1"/>
  <c r="H194" i="6" s="1"/>
  <c r="H196" i="6" s="1"/>
  <c r="H197" i="6" s="1"/>
  <c r="H156" i="6"/>
  <c r="F301" i="5"/>
  <c r="F312" i="5" s="1"/>
  <c r="D124" i="6"/>
  <c r="D194" i="6" s="1"/>
  <c r="D241" i="5"/>
  <c r="D302" i="5"/>
  <c r="D313" i="5" s="1"/>
  <c r="D233" i="5"/>
  <c r="F302" i="5"/>
  <c r="F313" i="5" s="1"/>
  <c r="F241" i="5"/>
  <c r="F233" i="5"/>
  <c r="D42" i="6"/>
  <c r="D44" i="6" s="1"/>
  <c r="D48" i="6" s="1"/>
  <c r="D50" i="6" s="1"/>
  <c r="D49" i="6" s="1"/>
  <c r="D57" i="6"/>
  <c r="D95" i="6" s="1"/>
  <c r="H255" i="5"/>
  <c r="H277" i="5"/>
  <c r="H266" i="5"/>
  <c r="F277" i="5"/>
  <c r="F255" i="5"/>
  <c r="F266" i="5"/>
  <c r="E244" i="5"/>
  <c r="E305" i="5"/>
  <c r="E316" i="5" s="1"/>
  <c r="D312" i="5"/>
  <c r="E205" i="6"/>
  <c r="E236" i="6"/>
  <c r="E203" i="6"/>
  <c r="E119" i="6"/>
  <c r="H42" i="6"/>
  <c r="H44" i="6" s="1"/>
  <c r="H48" i="6" s="1"/>
  <c r="H50" i="6" s="1"/>
  <c r="H49" i="6" s="1"/>
  <c r="H57" i="6"/>
  <c r="H95" i="6" s="1"/>
  <c r="D255" i="5"/>
  <c r="D266" i="5"/>
  <c r="D277" i="5"/>
  <c r="F206" i="6"/>
  <c r="L230" i="5"/>
  <c r="E229" i="5" s="1"/>
  <c r="F42" i="6"/>
  <c r="F44" i="6" s="1"/>
  <c r="F48" i="6" s="1"/>
  <c r="F50" i="6" s="1"/>
  <c r="F49" i="6" s="1"/>
  <c r="F57" i="6"/>
  <c r="F95" i="6" s="1"/>
  <c r="G38" i="6"/>
  <c r="G89" i="6" s="1"/>
  <c r="G59" i="6"/>
  <c r="G90" i="6"/>
  <c r="G56" i="6"/>
  <c r="F273" i="5"/>
  <c r="F251" i="5"/>
  <c r="F262" i="5"/>
  <c r="G229" i="5"/>
  <c r="G236" i="6"/>
  <c r="G205" i="6"/>
  <c r="G203" i="6"/>
  <c r="G119" i="6"/>
  <c r="G244" i="5"/>
  <c r="G305" i="5"/>
  <c r="G316" i="5" s="1"/>
  <c r="E90" i="6"/>
  <c r="E38" i="6"/>
  <c r="E89" i="6" s="1"/>
  <c r="E59" i="6"/>
  <c r="E56" i="6"/>
  <c r="H91" i="6"/>
  <c r="H93" i="6" s="1"/>
  <c r="H251" i="5"/>
  <c r="H262" i="5"/>
  <c r="H273" i="5"/>
  <c r="G154" i="6"/>
  <c r="G155" i="6" s="1"/>
  <c r="D89" i="6"/>
  <c r="D91" i="6" s="1"/>
  <c r="D93" i="6" s="1"/>
  <c r="H241" i="5"/>
  <c r="H245" i="5" s="1"/>
  <c r="H302" i="5"/>
  <c r="H313" i="5" s="1"/>
  <c r="H206" i="6"/>
  <c r="G228" i="5"/>
  <c r="H60" i="6" l="1"/>
  <c r="D251" i="5"/>
  <c r="D273" i="5"/>
  <c r="D245" i="5"/>
  <c r="F306" i="5"/>
  <c r="F317" i="5"/>
  <c r="F337" i="5" s="1"/>
  <c r="H317" i="5"/>
  <c r="H337" i="5" s="1"/>
  <c r="G206" i="6"/>
  <c r="G209" i="6" s="1"/>
  <c r="F235" i="6"/>
  <c r="F237" i="6" s="1"/>
  <c r="F239" i="6" s="1"/>
  <c r="G156" i="6"/>
  <c r="G157" i="6"/>
  <c r="G158" i="6" s="1"/>
  <c r="G159" i="6" s="1"/>
  <c r="G160" i="6" s="1"/>
  <c r="G162" i="6" s="1"/>
  <c r="G188" i="6" s="1"/>
  <c r="G191" i="6" s="1"/>
  <c r="G124" i="6" s="1"/>
  <c r="G194" i="6" s="1"/>
  <c r="G196" i="6" s="1"/>
  <c r="G197" i="6" s="1"/>
  <c r="E188" i="6"/>
  <c r="E191" i="6" s="1"/>
  <c r="E124" i="6" s="1"/>
  <c r="E194" i="6" s="1"/>
  <c r="E196" i="6" s="1"/>
  <c r="E197" i="6" s="1"/>
  <c r="D209" i="6"/>
  <c r="D317" i="5"/>
  <c r="D337" i="5" s="1"/>
  <c r="D207" i="6"/>
  <c r="E324" i="2"/>
  <c r="E327" i="2" s="1"/>
  <c r="D306" i="5"/>
  <c r="E301" i="5"/>
  <c r="E312" i="5" s="1"/>
  <c r="G91" i="6"/>
  <c r="G93" i="6" s="1"/>
  <c r="H235" i="6"/>
  <c r="H237" i="6" s="1"/>
  <c r="H239" i="6" s="1"/>
  <c r="E91" i="6"/>
  <c r="E93" i="6" s="1"/>
  <c r="AC15" i="7"/>
  <c r="D196" i="6"/>
  <c r="D235" i="6" s="1"/>
  <c r="D237" i="6" s="1"/>
  <c r="D239" i="6" s="1"/>
  <c r="E302" i="5"/>
  <c r="E313" i="5" s="1"/>
  <c r="E241" i="5"/>
  <c r="E245" i="5" s="1"/>
  <c r="E233" i="5"/>
  <c r="C324" i="2"/>
  <c r="G207" i="6"/>
  <c r="E266" i="5"/>
  <c r="E255" i="5"/>
  <c r="E277" i="5"/>
  <c r="F263" i="5"/>
  <c r="F267" i="5" s="1"/>
  <c r="F252" i="5"/>
  <c r="F256" i="5" s="1"/>
  <c r="F274" i="5"/>
  <c r="F278" i="5" s="1"/>
  <c r="G241" i="5"/>
  <c r="G302" i="5"/>
  <c r="G313" i="5" s="1"/>
  <c r="G324" i="2"/>
  <c r="E206" i="6"/>
  <c r="F60" i="6"/>
  <c r="G301" i="5"/>
  <c r="G240" i="5"/>
  <c r="G233" i="5"/>
  <c r="H62" i="6"/>
  <c r="H63" i="6"/>
  <c r="H61" i="6"/>
  <c r="H209" i="6"/>
  <c r="H208" i="6"/>
  <c r="H207" i="6"/>
  <c r="E273" i="5"/>
  <c r="E251" i="5"/>
  <c r="E262" i="5"/>
  <c r="H274" i="5"/>
  <c r="H278" i="5" s="1"/>
  <c r="H252" i="5"/>
  <c r="H256" i="5" s="1"/>
  <c r="H263" i="5"/>
  <c r="H267" i="5" s="1"/>
  <c r="E42" i="6"/>
  <c r="E44" i="6" s="1"/>
  <c r="E48" i="6" s="1"/>
  <c r="E50" i="6" s="1"/>
  <c r="E49" i="6" s="1"/>
  <c r="E57" i="6"/>
  <c r="E95" i="6" s="1"/>
  <c r="G266" i="5"/>
  <c r="G255" i="5"/>
  <c r="G277" i="5"/>
  <c r="F245" i="5"/>
  <c r="G42" i="6"/>
  <c r="G44" i="6" s="1"/>
  <c r="G48" i="6" s="1"/>
  <c r="G50" i="6" s="1"/>
  <c r="G49" i="6" s="1"/>
  <c r="G57" i="6"/>
  <c r="G95" i="6" s="1"/>
  <c r="F208" i="6"/>
  <c r="F207" i="6"/>
  <c r="F209" i="6"/>
  <c r="D60" i="6"/>
  <c r="H306" i="5"/>
  <c r="D263" i="5"/>
  <c r="D267" i="5" s="1"/>
  <c r="D252" i="5"/>
  <c r="D274" i="5"/>
  <c r="D278" i="5" l="1"/>
  <c r="D256" i="5"/>
  <c r="F338" i="5"/>
  <c r="F339" i="5" s="1"/>
  <c r="G208" i="6"/>
  <c r="G210" i="6" s="1"/>
  <c r="G211" i="6" s="1"/>
  <c r="G212" i="6" s="1"/>
  <c r="H64" i="6"/>
  <c r="H65" i="6" s="1"/>
  <c r="H66" i="6" s="1"/>
  <c r="H338" i="5"/>
  <c r="H339" i="5" s="1"/>
  <c r="G60" i="6"/>
  <c r="G62" i="6" s="1"/>
  <c r="H210" i="6"/>
  <c r="H211" i="6" s="1"/>
  <c r="H212" i="6" s="1"/>
  <c r="F210" i="6"/>
  <c r="F211" i="6" s="1"/>
  <c r="F212" i="6" s="1"/>
  <c r="D210" i="6"/>
  <c r="D211" i="6" s="1"/>
  <c r="D212" i="6" s="1"/>
  <c r="D240" i="6" s="1"/>
  <c r="E235" i="6"/>
  <c r="E237" i="6" s="1"/>
  <c r="E239" i="6" s="1"/>
  <c r="G235" i="6"/>
  <c r="G237" i="6" s="1"/>
  <c r="G239" i="6" s="1"/>
  <c r="D338" i="5"/>
  <c r="D339" i="5" s="1"/>
  <c r="E325" i="2"/>
  <c r="E353" i="2" s="1"/>
  <c r="E355" i="2" s="1"/>
  <c r="F324" i="2"/>
  <c r="F327" i="2" s="1"/>
  <c r="E326" i="2"/>
  <c r="E354" i="2" s="1"/>
  <c r="E317" i="5"/>
  <c r="E338" i="5" s="1"/>
  <c r="H280" i="5"/>
  <c r="H281" i="5" s="1"/>
  <c r="H284" i="5" s="1"/>
  <c r="D324" i="2"/>
  <c r="D326" i="2" s="1"/>
  <c r="AC16" i="7"/>
  <c r="D197" i="6"/>
  <c r="D280" i="5"/>
  <c r="D281" i="5" s="1"/>
  <c r="D282" i="5" s="1"/>
  <c r="D62" i="6"/>
  <c r="D61" i="6"/>
  <c r="D63" i="6"/>
  <c r="E306" i="5"/>
  <c r="F61" i="6"/>
  <c r="F63" i="6"/>
  <c r="F62" i="6"/>
  <c r="E60" i="6"/>
  <c r="E209" i="6"/>
  <c r="E208" i="6"/>
  <c r="E207" i="6"/>
  <c r="C327" i="2"/>
  <c r="C326" i="2"/>
  <c r="C325" i="2"/>
  <c r="G262" i="5"/>
  <c r="G273" i="5"/>
  <c r="G251" i="5"/>
  <c r="G245" i="5"/>
  <c r="G327" i="2"/>
  <c r="G326" i="2"/>
  <c r="G325" i="2"/>
  <c r="G252" i="5"/>
  <c r="G274" i="5"/>
  <c r="G263" i="5"/>
  <c r="E274" i="5"/>
  <c r="E278" i="5" s="1"/>
  <c r="E252" i="5"/>
  <c r="E256" i="5" s="1"/>
  <c r="E263" i="5"/>
  <c r="E267" i="5" s="1"/>
  <c r="F280" i="5"/>
  <c r="F281" i="5" s="1"/>
  <c r="G312" i="5"/>
  <c r="G317" i="5" s="1"/>
  <c r="G306" i="5"/>
  <c r="G61" i="6" l="1"/>
  <c r="G63" i="6"/>
  <c r="G64" i="6" s="1"/>
  <c r="G65" i="6" s="1"/>
  <c r="G66" i="6" s="1"/>
  <c r="F64" i="6"/>
  <c r="F65" i="6" s="1"/>
  <c r="F66" i="6" s="1"/>
  <c r="G256" i="5"/>
  <c r="G278" i="5"/>
  <c r="H282" i="5"/>
  <c r="H286" i="5" s="1"/>
  <c r="H288" i="5" s="1"/>
  <c r="D214" i="6"/>
  <c r="D215" i="6" s="1"/>
  <c r="E340" i="2"/>
  <c r="E342" i="2" s="1"/>
  <c r="E337" i="5"/>
  <c r="F326" i="2"/>
  <c r="F341" i="2" s="1"/>
  <c r="F325" i="2"/>
  <c r="F353" i="2" s="1"/>
  <c r="F355" i="2" s="1"/>
  <c r="E341" i="2"/>
  <c r="E339" i="5"/>
  <c r="D367" i="2" s="1"/>
  <c r="D64" i="6"/>
  <c r="D65" i="6" s="1"/>
  <c r="D66" i="6" s="1"/>
  <c r="D327" i="2"/>
  <c r="E210" i="6"/>
  <c r="E211" i="6" s="1"/>
  <c r="E212" i="6" s="1"/>
  <c r="D325" i="2"/>
  <c r="D340" i="2" s="1"/>
  <c r="D342" i="2" s="1"/>
  <c r="D284" i="5"/>
  <c r="D286" i="5" s="1"/>
  <c r="H214" i="6"/>
  <c r="H240" i="6"/>
  <c r="E280" i="5"/>
  <c r="E281" i="5" s="1"/>
  <c r="G214" i="6"/>
  <c r="G240" i="6"/>
  <c r="F214" i="6"/>
  <c r="F240" i="6"/>
  <c r="H68" i="6"/>
  <c r="H94" i="6"/>
  <c r="G320" i="2" s="1"/>
  <c r="G340" i="2"/>
  <c r="G342" i="2" s="1"/>
  <c r="G353" i="2"/>
  <c r="G355" i="2" s="1"/>
  <c r="C367" i="2"/>
  <c r="G338" i="5"/>
  <c r="G337" i="5"/>
  <c r="E367" i="2"/>
  <c r="C340" i="2"/>
  <c r="C342" i="2" s="1"/>
  <c r="C353" i="2"/>
  <c r="C355" i="2" s="1"/>
  <c r="C341" i="2"/>
  <c r="C354" i="2"/>
  <c r="D341" i="2"/>
  <c r="D354" i="2"/>
  <c r="F282" i="5"/>
  <c r="F284" i="5"/>
  <c r="G354" i="2"/>
  <c r="G341" i="2"/>
  <c r="G367" i="2"/>
  <c r="E61" i="6"/>
  <c r="E63" i="6"/>
  <c r="E62" i="6"/>
  <c r="G267" i="5"/>
  <c r="G280" i="5" l="1"/>
  <c r="G281" i="5" s="1"/>
  <c r="G339" i="5"/>
  <c r="F367" i="2" s="1"/>
  <c r="D216" i="6"/>
  <c r="D217" i="6"/>
  <c r="D218" i="6" s="1"/>
  <c r="D219" i="6" s="1"/>
  <c r="D220" i="6" s="1"/>
  <c r="F354" i="2"/>
  <c r="F340" i="2"/>
  <c r="F342" i="2" s="1"/>
  <c r="E64" i="6"/>
  <c r="E65" i="6" s="1"/>
  <c r="E66" i="6" s="1"/>
  <c r="D353" i="2"/>
  <c r="D355" i="2" s="1"/>
  <c r="D288" i="5"/>
  <c r="D291" i="5" s="1"/>
  <c r="C364" i="2" s="1"/>
  <c r="C375" i="2" s="1"/>
  <c r="D68" i="6"/>
  <c r="D94" i="6"/>
  <c r="C320" i="2" s="1"/>
  <c r="F94" i="6"/>
  <c r="E320" i="2" s="1"/>
  <c r="F68" i="6"/>
  <c r="E369" i="2"/>
  <c r="E368" i="2"/>
  <c r="E370" i="2"/>
  <c r="G323" i="2"/>
  <c r="G321" i="2"/>
  <c r="G322" i="2"/>
  <c r="E284" i="5"/>
  <c r="E282" i="5"/>
  <c r="H71" i="6"/>
  <c r="H69" i="6"/>
  <c r="H70" i="6"/>
  <c r="G216" i="6"/>
  <c r="G215" i="6"/>
  <c r="G217" i="6"/>
  <c r="H291" i="5"/>
  <c r="G282" i="5"/>
  <c r="G284" i="5"/>
  <c r="C368" i="2"/>
  <c r="C369" i="2"/>
  <c r="C370" i="2"/>
  <c r="H215" i="6"/>
  <c r="H217" i="6"/>
  <c r="H216" i="6"/>
  <c r="D370" i="2"/>
  <c r="D369" i="2"/>
  <c r="D368" i="2"/>
  <c r="F217" i="6"/>
  <c r="F216" i="6"/>
  <c r="F215" i="6"/>
  <c r="G370" i="2"/>
  <c r="G369" i="2"/>
  <c r="G368" i="2"/>
  <c r="G68" i="6"/>
  <c r="G94" i="6"/>
  <c r="F320" i="2" s="1"/>
  <c r="F286" i="5"/>
  <c r="E214" i="6"/>
  <c r="E240" i="6"/>
  <c r="F218" i="6" l="1"/>
  <c r="F219" i="6" s="1"/>
  <c r="F220" i="6" s="1"/>
  <c r="H218" i="6"/>
  <c r="H219" i="6" s="1"/>
  <c r="H222" i="6" s="1"/>
  <c r="H72" i="6"/>
  <c r="H73" i="6" s="1"/>
  <c r="H74" i="6" s="1"/>
  <c r="G218" i="6"/>
  <c r="G219" i="6" s="1"/>
  <c r="G222" i="6" s="1"/>
  <c r="D222" i="6"/>
  <c r="D224" i="6" s="1"/>
  <c r="D225" i="6" s="1"/>
  <c r="D228" i="6" s="1"/>
  <c r="D229" i="6" s="1"/>
  <c r="D292" i="5"/>
  <c r="C365" i="2" s="1"/>
  <c r="E286" i="5"/>
  <c r="E288" i="5" s="1"/>
  <c r="E291" i="5" s="1"/>
  <c r="H76" i="6"/>
  <c r="G384" i="2"/>
  <c r="G397" i="2"/>
  <c r="C376" i="2"/>
  <c r="C380" i="2" s="1"/>
  <c r="C377" i="2"/>
  <c r="C378" i="2"/>
  <c r="C384" i="2"/>
  <c r="C397" i="2"/>
  <c r="E321" i="2"/>
  <c r="E322" i="2"/>
  <c r="E323" i="2"/>
  <c r="F288" i="5"/>
  <c r="F291" i="5" s="1"/>
  <c r="G398" i="2"/>
  <c r="G385" i="2"/>
  <c r="C379" i="2"/>
  <c r="G337" i="2"/>
  <c r="G350" i="2"/>
  <c r="C323" i="2"/>
  <c r="C321" i="2"/>
  <c r="C322" i="2"/>
  <c r="F322" i="2"/>
  <c r="F323" i="2"/>
  <c r="F321" i="2"/>
  <c r="F368" i="2"/>
  <c r="F369" i="2"/>
  <c r="F370" i="2"/>
  <c r="G70" i="6"/>
  <c r="G71" i="6"/>
  <c r="G69" i="6"/>
  <c r="D398" i="2"/>
  <c r="D385" i="2"/>
  <c r="C385" i="2"/>
  <c r="C398" i="2"/>
  <c r="G286" i="5"/>
  <c r="G338" i="2"/>
  <c r="G351" i="2"/>
  <c r="F69" i="6"/>
  <c r="F71" i="6"/>
  <c r="F70" i="6"/>
  <c r="H292" i="5"/>
  <c r="G365" i="2" s="1"/>
  <c r="G364" i="2"/>
  <c r="G375" i="2" s="1"/>
  <c r="E384" i="2"/>
  <c r="E397" i="2"/>
  <c r="E68" i="6"/>
  <c r="E94" i="6"/>
  <c r="D320" i="2" s="1"/>
  <c r="E215" i="6"/>
  <c r="E216" i="6"/>
  <c r="E217" i="6"/>
  <c r="D397" i="2"/>
  <c r="D384" i="2"/>
  <c r="E385" i="2"/>
  <c r="E398" i="2"/>
  <c r="D71" i="6"/>
  <c r="D69" i="6"/>
  <c r="D70" i="6"/>
  <c r="F222" i="6" l="1"/>
  <c r="H220" i="6"/>
  <c r="H224" i="6" s="1"/>
  <c r="H225" i="6" s="1"/>
  <c r="G220" i="6"/>
  <c r="F72" i="6"/>
  <c r="F73" i="6" s="1"/>
  <c r="F74" i="6" s="1"/>
  <c r="G72" i="6"/>
  <c r="G73" i="6" s="1"/>
  <c r="G76" i="6" s="1"/>
  <c r="D72" i="6"/>
  <c r="D73" i="6" s="1"/>
  <c r="D74" i="6" s="1"/>
  <c r="E218" i="6"/>
  <c r="E219" i="6" s="1"/>
  <c r="E220" i="6" s="1"/>
  <c r="H78" i="6"/>
  <c r="H79" i="6" s="1"/>
  <c r="H82" i="6" s="1"/>
  <c r="D364" i="2"/>
  <c r="D375" i="2" s="1"/>
  <c r="E292" i="5"/>
  <c r="D365" i="2" s="1"/>
  <c r="F292" i="5"/>
  <c r="E365" i="2" s="1"/>
  <c r="E364" i="2"/>
  <c r="E375" i="2" s="1"/>
  <c r="G352" i="2"/>
  <c r="C404" i="2"/>
  <c r="C407" i="2" s="1"/>
  <c r="C391" i="2"/>
  <c r="C394" i="2" s="1"/>
  <c r="G386" i="2"/>
  <c r="D386" i="2"/>
  <c r="E70" i="6"/>
  <c r="E71" i="6"/>
  <c r="E69" i="6"/>
  <c r="G377" i="2"/>
  <c r="G376" i="2"/>
  <c r="G378" i="2"/>
  <c r="G379" i="2"/>
  <c r="F385" i="2"/>
  <c r="F398" i="2"/>
  <c r="F351" i="2"/>
  <c r="F338" i="2"/>
  <c r="G339" i="2"/>
  <c r="C399" i="2"/>
  <c r="C403" i="2"/>
  <c r="C406" i="2" s="1"/>
  <c r="C390" i="2"/>
  <c r="C393" i="2" s="1"/>
  <c r="D399" i="2"/>
  <c r="F384" i="2"/>
  <c r="F397" i="2"/>
  <c r="E338" i="2"/>
  <c r="E351" i="2"/>
  <c r="C386" i="2"/>
  <c r="G224" i="6"/>
  <c r="E399" i="2"/>
  <c r="F224" i="6"/>
  <c r="C381" i="2"/>
  <c r="F337" i="2"/>
  <c r="F350" i="2"/>
  <c r="C351" i="2"/>
  <c r="C338" i="2"/>
  <c r="E350" i="2"/>
  <c r="E337" i="2"/>
  <c r="C392" i="2"/>
  <c r="C405" i="2"/>
  <c r="C382" i="2"/>
  <c r="G399" i="2"/>
  <c r="D322" i="2"/>
  <c r="D321" i="2"/>
  <c r="D323" i="2"/>
  <c r="E386" i="2"/>
  <c r="G288" i="5"/>
  <c r="G291" i="5" s="1"/>
  <c r="C337" i="2"/>
  <c r="C350" i="2"/>
  <c r="F76" i="6" l="1"/>
  <c r="G74" i="6"/>
  <c r="G78" i="6" s="1"/>
  <c r="G79" i="6" s="1"/>
  <c r="G82" i="6" s="1"/>
  <c r="D76" i="6"/>
  <c r="D78" i="6" s="1"/>
  <c r="E222" i="6"/>
  <c r="E224" i="6" s="1"/>
  <c r="H228" i="6"/>
  <c r="H229" i="6" s="1"/>
  <c r="E72" i="6"/>
  <c r="E73" i="6" s="1"/>
  <c r="E76" i="6" s="1"/>
  <c r="H83" i="6"/>
  <c r="G318" i="2" s="1"/>
  <c r="G317" i="2"/>
  <c r="G328" i="2" s="1"/>
  <c r="G292" i="5"/>
  <c r="F365" i="2" s="1"/>
  <c r="F364" i="2"/>
  <c r="F375" i="2" s="1"/>
  <c r="G225" i="6"/>
  <c r="G228" i="6" s="1"/>
  <c r="G229" i="6" s="1"/>
  <c r="C352" i="2"/>
  <c r="F352" i="2"/>
  <c r="F225" i="6"/>
  <c r="F228" i="6" s="1"/>
  <c r="F229" i="6" s="1"/>
  <c r="C395" i="2"/>
  <c r="G392" i="2"/>
  <c r="G395" i="2" s="1"/>
  <c r="G405" i="2"/>
  <c r="G408" i="2" s="1"/>
  <c r="G382" i="2"/>
  <c r="D338" i="2"/>
  <c r="D351" i="2"/>
  <c r="F399" i="2"/>
  <c r="G391" i="2"/>
  <c r="G394" i="2" s="1"/>
  <c r="G404" i="2"/>
  <c r="G407" i="2" s="1"/>
  <c r="G381" i="2"/>
  <c r="E377" i="2"/>
  <c r="E376" i="2"/>
  <c r="E378" i="2"/>
  <c r="E379" i="2"/>
  <c r="F386" i="2"/>
  <c r="D378" i="2"/>
  <c r="D376" i="2"/>
  <c r="D377" i="2"/>
  <c r="D379" i="2"/>
  <c r="E339" i="2"/>
  <c r="C339" i="2"/>
  <c r="D337" i="2"/>
  <c r="D350" i="2"/>
  <c r="E352" i="2"/>
  <c r="F339" i="2"/>
  <c r="C408" i="2"/>
  <c r="G390" i="2"/>
  <c r="G393" i="2" s="1"/>
  <c r="G403" i="2"/>
  <c r="G406" i="2" s="1"/>
  <c r="G380" i="2"/>
  <c r="F78" i="6"/>
  <c r="E74" i="6" l="1"/>
  <c r="E78" i="6" s="1"/>
  <c r="G83" i="6"/>
  <c r="F318" i="2" s="1"/>
  <c r="F317" i="2"/>
  <c r="F328" i="2" s="1"/>
  <c r="E225" i="6"/>
  <c r="E228" i="6" s="1"/>
  <c r="E229" i="6" s="1"/>
  <c r="D382" i="2"/>
  <c r="D392" i="2"/>
  <c r="D395" i="2" s="1"/>
  <c r="D405" i="2"/>
  <c r="D408" i="2" s="1"/>
  <c r="D352" i="2"/>
  <c r="E390" i="2"/>
  <c r="E393" i="2" s="1"/>
  <c r="E403" i="2"/>
  <c r="E406" i="2" s="1"/>
  <c r="E380" i="2"/>
  <c r="D391" i="2"/>
  <c r="D394" i="2" s="1"/>
  <c r="D404" i="2"/>
  <c r="D407" i="2" s="1"/>
  <c r="D381" i="2"/>
  <c r="E404" i="2"/>
  <c r="E407" i="2" s="1"/>
  <c r="E391" i="2"/>
  <c r="E394" i="2" s="1"/>
  <c r="E381" i="2"/>
  <c r="G331" i="2"/>
  <c r="G329" i="2"/>
  <c r="G330" i="2"/>
  <c r="G332" i="2"/>
  <c r="E382" i="2"/>
  <c r="E405" i="2"/>
  <c r="E408" i="2" s="1"/>
  <c r="E392" i="2"/>
  <c r="E395" i="2" s="1"/>
  <c r="F376" i="2"/>
  <c r="F377" i="2"/>
  <c r="F378" i="2"/>
  <c r="F379" i="2"/>
  <c r="D339" i="2"/>
  <c r="F79" i="6"/>
  <c r="F82" i="6" s="1"/>
  <c r="D390" i="2"/>
  <c r="D393" i="2" s="1"/>
  <c r="D403" i="2"/>
  <c r="D406" i="2" s="1"/>
  <c r="D380" i="2"/>
  <c r="D79" i="6"/>
  <c r="D82" i="6" s="1"/>
  <c r="F83" i="6" l="1"/>
  <c r="E318" i="2" s="1"/>
  <c r="E317" i="2"/>
  <c r="E328" i="2" s="1"/>
  <c r="D83" i="6"/>
  <c r="C318" i="2" s="1"/>
  <c r="C317" i="2"/>
  <c r="C328" i="2" s="1"/>
  <c r="F404" i="2"/>
  <c r="F407" i="2" s="1"/>
  <c r="F391" i="2"/>
  <c r="F394" i="2" s="1"/>
  <c r="F381" i="2"/>
  <c r="G344" i="2"/>
  <c r="G347" i="2" s="1"/>
  <c r="G357" i="2"/>
  <c r="G360" i="2" s="1"/>
  <c r="G334" i="2"/>
  <c r="G345" i="2"/>
  <c r="G348" i="2" s="1"/>
  <c r="G358" i="2"/>
  <c r="G361" i="2" s="1"/>
  <c r="G335" i="2"/>
  <c r="F329" i="2"/>
  <c r="F331" i="2"/>
  <c r="F330" i="2"/>
  <c r="F332" i="2"/>
  <c r="F403" i="2"/>
  <c r="F406" i="2" s="1"/>
  <c r="F390" i="2"/>
  <c r="F393" i="2" s="1"/>
  <c r="F380" i="2"/>
  <c r="G356" i="2"/>
  <c r="G359" i="2" s="1"/>
  <c r="G343" i="2"/>
  <c r="G346" i="2" s="1"/>
  <c r="G333" i="2"/>
  <c r="E79" i="6"/>
  <c r="E82" i="6" s="1"/>
  <c r="F405" i="2"/>
  <c r="F408" i="2" s="1"/>
  <c r="F382" i="2"/>
  <c r="F392" i="2"/>
  <c r="F395" i="2" s="1"/>
  <c r="E83" i="6" l="1"/>
  <c r="D318" i="2" s="1"/>
  <c r="D317" i="2"/>
  <c r="D328" i="2" s="1"/>
  <c r="F345" i="2"/>
  <c r="F348" i="2" s="1"/>
  <c r="F358" i="2"/>
  <c r="F361" i="2" s="1"/>
  <c r="F335" i="2"/>
  <c r="F356" i="2"/>
  <c r="F359" i="2" s="1"/>
  <c r="F343" i="2"/>
  <c r="F346" i="2" s="1"/>
  <c r="F333" i="2"/>
  <c r="E329" i="2"/>
  <c r="E331" i="2"/>
  <c r="E330" i="2"/>
  <c r="E332" i="2"/>
  <c r="F357" i="2"/>
  <c r="F360" i="2" s="1"/>
  <c r="F344" i="2"/>
  <c r="F347" i="2" s="1"/>
  <c r="F334" i="2"/>
  <c r="C331" i="2"/>
  <c r="C330" i="2"/>
  <c r="C329" i="2"/>
  <c r="C332" i="2"/>
  <c r="E344" i="2" l="1"/>
  <c r="E347" i="2" s="1"/>
  <c r="E357" i="2"/>
  <c r="E360" i="2" s="1"/>
  <c r="E334" i="2"/>
  <c r="C343" i="2"/>
  <c r="C346" i="2" s="1"/>
  <c r="C356" i="2"/>
  <c r="C359" i="2" s="1"/>
  <c r="C333" i="2"/>
  <c r="E345" i="2"/>
  <c r="E348" i="2" s="1"/>
  <c r="E358" i="2"/>
  <c r="E361" i="2" s="1"/>
  <c r="E335" i="2"/>
  <c r="D330" i="2"/>
  <c r="D331" i="2"/>
  <c r="D329" i="2"/>
  <c r="D332" i="2"/>
  <c r="C344" i="2"/>
  <c r="C347" i="2" s="1"/>
  <c r="C357" i="2"/>
  <c r="C360" i="2" s="1"/>
  <c r="C334" i="2"/>
  <c r="E356" i="2"/>
  <c r="E359" i="2" s="1"/>
  <c r="E343" i="2"/>
  <c r="E346" i="2" s="1"/>
  <c r="E333" i="2"/>
  <c r="C358" i="2"/>
  <c r="C361" i="2" s="1"/>
  <c r="C345" i="2"/>
  <c r="C348" i="2" s="1"/>
  <c r="C335" i="2"/>
  <c r="D343" i="2" l="1"/>
  <c r="D346" i="2" s="1"/>
  <c r="D356" i="2"/>
  <c r="D359" i="2" s="1"/>
  <c r="D333" i="2"/>
  <c r="D344" i="2"/>
  <c r="D347" i="2" s="1"/>
  <c r="D357" i="2"/>
  <c r="D360" i="2" s="1"/>
  <c r="D334" i="2"/>
  <c r="D345" i="2"/>
  <c r="D348" i="2" s="1"/>
  <c r="D358" i="2"/>
  <c r="D361" i="2" s="1"/>
  <c r="D335" i="2"/>
</calcChain>
</file>

<file path=xl/comments1.xml><?xml version="1.0" encoding="utf-8"?>
<comments xmlns="http://schemas.openxmlformats.org/spreadsheetml/2006/main">
  <authors>
    <author>A satisfied Microsoft Office user</author>
  </authors>
  <commentList>
    <comment ref="A103" authorId="0" shapeId="0">
      <text>
        <r>
          <rPr>
            <sz val="9"/>
            <color indexed="81"/>
            <rFont val="Tahoma"/>
            <family val="2"/>
          </rPr>
          <t xml:space="preserve">Year $'s CE Annual Index Value
January 1, 1998 CE Index = 388
See Chemical Engineering
Magazine for current year.
</t>
        </r>
      </text>
    </comment>
  </commentList>
</comments>
</file>

<file path=xl/comments2.xml><?xml version="1.0" encoding="utf-8"?>
<comments xmlns="http://schemas.openxmlformats.org/spreadsheetml/2006/main">
  <authors>
    <author>A satisfied Microsoft Office user</author>
  </authors>
  <commentList>
    <comment ref="A60" authorId="0" shapeId="0">
      <text>
        <r>
          <rPr>
            <sz val="9"/>
            <color indexed="81"/>
            <rFont val="Tahoma"/>
            <family val="2"/>
          </rPr>
          <t xml:space="preserve">Year $'s CE Annual Index Value
January 1, 1998 CE Index = 388
See Chemical Engineering
Magazine for current year.
</t>
        </r>
      </text>
    </comment>
  </commentList>
</comments>
</file>

<file path=xl/comments3.xml><?xml version="1.0" encoding="utf-8"?>
<comments xmlns="http://schemas.openxmlformats.org/spreadsheetml/2006/main">
  <authors>
    <author>A satisfied Microsoft Office user</author>
  </authors>
  <commentList>
    <comment ref="A51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52" authorId="0" shapeId="0">
      <text>
        <r>
          <rPr>
            <sz val="9"/>
            <color indexed="81"/>
            <rFont val="Tahoma"/>
            <family val="2"/>
          </rPr>
          <t xml:space="preserve">Assumes user input cost is current cost (cost basis).
</t>
        </r>
      </text>
    </comment>
    <comment ref="A53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54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55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56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95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05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07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08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09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  <comment ref="A110" authorId="0" shapeId="0">
      <text>
        <r>
          <rPr>
            <sz val="9"/>
            <color indexed="81"/>
            <rFont val="Tahoma"/>
            <family val="2"/>
          </rPr>
          <t>Assumes user input cost is current cost (cost basis).</t>
        </r>
      </text>
    </comment>
  </commentList>
</comments>
</file>

<file path=xl/comments4.xml><?xml version="1.0" encoding="utf-8"?>
<comments xmlns="http://schemas.openxmlformats.org/spreadsheetml/2006/main">
  <authors>
    <author>A satisfied Microsoft Office user</author>
  </authors>
  <commentList>
    <comment ref="D130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E130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F130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G130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H130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D131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E131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F131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G131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H131" authorId="0" shapeId="0">
      <text>
        <r>
          <rPr>
            <sz val="9"/>
            <color indexed="81"/>
            <rFont val="Tahoma"/>
            <family val="2"/>
          </rPr>
          <t>ERG - Morrisville:
The sum of MgO wt% and CaO wt% is used in resistivity calculations.  IAPCS calls this quantity "Alkalinity Content"</t>
        </r>
      </text>
    </comment>
    <comment ref="D191" authorId="0" shape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E191" authorId="0" shape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F191" authorId="0" shape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G191" authorId="0" shape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H191" authorId="0" shapeId="0">
      <text>
        <r>
          <rPr>
            <sz val="9"/>
            <color indexed="81"/>
            <rFont val="Tahoma"/>
            <family val="2"/>
          </rPr>
          <t>ERG - Morrisville:
This "effective migration velocity" is calculated based on an empirical log-linear relationship with total resistivity.</t>
        </r>
      </text>
    </comment>
    <comment ref="D194" authorId="0" shape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  <comment ref="E194" authorId="0" shape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  <comment ref="F194" authorId="0" shape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  <comment ref="G194" authorId="0" shape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  <comment ref="H194" authorId="0" shapeId="0">
      <text>
        <r>
          <rPr>
            <sz val="9"/>
            <color indexed="81"/>
            <rFont val="Tahoma"/>
            <family val="2"/>
          </rPr>
          <t>ERG - Morrisville:
SCA is calculated using a modified Deutsch-Anderson equation, and represents the performance of an ESP.</t>
        </r>
      </text>
    </comment>
  </commentList>
</comments>
</file>

<file path=xl/comments5.xml><?xml version="1.0" encoding="utf-8"?>
<comments xmlns="http://schemas.openxmlformats.org/spreadsheetml/2006/main">
  <authors>
    <author>A satisfied Microsoft Office user</author>
  </authors>
  <commentList>
    <comment ref="B422" authorId="0" shapeId="0">
      <text>
        <r>
          <rPr>
            <sz val="9"/>
            <color indexed="81"/>
            <rFont val="Tahoma"/>
            <family val="2"/>
          </rPr>
          <t>All the carbon loss is assumed to be included in the flyash.</t>
        </r>
      </text>
    </comment>
  </commentList>
</comments>
</file>

<file path=xl/sharedStrings.xml><?xml version="1.0" encoding="utf-8"?>
<sst xmlns="http://schemas.openxmlformats.org/spreadsheetml/2006/main" count="5372" uniqueCount="1175">
  <si>
    <t>CUECost</t>
  </si>
  <si>
    <t>Coal Utility Environmental Cost</t>
  </si>
  <si>
    <t>Version 1, November 25, 1998 (revised 2-9-00 as CUECost3.xls)</t>
  </si>
  <si>
    <t>Developed for EPA</t>
  </si>
  <si>
    <t>by Raytheon Engineers &amp; Constructors and Eastern Research Group</t>
  </si>
  <si>
    <t>Current Date:</t>
  </si>
  <si>
    <t>GoTo Buttons</t>
  </si>
  <si>
    <t>Print Options</t>
  </si>
  <si>
    <t>Inputs:</t>
  </si>
  <si>
    <t>Calculations and Costs:</t>
  </si>
  <si>
    <t>APC Technology Choices</t>
  </si>
  <si>
    <t>Description of Input</t>
  </si>
  <si>
    <t>Suggested</t>
  </si>
  <si>
    <t>Default</t>
  </si>
  <si>
    <t>Description</t>
  </si>
  <si>
    <t>Units</t>
  </si>
  <si>
    <t>Range</t>
  </si>
  <si>
    <t>Values</t>
  </si>
  <si>
    <t>Input 1</t>
  </si>
  <si>
    <t>Input 2</t>
  </si>
  <si>
    <t>Input 3</t>
  </si>
  <si>
    <t>Input 4</t>
  </si>
  <si>
    <t>Input 5</t>
  </si>
  <si>
    <t>FGD Process</t>
  </si>
  <si>
    <t>Integer</t>
  </si>
  <si>
    <t>1 or 2</t>
  </si>
  <si>
    <t xml:space="preserve">      (1 = LSFO, 2 = LSD)</t>
  </si>
  <si>
    <t>Particulate Control</t>
  </si>
  <si>
    <t xml:space="preserve">      (1 = Fabric Filter, 2 = ESP)</t>
  </si>
  <si>
    <t>NOx Control</t>
  </si>
  <si>
    <t>1 - 4</t>
  </si>
  <si>
    <t xml:space="preserve">      (1 = SCR, 2 = SNCR, 3 = LNBs, 4 = NGR)</t>
  </si>
  <si>
    <t>INPUTS</t>
  </si>
  <si>
    <t>General Plant Technical Inputs</t>
  </si>
  <si>
    <t>Location - State</t>
  </si>
  <si>
    <t>Abbrev.</t>
  </si>
  <si>
    <t>All States</t>
  </si>
  <si>
    <t>PA</t>
  </si>
  <si>
    <t>MW Equivalent of Flue Gas to Control System</t>
  </si>
  <si>
    <t>MW</t>
  </si>
  <si>
    <t>100-2000</t>
  </si>
  <si>
    <t>Gross Plant Generation (MW) minus auxiliary power requirements.  Prior to control system retrofit.</t>
  </si>
  <si>
    <t>Net Plant Heat Rate (w/o APC)</t>
  </si>
  <si>
    <t>Btu/kWhr</t>
  </si>
  <si>
    <t>Plant Capacity Factor</t>
  </si>
  <si>
    <t>%</t>
  </si>
  <si>
    <t>40-90%</t>
  </si>
  <si>
    <t>Percent Excess Air in Boiler</t>
  </si>
  <si>
    <t>Excess O2.</t>
  </si>
  <si>
    <t>Air Heater Inleakage</t>
  </si>
  <si>
    <t>Air Heater Outlet Gas Temperature</t>
  </si>
  <si>
    <t>°F</t>
  </si>
  <si>
    <t>Inlet Air Temperature</t>
  </si>
  <si>
    <t>Ambient Absolute Pressure</t>
  </si>
  <si>
    <t>In. of Hg</t>
  </si>
  <si>
    <t>Pressure After Air Heater</t>
  </si>
  <si>
    <t>In. of H2O</t>
  </si>
  <si>
    <t>Moisture in Air</t>
  </si>
  <si>
    <t>lb/lb dry air</t>
  </si>
  <si>
    <t>Ash Split:</t>
  </si>
  <si>
    <t xml:space="preserve">      Fly Ash</t>
  </si>
  <si>
    <t xml:space="preserve">      Bottom Ash</t>
  </si>
  <si>
    <t>Seismic Zone</t>
  </si>
  <si>
    <t>1-5</t>
  </si>
  <si>
    <t>See Map.</t>
  </si>
  <si>
    <t>Retrofit Factor</t>
  </si>
  <si>
    <t>1.0-3.0</t>
  </si>
  <si>
    <t xml:space="preserve">      (1.0 = new, 1.3 = medium, 1.6 = difficult)</t>
  </si>
  <si>
    <t>Select Coal</t>
  </si>
  <si>
    <t>1-8</t>
  </si>
  <si>
    <t>Is Selected Coal a Powder River Basin Coal?</t>
  </si>
  <si>
    <t>Yes / No</t>
  </si>
  <si>
    <t>See Column K</t>
  </si>
  <si>
    <t>Yes</t>
  </si>
  <si>
    <t>No</t>
  </si>
  <si>
    <t>This question is necessary for a correct SCA calculation.</t>
  </si>
  <si>
    <t>Coals Available in Library</t>
  </si>
  <si>
    <t>Economic Inputs</t>
  </si>
  <si>
    <t>Cost Basis -Year Dollars</t>
  </si>
  <si>
    <t>Year</t>
  </si>
  <si>
    <t>Date of Startup.</t>
  </si>
  <si>
    <t>Sevice Life (levelization period)</t>
  </si>
  <si>
    <t>Years</t>
  </si>
  <si>
    <t>Inflation Rate</t>
  </si>
  <si>
    <t>After Tax Discount Rate (current $'s)</t>
  </si>
  <si>
    <t>AFDC Rate (current $'s)</t>
  </si>
  <si>
    <t>First-year Carrying Charge (current $'s)</t>
  </si>
  <si>
    <t>Levelized Carrying Charge (current $'s)</t>
  </si>
  <si>
    <t>First-year Carrying Charge (constant $'s)</t>
  </si>
  <si>
    <t>Levelized Carrying Charge (constant $'s)</t>
  </si>
  <si>
    <t>Sales Tax</t>
  </si>
  <si>
    <t>Escalation Rates:</t>
  </si>
  <si>
    <t xml:space="preserve">      Consumables (O&amp;M)</t>
  </si>
  <si>
    <t xml:space="preserve">      Capital Costs:</t>
  </si>
  <si>
    <t xml:space="preserve">            Is Chem. Eng. Cost Index available?</t>
  </si>
  <si>
    <t xml:space="preserve">            If "Yes" input cost basis CE Plant Index.</t>
  </si>
  <si>
    <t>The default CE Index value is the published January 1998 value.</t>
  </si>
  <si>
    <t xml:space="preserve">            If "No" input escalation rate.</t>
  </si>
  <si>
    <t>Construction Labor Rate</t>
  </si>
  <si>
    <t>$/hr</t>
  </si>
  <si>
    <t>Prime Contractor's Markup</t>
  </si>
  <si>
    <t>Percent of Total Process Capital.  (covers construction labor fee).</t>
  </si>
  <si>
    <t>Operating Labor Rate</t>
  </si>
  <si>
    <t>Power Cost</t>
  </si>
  <si>
    <t>Mills/kWh</t>
  </si>
  <si>
    <t>Steam Cost</t>
  </si>
  <si>
    <t>$/1000 lbs</t>
  </si>
  <si>
    <t>Limestone Forced Oxidation (LSFO) Inputs</t>
  </si>
  <si>
    <t>SO2 Removal Required</t>
  </si>
  <si>
    <t>90-98%</t>
  </si>
  <si>
    <t>L/G Ratio</t>
  </si>
  <si>
    <t>gal / 1000 acf</t>
  </si>
  <si>
    <t>95-160</t>
  </si>
  <si>
    <t>Design Scrubber with Dibasic Acid Addition?</t>
  </si>
  <si>
    <t xml:space="preserve">      (1 = yes, 2 = no)</t>
  </si>
  <si>
    <t>Adiabatic Saturation Temperature</t>
  </si>
  <si>
    <t>100-170</t>
  </si>
  <si>
    <t>Reagent Feed Ratio</t>
  </si>
  <si>
    <t>Factor</t>
  </si>
  <si>
    <t>1.0-2.0</t>
  </si>
  <si>
    <t xml:space="preserve">      (Mole CaCO3 / Mole SO2 removed)</t>
  </si>
  <si>
    <t>Scrubber Slurry Solids Concentration</t>
  </si>
  <si>
    <t>Wt. %</t>
  </si>
  <si>
    <t>Stacking, Landfill, Wallboard</t>
  </si>
  <si>
    <t>1,2,3</t>
  </si>
  <si>
    <t xml:space="preserve">      (1 = stacking, 2 = landfill, 3 = wallboard)</t>
  </si>
  <si>
    <t>Number of Absorbers</t>
  </si>
  <si>
    <t>1-6</t>
  </si>
  <si>
    <t xml:space="preserve">      (Max. Capacity = 700 MW per absorber)</t>
  </si>
  <si>
    <t>Absorber Material</t>
  </si>
  <si>
    <t xml:space="preserve">      (1 = alloy, 2 = RLCS)</t>
  </si>
  <si>
    <t>Absorber Pressure Drop</t>
  </si>
  <si>
    <t>in. H2O</t>
  </si>
  <si>
    <t>Reheat Required ?</t>
  </si>
  <si>
    <t>Amount of Reheat</t>
  </si>
  <si>
    <t>0-50</t>
  </si>
  <si>
    <t>Reagent Bulk Storage</t>
  </si>
  <si>
    <t>Days</t>
  </si>
  <si>
    <t>Reagent Cost (delivered)</t>
  </si>
  <si>
    <t>$/ton</t>
  </si>
  <si>
    <t>Landfill Disposal Cost</t>
  </si>
  <si>
    <t>Stacking Disposal Cost</t>
  </si>
  <si>
    <t>Credit for Gypsum Byproduct</t>
  </si>
  <si>
    <t>Maintenance Factors by Area  (% of Installed Cost)</t>
  </si>
  <si>
    <t xml:space="preserve">      Reagent Feed</t>
  </si>
  <si>
    <t xml:space="preserve">      SO2 Removal</t>
  </si>
  <si>
    <t xml:space="preserve">      Flue Gas Handling</t>
  </si>
  <si>
    <t xml:space="preserve">      Waste / Byproduct</t>
  </si>
  <si>
    <t xml:space="preserve">      Support Equipment</t>
  </si>
  <si>
    <t>Contingency by Area  (% of Installed Cost)</t>
  </si>
  <si>
    <t>General Facilities by Area  (% of Installed Cost)</t>
  </si>
  <si>
    <t>Engineering Fees by Area  (% of Installed Cost)</t>
  </si>
  <si>
    <t>Lime Spray Dryer (LSD) Inputs</t>
  </si>
  <si>
    <t>90-95%</t>
  </si>
  <si>
    <t>Flue Gas Approach to Saturation</t>
  </si>
  <si>
    <t>10.-50</t>
  </si>
  <si>
    <t>Spray Dryer Outlet Temperature</t>
  </si>
  <si>
    <t>110-220</t>
  </si>
  <si>
    <t>Calc. Based on %S</t>
  </si>
  <si>
    <t xml:space="preserve">      (Mole CaO / Mole Inlet SO2)</t>
  </si>
  <si>
    <t>Recycle Rate</t>
  </si>
  <si>
    <t>Calculated</t>
  </si>
  <si>
    <t xml:space="preserve">      (lb recycle / lb lime feed)</t>
  </si>
  <si>
    <t>Recycle Slurry Solids Concentration</t>
  </si>
  <si>
    <t>10-50</t>
  </si>
  <si>
    <t>1-7</t>
  </si>
  <si>
    <t xml:space="preserve">      (Max. Capacity = 300 MW per spray dryer)</t>
  </si>
  <si>
    <t>Spray Dryer Pressure Drop</t>
  </si>
  <si>
    <t>Dry Waste Disposal Cost</t>
  </si>
  <si>
    <t>Particulate Control Inputs</t>
  </si>
  <si>
    <t>Outlet Particulate Emission Limit</t>
  </si>
  <si>
    <t>lbs/MMBtu</t>
  </si>
  <si>
    <t>Fabric Filter:</t>
  </si>
  <si>
    <t xml:space="preserve">      Pressure Drop</t>
  </si>
  <si>
    <t xml:space="preserve">      Type  (1 = Reverse Gas, 2 = Pulse Jet)</t>
  </si>
  <si>
    <t xml:space="preserve">      Gas-to-Cloth Ratio</t>
  </si>
  <si>
    <r>
      <t>ACFM/ft</t>
    </r>
    <r>
      <rPr>
        <vertAlign val="superscript"/>
        <sz val="10"/>
        <rFont val="Times New Roman"/>
        <family val="1"/>
      </rPr>
      <t>2</t>
    </r>
  </si>
  <si>
    <t xml:space="preserve">      Bag Material  (RGFF fiberglass only)</t>
  </si>
  <si>
    <t xml:space="preserve">          (1 = Fiberglass, 2 = Nomex, 3 = Ryton)</t>
  </si>
  <si>
    <t xml:space="preserve">      Bag Diameter</t>
  </si>
  <si>
    <t>inches</t>
  </si>
  <si>
    <t>5 - 14</t>
  </si>
  <si>
    <t xml:space="preserve">      Bag Length</t>
  </si>
  <si>
    <t>feet</t>
  </si>
  <si>
    <t>15 - 35</t>
  </si>
  <si>
    <t xml:space="preserve">      Bag Reach</t>
  </si>
  <si>
    <t xml:space="preserve">      Compartments out of Service</t>
  </si>
  <si>
    <t xml:space="preserve">      Bag Life</t>
  </si>
  <si>
    <t>1 - 10</t>
  </si>
  <si>
    <t xml:space="preserve">      Maintenance (% of installed cost)</t>
  </si>
  <si>
    <t xml:space="preserve">      Contingency (% of installed cost)</t>
  </si>
  <si>
    <t xml:space="preserve">      General Facilities (% of installed cost)</t>
  </si>
  <si>
    <t xml:space="preserve">      Engineering Fees (% of installed cost)</t>
  </si>
  <si>
    <t>ESP:</t>
  </si>
  <si>
    <r>
      <t xml:space="preserve">      Strength of the electric field in the ESP =</t>
    </r>
    <r>
      <rPr>
        <i/>
        <sz val="10"/>
        <rFont val="Times New Roman"/>
        <family val="1"/>
      </rPr>
      <t xml:space="preserve"> E</t>
    </r>
    <r>
      <rPr>
        <sz val="10"/>
        <rFont val="Times New Roman"/>
        <family val="1"/>
      </rPr>
      <t xml:space="preserve"> </t>
    </r>
  </si>
  <si>
    <t>kV/cm</t>
  </si>
  <si>
    <t xml:space="preserve">      Plate Spacing</t>
  </si>
  <si>
    <t>in.</t>
  </si>
  <si>
    <t xml:space="preserve">      Plate Height</t>
  </si>
  <si>
    <t>ft.</t>
  </si>
  <si>
    <t>NOx Control Inputs</t>
  </si>
  <si>
    <t>See Source Keys @ bottom of</t>
  </si>
  <si>
    <t>Selective Catalytic Reduction (SCR) Inputs</t>
  </si>
  <si>
    <t>Constants_CC Sheet.</t>
  </si>
  <si>
    <t>IAPCS name</t>
  </si>
  <si>
    <t>Range Source</t>
  </si>
  <si>
    <t>Default Source</t>
  </si>
  <si>
    <t>NH3/NOX Stoichiometric Ratio</t>
  </si>
  <si>
    <t>NH3/NOX</t>
  </si>
  <si>
    <t>0.7-1.0</t>
  </si>
  <si>
    <t>D</t>
  </si>
  <si>
    <t>IAPCS Names and a list of sources are contained in columns L, M, and N.</t>
  </si>
  <si>
    <t>NH3:NOX ratio</t>
  </si>
  <si>
    <t>NOX Reduction Efficiency</t>
  </si>
  <si>
    <t>Fraction</t>
  </si>
  <si>
    <t>0.60-0.90</t>
  </si>
  <si>
    <t>"</t>
  </si>
  <si>
    <t>n</t>
  </si>
  <si>
    <t>b</t>
  </si>
  <si>
    <t>c</t>
  </si>
  <si>
    <t>Inlet NOx</t>
  </si>
  <si>
    <t>NOx</t>
  </si>
  <si>
    <t>Space Velocity (Calculated if zero)</t>
  </si>
  <si>
    <t>1/hr</t>
  </si>
  <si>
    <t>SV</t>
  </si>
  <si>
    <t>i</t>
  </si>
  <si>
    <t>Overall Catalyst Life</t>
  </si>
  <si>
    <t>years</t>
  </si>
  <si>
    <t>2-5</t>
  </si>
  <si>
    <t>N</t>
  </si>
  <si>
    <t>d</t>
  </si>
  <si>
    <t>Ammonia Cost</t>
  </si>
  <si>
    <t>UCNH3</t>
  </si>
  <si>
    <t>a</t>
  </si>
  <si>
    <t>Catalyst Cost</t>
  </si>
  <si>
    <t>$/ft3</t>
  </si>
  <si>
    <t>UCCAT</t>
  </si>
  <si>
    <t>Solid Waste Disposal Cost</t>
  </si>
  <si>
    <t>UCWASTE</t>
  </si>
  <si>
    <t>Maintenance (% of installed cost)</t>
  </si>
  <si>
    <t>Contingency (% of installed cost)</t>
  </si>
  <si>
    <t>f</t>
  </si>
  <si>
    <t>General Facilities (% of installed cost)</t>
  </si>
  <si>
    <t>Engineering Fees (% of installed cost)</t>
  </si>
  <si>
    <t>Number of Reactors</t>
  </si>
  <si>
    <t>integer</t>
  </si>
  <si>
    <t>Nr,tot</t>
  </si>
  <si>
    <t>Number of Air Preheaters</t>
  </si>
  <si>
    <t>Nt,aph</t>
  </si>
  <si>
    <t>Selective NonCatalytic Reduction (SNCR) Inputs</t>
  </si>
  <si>
    <t>Reagent</t>
  </si>
  <si>
    <t>1:Urea  2:Ammonia</t>
  </si>
  <si>
    <t>--</t>
  </si>
  <si>
    <t>Number of Injector Levels</t>
  </si>
  <si>
    <t>NIL</t>
  </si>
  <si>
    <t>Number of Injectors</t>
  </si>
  <si>
    <t>Number of Lance Levels</t>
  </si>
  <si>
    <t>NLL</t>
  </si>
  <si>
    <t>Number of Lances</t>
  </si>
  <si>
    <t>Steam or Air Injection for Ammonia</t>
  </si>
  <si>
    <t>1: Steam, 2:  Air</t>
  </si>
  <si>
    <t>fraction</t>
  </si>
  <si>
    <t>0.30-0.70</t>
  </si>
  <si>
    <t>0.8-2.0</t>
  </si>
  <si>
    <t>Urea/NOX Stoichiometric Ratio</t>
  </si>
  <si>
    <t>Urea/NOX</t>
  </si>
  <si>
    <t>Urea provides 2 moles of Ammonia for every mole of Urea.</t>
  </si>
  <si>
    <t>UREA:NOX ratio</t>
  </si>
  <si>
    <t>Urea Cost</t>
  </si>
  <si>
    <t>UCUREA</t>
  </si>
  <si>
    <t>g</t>
  </si>
  <si>
    <t>Water Cost</t>
  </si>
  <si>
    <t>$/1,000 gal</t>
  </si>
  <si>
    <t>UCH2O</t>
  </si>
  <si>
    <t>e</t>
  </si>
  <si>
    <t>Low NOX Burner Technology Inputs</t>
  </si>
  <si>
    <t>0.15-0.60</t>
  </si>
  <si>
    <t xml:space="preserve">i </t>
  </si>
  <si>
    <t>Boiler Type</t>
  </si>
  <si>
    <t>T:T-fired, W:Wall</t>
  </si>
  <si>
    <t>T</t>
  </si>
  <si>
    <t>Retrofit Difficulty</t>
  </si>
  <si>
    <t>L:Low,  A:Average, H:High</t>
  </si>
  <si>
    <t>A</t>
  </si>
  <si>
    <t>Maintenance Labor (% of installed cost)</t>
  </si>
  <si>
    <t>Maintenance Materials (% of installed cost)</t>
  </si>
  <si>
    <t>Natural Gas Reburning Inputs</t>
  </si>
  <si>
    <t>0.55-0.65</t>
  </si>
  <si>
    <t>Gas Reburn Fraction</t>
  </si>
  <si>
    <t>0.08 - 0.20</t>
  </si>
  <si>
    <t>Waste Disposal Cost</t>
  </si>
  <si>
    <t>Natural Gas Cost</t>
  </si>
  <si>
    <t>$/MMBtu</t>
  </si>
  <si>
    <t>UCGAS</t>
  </si>
  <si>
    <t>Net Plant Heat Rate</t>
  </si>
  <si>
    <t>Total Air Downstream of Economizer</t>
  </si>
  <si>
    <t>Air Heater Leakage</t>
  </si>
  <si>
    <t xml:space="preserve">      (1 = stacking, 2 = lanfill, 3 = wallboard)</t>
  </si>
  <si>
    <t>SUMMARY OF COSTS</t>
  </si>
  <si>
    <t>APC Technologies</t>
  </si>
  <si>
    <t>SO2 Control</t>
  </si>
  <si>
    <t>NOx Control Costs</t>
  </si>
  <si>
    <t>Total Capital Requirement (TCR)</t>
  </si>
  <si>
    <t>$</t>
  </si>
  <si>
    <t>$/kW</t>
  </si>
  <si>
    <t>First Year Costs</t>
  </si>
  <si>
    <t xml:space="preserve">      Fixed O&amp;M</t>
  </si>
  <si>
    <t>$/kW-Yr</t>
  </si>
  <si>
    <t>Mills/kWH</t>
  </si>
  <si>
    <t>$/ton NOx removed</t>
  </si>
  <si>
    <t xml:space="preserve">      Variable O&amp;M</t>
  </si>
  <si>
    <t xml:space="preserve">      Fixed Charges</t>
  </si>
  <si>
    <t xml:space="preserve">      TOTAL</t>
  </si>
  <si>
    <t>Levelized Current Dollars</t>
  </si>
  <si>
    <t>Levelized Constant Dollars</t>
  </si>
  <si>
    <t>Particulate Control Costs</t>
  </si>
  <si>
    <t>$/ton PM removed</t>
  </si>
  <si>
    <t>SO2 Control Costs</t>
  </si>
  <si>
    <t>$/ton SO2 removed</t>
  </si>
  <si>
    <t>SCR (high-dust) - Preliminary</t>
  </si>
  <si>
    <t>Case1</t>
  </si>
  <si>
    <t>Case2</t>
  </si>
  <si>
    <t>Case3</t>
  </si>
  <si>
    <t>Case4</t>
  </si>
  <si>
    <t>Case5</t>
  </si>
  <si>
    <t>Equations (bold indicates existing cuecost model parameter, blue indicates new input value from NOX User Input Sheet, normal text parameters are calculated on this sheet)</t>
  </si>
  <si>
    <t xml:space="preserve">Ammonia Injection Rate </t>
  </si>
  <si>
    <t>lb/hr</t>
  </si>
  <si>
    <r>
      <t xml:space="preserve">NH3= 3.702 x 10-4 * </t>
    </r>
    <r>
      <rPr>
        <sz val="10"/>
        <color indexed="12"/>
        <rFont val="Times New Roman"/>
        <family val="1"/>
      </rPr>
      <t xml:space="preserve">NH3:NOX ratio </t>
    </r>
    <r>
      <rPr>
        <sz val="10"/>
        <rFont val="Times New Roman"/>
        <family val="1"/>
      </rPr>
      <t xml:space="preserve">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</t>
    </r>
    <r>
      <rPr>
        <b/>
        <i/>
        <sz val="10"/>
        <rFont val="Times New Roman"/>
        <family val="1"/>
      </rPr>
      <t xml:space="preserve"> HTR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NOx</t>
    </r>
  </si>
  <si>
    <r>
      <t>=3.702x10^4*</t>
    </r>
    <r>
      <rPr>
        <sz val="10"/>
        <color indexed="12"/>
        <rFont val="Times New Roman"/>
        <family val="1"/>
      </rPr>
      <t>NH3:NOX ratio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HTR (Btu/kWh)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NOX(lb/10^6 Btu)</t>
    </r>
  </si>
  <si>
    <t>Space Velocity</t>
  </si>
  <si>
    <r>
      <t>If SV is not input then SV =6131.06/3 * (</t>
    </r>
    <r>
      <rPr>
        <sz val="10"/>
        <color indexed="12"/>
        <rFont val="Times New Roman"/>
        <family val="1"/>
      </rPr>
      <t>n</t>
    </r>
    <r>
      <rPr>
        <sz val="10"/>
        <rFont val="Times New Roman"/>
        <family val="1"/>
      </rPr>
      <t>)^-0.241 * (</t>
    </r>
    <r>
      <rPr>
        <sz val="10"/>
        <color indexed="12"/>
        <rFont val="Times New Roman"/>
        <family val="1"/>
      </rPr>
      <t>NH3:NOx ratio</t>
    </r>
    <r>
      <rPr>
        <sz val="10"/>
        <rFont val="Times New Roman"/>
        <family val="1"/>
      </rPr>
      <t>)^-2.306</t>
    </r>
  </si>
  <si>
    <r>
      <t>= 6131.06 / 3 * (</t>
    </r>
    <r>
      <rPr>
        <sz val="10"/>
        <color indexed="12"/>
        <rFont val="Times New Roman"/>
        <family val="1"/>
      </rPr>
      <t>NOX reduction eff</t>
    </r>
    <r>
      <rPr>
        <sz val="10"/>
        <rFont val="Times New Roman"/>
        <family val="1"/>
      </rPr>
      <t>) ^ -0.241 * (</t>
    </r>
    <r>
      <rPr>
        <sz val="10"/>
        <color indexed="12"/>
        <rFont val="Times New Roman"/>
        <family val="1"/>
      </rPr>
      <t>NH3:NOX ratio</t>
    </r>
    <r>
      <rPr>
        <sz val="10"/>
        <rFont val="Times New Roman"/>
        <family val="1"/>
      </rPr>
      <t>) ^-2.306</t>
    </r>
  </si>
  <si>
    <t>Gross Catalyst Volume</t>
  </si>
  <si>
    <r>
      <t>ft</t>
    </r>
    <r>
      <rPr>
        <vertAlign val="superscript"/>
        <sz val="10"/>
        <rFont val="Times New Roman"/>
        <family val="1"/>
      </rPr>
      <t>3</t>
    </r>
  </si>
  <si>
    <r>
      <t xml:space="preserve">CV = </t>
    </r>
    <r>
      <rPr>
        <b/>
        <i/>
        <sz val="10"/>
        <rFont val="Times New Roman"/>
        <family val="1"/>
      </rPr>
      <t>Q</t>
    </r>
    <r>
      <rPr>
        <sz val="10"/>
        <rFont val="Times New Roman"/>
        <family val="1"/>
      </rPr>
      <t>/SV</t>
    </r>
  </si>
  <si>
    <r>
      <t>=</t>
    </r>
    <r>
      <rPr>
        <b/>
        <i/>
        <sz val="10"/>
        <rFont val="Times New Roman"/>
        <family val="1"/>
      </rPr>
      <t xml:space="preserve"> flue gas volume flow rate (scfm)</t>
    </r>
    <r>
      <rPr>
        <sz val="10"/>
        <rFont val="Times New Roman"/>
        <family val="1"/>
      </rPr>
      <t xml:space="preserve"> * 60min/hr / space velocity (1/hr)</t>
    </r>
  </si>
  <si>
    <t>SCR Capital Costs</t>
  </si>
  <si>
    <t>Cost Basis (Year)</t>
  </si>
  <si>
    <t xml:space="preserve">Reactor Housing and Installation </t>
  </si>
  <si>
    <r>
      <t xml:space="preserve">DCr=18.65* </t>
    </r>
    <r>
      <rPr>
        <sz val="10"/>
        <color indexed="12"/>
        <rFont val="Times New Roman"/>
        <family val="1"/>
      </rPr>
      <t>Nr,tot</t>
    </r>
    <r>
      <rPr>
        <sz val="10"/>
        <rFont val="Times New Roman"/>
        <family val="1"/>
      </rPr>
      <t xml:space="preserve"> * (CV/</t>
    </r>
    <r>
      <rPr>
        <sz val="10"/>
        <color indexed="12"/>
        <rFont val="Times New Roman"/>
        <family val="1"/>
      </rPr>
      <t>Nr,tot</t>
    </r>
    <r>
      <rPr>
        <sz val="10"/>
        <rFont val="Times New Roman"/>
        <family val="1"/>
      </rPr>
      <t>)^0.489*1000*</t>
    </r>
    <r>
      <rPr>
        <b/>
        <i/>
        <sz val="10"/>
        <rFont val="Times New Roman"/>
        <family val="1"/>
      </rPr>
      <t>Retrofit Factor</t>
    </r>
  </si>
  <si>
    <r>
      <t xml:space="preserve">DCr=18.65* </t>
    </r>
    <r>
      <rPr>
        <sz val="10"/>
        <color indexed="12"/>
        <rFont val="Times New Roman"/>
        <family val="1"/>
      </rPr>
      <t>Number of Reactors</t>
    </r>
    <r>
      <rPr>
        <sz val="10"/>
        <rFont val="Times New Roman"/>
        <family val="1"/>
      </rPr>
      <t xml:space="preserve"> * (Gross Catalyst Volume/</t>
    </r>
    <r>
      <rPr>
        <sz val="10"/>
        <color indexed="12"/>
        <rFont val="Times New Roman"/>
        <family val="1"/>
      </rPr>
      <t>Number of Reactors</t>
    </r>
    <r>
      <rPr>
        <sz val="10"/>
        <rFont val="Times New Roman"/>
        <family val="1"/>
      </rPr>
      <t>)^0.489*1000*</t>
    </r>
    <r>
      <rPr>
        <b/>
        <i/>
        <sz val="10"/>
        <rFont val="Times New Roman"/>
        <family val="1"/>
      </rPr>
      <t>Retrofit Factor</t>
    </r>
  </si>
  <si>
    <t xml:space="preserve">Ammonia Handling and Injection  </t>
  </si>
  <si>
    <r>
      <t>DCnh3=50.8(NH3 (lb/hr))^0.482*1000*</t>
    </r>
    <r>
      <rPr>
        <b/>
        <i/>
        <sz val="10"/>
        <rFont val="Times New Roman"/>
        <family val="1"/>
      </rPr>
      <t>Retrofit Factor</t>
    </r>
  </si>
  <si>
    <r>
      <t>DCnh3=50.8(Ammonia Injection Rate (lb/hr))^0.482*1000*</t>
    </r>
    <r>
      <rPr>
        <b/>
        <i/>
        <sz val="10"/>
        <rFont val="Times New Roman"/>
        <family val="1"/>
      </rPr>
      <t>Retrofit Factor</t>
    </r>
  </si>
  <si>
    <t xml:space="preserve">Flue Gas Handling:Ductwork and Fans </t>
  </si>
  <si>
    <r>
      <t>DCfgh=143.66*(Gfg)^0.694*</t>
    </r>
    <r>
      <rPr>
        <b/>
        <i/>
        <sz val="10"/>
        <rFont val="Times New Roman"/>
        <family val="1"/>
      </rPr>
      <t>Retrofit Factor*1989 CI/1982 CI (Note: IAPCS Eqution used)</t>
    </r>
  </si>
  <si>
    <r>
      <t>DCfgh=143.66*(</t>
    </r>
    <r>
      <rPr>
        <b/>
        <i/>
        <sz val="10"/>
        <rFont val="Times New Roman"/>
        <family val="1"/>
      </rPr>
      <t>Flue gas (SCFM)</t>
    </r>
    <r>
      <rPr>
        <sz val="10"/>
        <rFont val="Times New Roman"/>
        <family val="1"/>
      </rPr>
      <t xml:space="preserve"> * (750+460)/(70+460) )^0.694*</t>
    </r>
    <r>
      <rPr>
        <b/>
        <i/>
        <sz val="10"/>
        <rFont val="Times New Roman"/>
        <family val="1"/>
      </rPr>
      <t>Retrofit Factor</t>
    </r>
    <r>
      <rPr>
        <sz val="10"/>
        <rFont val="Times New Roman"/>
        <family val="1"/>
      </rPr>
      <t>*108.7/91.8</t>
    </r>
    <r>
      <rPr>
        <b/>
        <i/>
        <sz val="10"/>
        <rFont val="Times New Roman"/>
        <family val="1"/>
      </rPr>
      <t xml:space="preserve">, </t>
    </r>
    <r>
      <rPr>
        <sz val="10"/>
        <rFont val="Times New Roman"/>
        <family val="1"/>
      </rPr>
      <t>Gfg = flue gas ACFM, assume maximum operating SCR temperature, 750 deg F; atmospheric pressure</t>
    </r>
  </si>
  <si>
    <t xml:space="preserve">Air Preheater Modifications </t>
  </si>
  <si>
    <r>
      <t>Dcaph,mod=1370*</t>
    </r>
    <r>
      <rPr>
        <sz val="10"/>
        <color indexed="12"/>
        <rFont val="Times New Roman"/>
        <family val="1"/>
      </rPr>
      <t>Nt,aph</t>
    </r>
    <r>
      <rPr>
        <sz val="10"/>
        <rFont val="Times New Roman"/>
        <family val="1"/>
      </rPr>
      <t>(UAt,aph/4.4/10^6/</t>
    </r>
    <r>
      <rPr>
        <sz val="10"/>
        <color indexed="12"/>
        <rFont val="Times New Roman"/>
        <family val="1"/>
      </rPr>
      <t>Nt,aph</t>
    </r>
    <r>
      <rPr>
        <sz val="10"/>
        <rFont val="Times New Roman"/>
        <family val="1"/>
      </rPr>
      <t>)^0.8 *1000*</t>
    </r>
    <r>
      <rPr>
        <b/>
        <i/>
        <sz val="10"/>
        <rFont val="Times New Roman"/>
        <family val="1"/>
      </rPr>
      <t>Retrofit Factor</t>
    </r>
  </si>
  <si>
    <t xml:space="preserve">Dcaph,mod = 1370*No. air preheaters * (SCFM economizer exit*60(m/hr)*7.9 *(Tair heater outlet-725)*(ln(125/(Tair heater outlet-Tinlet air temperature))/0.7302/530/(125-Tair heater outlet+Tinlet air)/4.4/10^6/No. air preheaters)^0.8 *1000*Retrofit Factor, </t>
  </si>
  <si>
    <t xml:space="preserve">Misc. Other Direct Capital Costs </t>
  </si>
  <si>
    <r>
      <t>DCmisc=(100+300 * 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/550)^0.6) * 1,000*</t>
    </r>
    <r>
      <rPr>
        <b/>
        <i/>
        <sz val="10"/>
        <rFont val="Times New Roman"/>
        <family val="1"/>
      </rPr>
      <t>Retrofit Factor</t>
    </r>
  </si>
  <si>
    <r>
      <t>DCmisc=(100+300 * (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/550)^0.6) * 1,000*</t>
    </r>
    <r>
      <rPr>
        <b/>
        <i/>
        <sz val="10"/>
        <rFont val="Times New Roman"/>
        <family val="1"/>
      </rPr>
      <t>Retrofit Factor</t>
    </r>
  </si>
  <si>
    <t xml:space="preserve">      Equipment Capital Cost Subtotal</t>
  </si>
  <si>
    <t>=sum(Direct Capital Costs)</t>
  </si>
  <si>
    <t>capital costs=SUM(direct capital costs)</t>
  </si>
  <si>
    <t xml:space="preserve">      Instruments &amp; Controls</t>
  </si>
  <si>
    <t>=0.02*Equipment Capital Cost Subtotal</t>
  </si>
  <si>
    <t>=0.02*capital costs</t>
  </si>
  <si>
    <t xml:space="preserve">      Taxes</t>
  </si>
  <si>
    <t>=Equipment Capital Cost Subtotal * Sales Tax %</t>
  </si>
  <si>
    <r>
      <t>=capital costs*(</t>
    </r>
    <r>
      <rPr>
        <b/>
        <i/>
        <sz val="10"/>
        <rFont val="Times New Roman"/>
        <family val="1"/>
      </rPr>
      <t>Sales Tax</t>
    </r>
    <r>
      <rPr>
        <sz val="10"/>
        <rFont val="Times New Roman"/>
        <family val="1"/>
      </rPr>
      <t>)</t>
    </r>
  </si>
  <si>
    <t xml:space="preserve">      Freight</t>
  </si>
  <si>
    <t xml:space="preserve">=0.05 * Equipment Capital Cost Subtotal </t>
  </si>
  <si>
    <t>=0.05*capital costs</t>
  </si>
  <si>
    <t xml:space="preserve">      Total Direct Cost</t>
  </si>
  <si>
    <t>Total Direct Cost with Retrofit Factor</t>
  </si>
  <si>
    <r>
      <t>Total Direct Cost with Retrofit Factor= Total Direct Cost*</t>
    </r>
    <r>
      <rPr>
        <b/>
        <i/>
        <sz val="10"/>
        <rFont val="Times New Roman"/>
        <family val="1"/>
      </rPr>
      <t>Def_RetroFact</t>
    </r>
  </si>
  <si>
    <t xml:space="preserve">      General Facilities</t>
  </si>
  <si>
    <t>=Total Direct Cost with Retrofit Factor * General Facilities (%)</t>
  </si>
  <si>
    <r>
      <t>=Total Direct Cost with Retrofit Factor*(</t>
    </r>
    <r>
      <rPr>
        <sz val="10"/>
        <color indexed="12"/>
        <rFont val="Times New Roman"/>
        <family val="1"/>
      </rPr>
      <t>General Facilities</t>
    </r>
    <r>
      <rPr>
        <sz val="10"/>
        <rFont val="Times New Roman"/>
        <family val="1"/>
      </rPr>
      <t>)</t>
    </r>
  </si>
  <si>
    <t xml:space="preserve">      Engineering Fees</t>
  </si>
  <si>
    <t>=Total Direct Cost with Retrofit Factor * Engineering (%)</t>
  </si>
  <si>
    <r>
      <t>=Total Direct Cost with Retrofit Factor*(</t>
    </r>
    <r>
      <rPr>
        <sz val="10"/>
        <color indexed="12"/>
        <rFont val="Times New Roman"/>
        <family val="1"/>
      </rPr>
      <t>Engineering Fees</t>
    </r>
    <r>
      <rPr>
        <sz val="10"/>
        <rFont val="Times New Roman"/>
        <family val="1"/>
      </rPr>
      <t>)</t>
    </r>
  </si>
  <si>
    <t xml:space="preserve">      Contingency</t>
  </si>
  <si>
    <t>=Total Direct Cost with Retrofit Factor * Contingency (%)</t>
  </si>
  <si>
    <r>
      <t>=Total Direct Cost with Retrofit Factor*(</t>
    </r>
    <r>
      <rPr>
        <u/>
        <sz val="10"/>
        <color indexed="12"/>
        <rFont val="Times New Roman"/>
        <family val="1"/>
      </rPr>
      <t>Contingency</t>
    </r>
    <r>
      <rPr>
        <u/>
        <sz val="10"/>
        <rFont val="Times New Roman"/>
        <family val="1"/>
      </rPr>
      <t>)</t>
    </r>
  </si>
  <si>
    <t>Total Plant Cost (TPC)</t>
  </si>
  <si>
    <t>Total Plant Cost (TPC)=SUM(four lines above)</t>
  </si>
  <si>
    <t>Total Plant Cost (TPC) w/ Prime Contractor's Markup</t>
  </si>
  <si>
    <t>Total Cash Expended (TCE)</t>
  </si>
  <si>
    <t>Total Cash Expended (TCE)=Total Plant Cost (TPC)*VLOOKUP(2,Constants_CC!AFDC / TCE FACTORS FOR CASE 1,3)</t>
  </si>
  <si>
    <t>Allow. for Funds During Constr. (AFDC)</t>
  </si>
  <si>
    <t>Allow. for Funds During Constr. (AFDC)=Total Plant Cost (TPC)*VLOOKUP(2,Constants_CC!AFDC / TCE FACTORS FOR CASE 1,2)</t>
  </si>
  <si>
    <t>Total Plant Investment (TPI)</t>
  </si>
  <si>
    <t>Total Plant Investment (TPI)=Total Cash Expended (TCE)+Allow. for Funds During Constr. (AFDC)</t>
  </si>
  <si>
    <t xml:space="preserve">      Preproduction Costs</t>
  </si>
  <si>
    <t>=0.02*TPI+(Op. Lab,$/yr+Maint.,$/yr)/12+(Ammonia,$/yr)/(12*CF)</t>
  </si>
  <si>
    <t>Inventory Capital</t>
  </si>
  <si>
    <t xml:space="preserve">      Initial Ammonia(60 days)</t>
  </si>
  <si>
    <t>=NH3(lb/hr) * 24(hours/day) * UCNH3($/ton) / 2000(lb/ton) * 60days * CF</t>
  </si>
  <si>
    <r>
      <t>=60*24/2000*Ammonia Injection rate (lb/hr)*</t>
    </r>
    <r>
      <rPr>
        <sz val="10"/>
        <color indexed="12"/>
        <rFont val="Times New Roman"/>
        <family val="1"/>
      </rPr>
      <t>Ammonia Cost ($/ton)*CF</t>
    </r>
  </si>
  <si>
    <t xml:space="preserve">      Initial Catalyst</t>
  </si>
  <si>
    <r>
      <t xml:space="preserve">DCcat=CV (cf)* </t>
    </r>
    <r>
      <rPr>
        <sz val="10"/>
        <color indexed="12"/>
        <rFont val="Times New Roman"/>
        <family val="1"/>
      </rPr>
      <t>UC cat($/cf)</t>
    </r>
  </si>
  <si>
    <r>
      <t xml:space="preserve">DCcat=Gross Catalyst Volume (cf)* </t>
    </r>
    <r>
      <rPr>
        <sz val="10"/>
        <color indexed="12"/>
        <rFont val="Times New Roman"/>
        <family val="1"/>
      </rPr>
      <t>UC cat($/cf)</t>
    </r>
  </si>
  <si>
    <t>Total Capital Requirement (TCR)=SUM(Total Plant Investment (TPI), Preproduction Costs,  Inventory Capital)</t>
  </si>
  <si>
    <r>
      <t>=Total Capital Requirement (TCR)/(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*1000)</t>
    </r>
  </si>
  <si>
    <t>SCR O&amp;M Costs</t>
  </si>
  <si>
    <t xml:space="preserve">Ammonia </t>
  </si>
  <si>
    <t>$/yr</t>
  </si>
  <si>
    <r>
      <t xml:space="preserve">=(8,760/2,000) * (NH3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</t>
    </r>
    <r>
      <rPr>
        <sz val="10"/>
        <color indexed="12"/>
        <rFont val="Times New Roman"/>
        <family val="1"/>
      </rPr>
      <t>UCNH3</t>
    </r>
    <r>
      <rPr>
        <sz val="10"/>
        <rFont val="Times New Roman"/>
        <family val="1"/>
      </rPr>
      <t>)</t>
    </r>
  </si>
  <si>
    <r>
      <t xml:space="preserve">= (8,760/2,000) * (NH3 Injection rate (lb/hr) * </t>
    </r>
    <r>
      <rPr>
        <b/>
        <i/>
        <sz val="10"/>
        <rFont val="Times New Roman"/>
        <family val="1"/>
      </rPr>
      <t>Capacity Factor</t>
    </r>
    <r>
      <rPr>
        <sz val="10"/>
        <rFont val="Times New Roman"/>
        <family val="1"/>
      </rPr>
      <t xml:space="preserve"> * </t>
    </r>
    <r>
      <rPr>
        <sz val="10"/>
        <color indexed="12"/>
        <rFont val="Times New Roman"/>
        <family val="1"/>
      </rPr>
      <t>Cost rate NH3($/ton)</t>
    </r>
    <r>
      <rPr>
        <sz val="10"/>
        <rFont val="Times New Roman"/>
        <family val="1"/>
      </rPr>
      <t>)</t>
    </r>
  </si>
  <si>
    <t xml:space="preserve">Catalyst Replacement </t>
  </si>
  <si>
    <r>
      <t xml:space="preserve">= CV * </t>
    </r>
    <r>
      <rPr>
        <sz val="10"/>
        <color indexed="12"/>
        <rFont val="Times New Roman"/>
        <family val="1"/>
      </rPr>
      <t>UCCAT</t>
    </r>
    <r>
      <rPr>
        <sz val="10"/>
        <rFont val="Times New Roman"/>
        <family val="1"/>
      </rPr>
      <t xml:space="preserve">/ </t>
    </r>
    <r>
      <rPr>
        <sz val="10"/>
        <color indexed="12"/>
        <rFont val="Times New Roman"/>
        <family val="1"/>
      </rPr>
      <t>N</t>
    </r>
  </si>
  <si>
    <r>
      <t>= catalyst volume (ft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) * </t>
    </r>
    <r>
      <rPr>
        <sz val="10"/>
        <color indexed="12"/>
        <rFont val="Times New Roman"/>
        <family val="1"/>
      </rPr>
      <t>Catalyst cost rate ($/ft</t>
    </r>
    <r>
      <rPr>
        <vertAlign val="superscript"/>
        <sz val="10"/>
        <color indexed="12"/>
        <rFont val="Times New Roman"/>
        <family val="1"/>
      </rPr>
      <t>3</t>
    </r>
    <r>
      <rPr>
        <sz val="10"/>
        <color indexed="12"/>
        <rFont val="Times New Roman"/>
        <family val="1"/>
      </rPr>
      <t>)</t>
    </r>
    <r>
      <rPr>
        <sz val="10"/>
        <rFont val="Times New Roman"/>
        <family val="1"/>
      </rPr>
      <t xml:space="preserve"> / </t>
    </r>
    <r>
      <rPr>
        <sz val="10"/>
        <color indexed="12"/>
        <rFont val="Times New Roman"/>
        <family val="1"/>
      </rPr>
      <t>catalyst life (yr)</t>
    </r>
  </si>
  <si>
    <t xml:space="preserve">Catalyst Disposal </t>
  </si>
  <si>
    <r>
      <t xml:space="preserve">= 48 / 2,000 * Catalyst Replacement Cost * </t>
    </r>
    <r>
      <rPr>
        <sz val="10"/>
        <color indexed="12"/>
        <rFont val="Times New Roman"/>
        <family val="1"/>
      </rPr>
      <t>UCWASTE</t>
    </r>
    <r>
      <rPr>
        <sz val="10"/>
        <rFont val="Times New Roman"/>
        <family val="1"/>
      </rPr>
      <t>/</t>
    </r>
    <r>
      <rPr>
        <sz val="10"/>
        <color indexed="12"/>
        <rFont val="Times New Roman"/>
        <family val="1"/>
      </rPr>
      <t>UCCAT</t>
    </r>
  </si>
  <si>
    <r>
      <t xml:space="preserve">= 48 / 2,000  * </t>
    </r>
    <r>
      <rPr>
        <sz val="10"/>
        <color indexed="12"/>
        <rFont val="Times New Roman"/>
        <family val="1"/>
      </rPr>
      <t>waste disposal rate ($/ton)</t>
    </r>
    <r>
      <rPr>
        <sz val="10"/>
        <rFont val="Times New Roman"/>
        <family val="1"/>
      </rPr>
      <t xml:space="preserve">* Catalyst Replacement Cost($/yr) / </t>
    </r>
    <r>
      <rPr>
        <sz val="10"/>
        <color indexed="12"/>
        <rFont val="Times New Roman"/>
        <family val="1"/>
      </rPr>
      <t>Catalyst cost rate ($/ft3)</t>
    </r>
  </si>
  <si>
    <t>Electricity</t>
  </si>
  <si>
    <r>
      <t xml:space="preserve"> = [-545,133 + 5.801*</t>
    </r>
    <r>
      <rPr>
        <b/>
        <i/>
        <sz val="10"/>
        <rFont val="Times New Roman"/>
        <family val="1"/>
      </rPr>
      <t>Qfg</t>
    </r>
    <r>
      <rPr>
        <sz val="10"/>
        <rFont val="Times New Roman"/>
        <family val="1"/>
      </rPr>
      <t>] * (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/0.628) * </t>
    </r>
    <r>
      <rPr>
        <b/>
        <i/>
        <sz val="10"/>
        <rFont val="Times New Roman"/>
        <family val="1"/>
      </rPr>
      <t>UCELEC</t>
    </r>
  </si>
  <si>
    <t>= [-545,133 + 5.801* flue gas flow rate (acfm)] * (Capacity Factor/0.628) * electricity rate (mills/kWh)*$/1000mills</t>
  </si>
  <si>
    <t>High-dust SCR Steam</t>
  </si>
  <si>
    <r>
      <t>= [-14.91 + 33.29 * NH3 *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] * </t>
    </r>
    <r>
      <rPr>
        <sz val="10"/>
        <color indexed="12"/>
        <rFont val="Times New Roman"/>
        <family val="1"/>
      </rPr>
      <t>UCSTEAM</t>
    </r>
  </si>
  <si>
    <r>
      <t xml:space="preserve">= [-14.91 + 33.29 * Ammonia Injection Rate (lb/hr) * </t>
    </r>
    <r>
      <rPr>
        <b/>
        <i/>
        <sz val="10"/>
        <rFont val="Times New Roman"/>
        <family val="1"/>
      </rPr>
      <t>Capacity Factor</t>
    </r>
    <r>
      <rPr>
        <sz val="10"/>
        <rFont val="Times New Roman"/>
        <family val="1"/>
      </rPr>
      <t xml:space="preserve">] * </t>
    </r>
    <r>
      <rPr>
        <sz val="10"/>
        <color indexed="12"/>
        <rFont val="Times New Roman"/>
        <family val="1"/>
      </rPr>
      <t>Steam Rate ($/MMBtu)</t>
    </r>
  </si>
  <si>
    <t xml:space="preserve">Operating Labor </t>
  </si>
  <si>
    <r>
      <t xml:space="preserve">= (1,341 + 5.363 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) * </t>
    </r>
    <r>
      <rPr>
        <sz val="10"/>
        <color indexed="12"/>
        <rFont val="Times New Roman"/>
        <family val="1"/>
      </rPr>
      <t>UCOL</t>
    </r>
  </si>
  <si>
    <r>
      <t xml:space="preserve">= (1,341 + 5.363 *  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 xml:space="preserve"> ) * </t>
    </r>
    <r>
      <rPr>
        <sz val="10"/>
        <color indexed="12"/>
        <rFont val="Times New Roman"/>
        <family val="1"/>
      </rPr>
      <t>Operating Labor Wage ($/labor-hr)</t>
    </r>
  </si>
  <si>
    <t>Maintenance</t>
  </si>
  <si>
    <r>
      <t xml:space="preserve">= </t>
    </r>
    <r>
      <rPr>
        <sz val="10"/>
        <color indexed="12"/>
        <rFont val="Times New Roman"/>
        <family val="1"/>
      </rPr>
      <t>Maintenance Cost %</t>
    </r>
    <r>
      <rPr>
        <sz val="10"/>
        <rFont val="Times New Roman"/>
        <family val="1"/>
      </rPr>
      <t xml:space="preserve"> * TPC</t>
    </r>
  </si>
  <si>
    <r>
      <t>=</t>
    </r>
    <r>
      <rPr>
        <sz val="10"/>
        <color indexed="12"/>
        <rFont val="Times New Roman"/>
        <family val="1"/>
      </rPr>
      <t>Maintenance(% capital cost/year)</t>
    </r>
    <r>
      <rPr>
        <sz val="10"/>
        <rFont val="Times New Roman"/>
        <family val="1"/>
      </rPr>
      <t xml:space="preserve"> * total plant cost ($)</t>
    </r>
  </si>
  <si>
    <t>Total O&amp;M Costs</t>
  </si>
  <si>
    <t>SNCR  - Preliminary</t>
  </si>
  <si>
    <t>Number of Wall Injectors</t>
  </si>
  <si>
    <r>
      <t xml:space="preserve">Ni = (8.6 + 0.03*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- 0.013*</t>
    </r>
    <r>
      <rPr>
        <sz val="10"/>
        <color indexed="12"/>
        <rFont val="Times New Roman"/>
        <family val="1"/>
      </rPr>
      <t>n</t>
    </r>
    <r>
      <rPr>
        <sz val="10"/>
        <rFont val="Times New Roman"/>
        <family val="1"/>
      </rPr>
      <t xml:space="preserve">)* </t>
    </r>
    <r>
      <rPr>
        <sz val="10"/>
        <color indexed="12"/>
        <rFont val="Times New Roman"/>
        <family val="1"/>
      </rPr>
      <t>NIL</t>
    </r>
  </si>
  <si>
    <r>
      <t>= (8.6 + 0.03*</t>
    </r>
    <r>
      <rPr>
        <b/>
        <i/>
        <sz val="10"/>
        <rFont val="Times New Roman"/>
        <family val="1"/>
      </rPr>
      <t xml:space="preserve"> BSIZE (MW)</t>
    </r>
    <r>
      <rPr>
        <sz val="10"/>
        <rFont val="Times New Roman"/>
        <family val="1"/>
      </rPr>
      <t xml:space="preserve"> - 0.013* </t>
    </r>
    <r>
      <rPr>
        <sz val="10"/>
        <color indexed="12"/>
        <rFont val="Times New Roman"/>
        <family val="1"/>
      </rPr>
      <t>NOX Reduction Eff.</t>
    </r>
    <r>
      <rPr>
        <sz val="10"/>
        <rFont val="Times New Roman"/>
        <family val="1"/>
      </rPr>
      <t xml:space="preserve">)* </t>
    </r>
    <r>
      <rPr>
        <sz val="10"/>
        <color indexed="12"/>
        <rFont val="Times New Roman"/>
        <family val="1"/>
      </rPr>
      <t>No. Injection Levels</t>
    </r>
  </si>
  <si>
    <r>
      <t xml:space="preserve">Nl = (2 + 0.013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)* </t>
    </r>
    <r>
      <rPr>
        <sz val="10"/>
        <color indexed="12"/>
        <rFont val="Times New Roman"/>
        <family val="1"/>
      </rPr>
      <t>NLL</t>
    </r>
  </si>
  <si>
    <r>
      <t xml:space="preserve">= (2 + 0.013 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 xml:space="preserve">)* </t>
    </r>
    <r>
      <rPr>
        <sz val="10"/>
        <color indexed="12"/>
        <rFont val="Times New Roman"/>
        <family val="1"/>
      </rPr>
      <t>No. Lance Levels</t>
    </r>
  </si>
  <si>
    <t>Urea Injection Rate</t>
  </si>
  <si>
    <r>
      <t xml:space="preserve">UREA = 6.5*10^-4 * </t>
    </r>
    <r>
      <rPr>
        <sz val="10"/>
        <color indexed="12"/>
        <rFont val="Times New Roman"/>
        <family val="1"/>
      </rPr>
      <t>UREA:NOX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HTR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NOx</t>
    </r>
  </si>
  <si>
    <r>
      <t xml:space="preserve">= 6.5^10-4 * </t>
    </r>
    <r>
      <rPr>
        <sz val="10"/>
        <color indexed="12"/>
        <rFont val="Times New Roman"/>
        <family val="1"/>
      </rPr>
      <t>UREA:NOX ratio</t>
    </r>
    <r>
      <rPr>
        <sz val="10"/>
        <rFont val="Times New Roman"/>
        <family val="1"/>
      </rPr>
      <t xml:space="preserve"> *  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*</t>
    </r>
    <r>
      <rPr>
        <b/>
        <i/>
        <sz val="10"/>
        <rFont val="Times New Roman"/>
        <family val="1"/>
      </rPr>
      <t xml:space="preserve"> HTR (Btu/kWh) </t>
    </r>
    <r>
      <rPr>
        <sz val="10"/>
        <rFont val="Times New Roman"/>
        <family val="1"/>
      </rPr>
      <t>*</t>
    </r>
    <r>
      <rPr>
        <b/>
        <i/>
        <sz val="10"/>
        <rFont val="Times New Roman"/>
        <family val="1"/>
      </rPr>
      <t xml:space="preserve"> NOX(lb/10^6 Btu)</t>
    </r>
  </si>
  <si>
    <t>Ammonia Injection Rate</t>
  </si>
  <si>
    <r>
      <t xml:space="preserve">NH3 = 3.702 x 10-4 * </t>
    </r>
    <r>
      <rPr>
        <sz val="10"/>
        <color indexed="12"/>
        <rFont val="Times New Roman"/>
        <family val="1"/>
      </rPr>
      <t>NH3:NOX ratio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HTR</t>
    </r>
    <r>
      <rPr>
        <sz val="10"/>
        <rFont val="Times New Roman"/>
        <family val="1"/>
      </rPr>
      <t xml:space="preserve"> *</t>
    </r>
    <r>
      <rPr>
        <b/>
        <i/>
        <sz val="10"/>
        <rFont val="Times New Roman"/>
        <family val="1"/>
      </rPr>
      <t xml:space="preserve"> NOx</t>
    </r>
  </si>
  <si>
    <t>SNCR Capital Costs</t>
  </si>
  <si>
    <t>Urea Based SNCR Costs</t>
  </si>
  <si>
    <t>Urea Storage &amp; Handling</t>
  </si>
  <si>
    <t>=If Urea based, then = 38143*(UREA/8.7)^0.417*(0.915), else 0</t>
  </si>
  <si>
    <r>
      <t>=(38143*(UREA injection rate (lb/hour)/8.7)^0.417)*(0.915</t>
    </r>
    <r>
      <rPr>
        <sz val="10"/>
        <rFont val="Times New Roman"/>
        <family val="1"/>
      </rPr>
      <t>)</t>
    </r>
  </si>
  <si>
    <t>Urea Injection</t>
  </si>
  <si>
    <t>=If Urea based, then = (117809+10477*Ni+53111*Nl)*(0.915), else 0</t>
  </si>
  <si>
    <r>
      <t>=(117809+10477*No. Injectors+53111*No. lances)*(0.915</t>
    </r>
    <r>
      <rPr>
        <sz val="10"/>
        <rFont val="Times New Roman"/>
        <family val="1"/>
      </rPr>
      <t>)</t>
    </r>
  </si>
  <si>
    <t>Controls/Miscellaneous</t>
  </si>
  <si>
    <t>=If Urea based, then = (96082+106*BSIZE+898*Ni+2433*Nl)*(0.915), else 0</t>
  </si>
  <si>
    <r>
      <t>=(96082+106*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+898*No. injectors+2433*No. lances)*(0.915</t>
    </r>
    <r>
      <rPr>
        <sz val="10"/>
        <rFont val="Times New Roman"/>
        <family val="1"/>
      </rPr>
      <t>)</t>
    </r>
  </si>
  <si>
    <t>Air Heater Modifications</t>
  </si>
  <si>
    <t>=If Urea based, then = 11.2*(Economizer Outlet (ACFM))^0.772*(0.915), else 0</t>
  </si>
  <si>
    <r>
      <t xml:space="preserve">ACFM AirHeater Inlet = </t>
    </r>
    <r>
      <rPr>
        <b/>
        <i/>
        <sz val="10"/>
        <rFont val="Times New Roman"/>
        <family val="1"/>
      </rPr>
      <t>Economizer outlet (wet lb/hour)</t>
    </r>
    <r>
      <rPr>
        <sz val="10"/>
        <rFont val="Times New Roman"/>
        <family val="1"/>
      </rPr>
      <t>*0.7302(atm-cf/lbmol/d R)*(678+460)d R/29(lb/lbmol)/1atm; 678 d F is average from Acid Rain Study</t>
    </r>
  </si>
  <si>
    <t>Ammonia Based SNCR Costs</t>
  </si>
  <si>
    <t>Ammonia Storage, Handling, Injection, Controls</t>
  </si>
  <si>
    <r>
      <t>=If Amonia based then = 63822*(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)^0.6*(0.655</t>
    </r>
    <r>
      <rPr>
        <sz val="10"/>
        <rFont val="Times New Roman"/>
        <family val="1"/>
      </rPr>
      <t>), else 0</t>
    </r>
  </si>
  <si>
    <r>
      <t>=(63822*(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>)^0.6)*(0.655</t>
    </r>
    <r>
      <rPr>
        <sz val="10"/>
        <rFont val="Times New Roman"/>
        <family val="1"/>
      </rPr>
      <t>)</t>
    </r>
  </si>
  <si>
    <r>
      <t>=If Amonia based then = 11.2*(Economizer Outlet (ACFM))^0.772*(0.655</t>
    </r>
    <r>
      <rPr>
        <sz val="10"/>
        <rFont val="Times New Roman"/>
        <family val="1"/>
      </rPr>
      <t>), else 0</t>
    </r>
  </si>
  <si>
    <t xml:space="preserve"> Total Direct Cost=Installation+Purchased Equipment Cost Subtotal</t>
  </si>
  <si>
    <t>=0.02*TPI+(Op. Lab,$/yr+Maint.,$/yr)/12+(Reagent,$/yr+Water,$/yr)/(12*CF)</t>
  </si>
  <si>
    <t xml:space="preserve">      Inventory Capital</t>
  </si>
  <si>
    <r>
      <t>IF UREA =60*24/2000*Urea Injection rate (lb/hr)*</t>
    </r>
    <r>
      <rPr>
        <sz val="10"/>
        <color indexed="12"/>
        <rFont val="Times New Roman"/>
        <family val="1"/>
      </rPr>
      <t>Urea Cost ($/ton)</t>
    </r>
    <r>
      <rPr>
        <sz val="10"/>
        <rFont val="Times New Roman"/>
        <family val="1"/>
      </rPr>
      <t>; IF AMMONIA =60*24/2000*Ammonia Injection rate (lb/hr)*</t>
    </r>
    <r>
      <rPr>
        <sz val="10"/>
        <color indexed="12"/>
        <rFont val="Times New Roman"/>
        <family val="1"/>
      </rPr>
      <t>Ammonia Cost ($/ton)*CF</t>
    </r>
  </si>
  <si>
    <t>SNCR O&amp;M Costs</t>
  </si>
  <si>
    <t>Operating and Supervisory Labor</t>
  </si>
  <si>
    <r>
      <t>= 0.25* 8,760 *</t>
    </r>
    <r>
      <rPr>
        <sz val="10"/>
        <color indexed="12"/>
        <rFont val="Times New Roman"/>
        <family val="1"/>
      </rPr>
      <t>UCOL</t>
    </r>
  </si>
  <si>
    <r>
      <t xml:space="preserve">= 0.25 * 8,760 * </t>
    </r>
    <r>
      <rPr>
        <sz val="10"/>
        <color indexed="12"/>
        <rFont val="Times New Roman"/>
        <family val="1"/>
      </rPr>
      <t>supervisory and labor wage rate ($/hr)</t>
    </r>
  </si>
  <si>
    <t xml:space="preserve">Maintenance Labor and Materials </t>
  </si>
  <si>
    <r>
      <t>=</t>
    </r>
    <r>
      <rPr>
        <sz val="10"/>
        <color indexed="12"/>
        <rFont val="Times New Roman"/>
        <family val="1"/>
      </rPr>
      <t>Maintenance Cost %</t>
    </r>
    <r>
      <rPr>
        <sz val="10"/>
        <rFont val="Times New Roman"/>
        <family val="1"/>
      </rPr>
      <t>* TPC</t>
    </r>
  </si>
  <si>
    <r>
      <t xml:space="preserve">= </t>
    </r>
    <r>
      <rPr>
        <sz val="10"/>
        <color indexed="12"/>
        <rFont val="Times New Roman"/>
        <family val="1"/>
      </rPr>
      <t>Maintenance(% capital cost/year)</t>
    </r>
    <r>
      <rPr>
        <sz val="10"/>
        <rFont val="Times New Roman"/>
        <family val="1"/>
      </rPr>
      <t xml:space="preserve"> * total plant cost ($)</t>
    </r>
  </si>
  <si>
    <t xml:space="preserve">Reagent </t>
  </si>
  <si>
    <r>
      <t xml:space="preserve">IF UREA =Urea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/2,000 * </t>
    </r>
    <r>
      <rPr>
        <sz val="10"/>
        <color indexed="12"/>
        <rFont val="Times New Roman"/>
        <family val="1"/>
      </rPr>
      <t>UCUREA</t>
    </r>
    <r>
      <rPr>
        <sz val="10"/>
        <rFont val="Times New Roman"/>
        <family val="1"/>
      </rPr>
      <t xml:space="preserve">*(1+ </t>
    </r>
    <r>
      <rPr>
        <b/>
        <i/>
        <sz val="10"/>
        <rFont val="Times New Roman"/>
        <family val="1"/>
      </rPr>
      <t>Esc. Consumables O&amp;M</t>
    </r>
    <r>
      <rPr>
        <sz val="10"/>
        <rFont val="Times New Roman"/>
        <family val="1"/>
      </rPr>
      <t>)^(</t>
    </r>
    <r>
      <rPr>
        <b/>
        <i/>
        <sz val="10"/>
        <rFont val="Times New Roman"/>
        <family val="1"/>
      </rPr>
      <t>Cost Basis year</t>
    </r>
    <r>
      <rPr>
        <sz val="10"/>
        <rFont val="Times New Roman"/>
        <family val="1"/>
      </rPr>
      <t xml:space="preserve">-1998); IF AMMONIA = NH3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/2,000 * </t>
    </r>
    <r>
      <rPr>
        <sz val="10"/>
        <color indexed="12"/>
        <rFont val="Times New Roman"/>
        <family val="1"/>
      </rPr>
      <t>UCHN3</t>
    </r>
  </si>
  <si>
    <r>
      <t xml:space="preserve">(IF UREA =Injection rate of pure Urea(lb/hr)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/2,000 * </t>
    </r>
    <r>
      <rPr>
        <sz val="10"/>
        <color indexed="12"/>
        <rFont val="Times New Roman"/>
        <family val="1"/>
      </rPr>
      <t>Urea cost rate ($/ton)</t>
    </r>
    <r>
      <rPr>
        <sz val="10"/>
        <rFont val="Times New Roman"/>
        <family val="1"/>
      </rPr>
      <t xml:space="preserve">*(1+ </t>
    </r>
    <r>
      <rPr>
        <b/>
        <i/>
        <sz val="10"/>
        <rFont val="Times New Roman"/>
        <family val="1"/>
      </rPr>
      <t>Esc. Consumables O&amp;M</t>
    </r>
    <r>
      <rPr>
        <sz val="10"/>
        <rFont val="Times New Roman"/>
        <family val="1"/>
      </rPr>
      <t>)^(</t>
    </r>
    <r>
      <rPr>
        <b/>
        <i/>
        <sz val="10"/>
        <rFont val="Times New Roman"/>
        <family val="1"/>
      </rPr>
      <t>Cost Basis year</t>
    </r>
    <r>
      <rPr>
        <sz val="10"/>
        <rFont val="Times New Roman"/>
        <family val="1"/>
      </rPr>
      <t xml:space="preserve">-1998);  IF AMMONIA = Injection rate of ammonia (lb/hr)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/2,000 * </t>
    </r>
    <r>
      <rPr>
        <sz val="10"/>
        <color indexed="12"/>
        <rFont val="Times New Roman"/>
        <family val="1"/>
      </rPr>
      <t>Ammonia cost rate ($/ton)</t>
    </r>
    <r>
      <rPr>
        <sz val="10"/>
        <rFont val="Times New Roman"/>
        <family val="1"/>
      </rPr>
      <t>)</t>
    </r>
  </si>
  <si>
    <t xml:space="preserve">Electricity </t>
  </si>
  <si>
    <r>
      <t xml:space="preserve">IF UREA (5.97 + 0.29* NI + 0.87* NL)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*</t>
    </r>
    <r>
      <rPr>
        <b/>
        <i/>
        <sz val="10"/>
        <rFont val="Times New Roman"/>
        <family val="1"/>
      </rPr>
      <t>UCELEC*(</t>
    </r>
    <r>
      <rPr>
        <sz val="10"/>
        <rFont val="Times New Roman"/>
        <family val="1"/>
      </rPr>
      <t>1+</t>
    </r>
    <r>
      <rPr>
        <b/>
        <i/>
        <sz val="10"/>
        <rFont val="Times New Roman"/>
        <family val="1"/>
      </rPr>
      <t xml:space="preserve"> Esc. Consumables O&amp;M)^(Cost Basis year-1998)</t>
    </r>
    <r>
      <rPr>
        <sz val="10"/>
        <rFont val="Times New Roman"/>
        <family val="1"/>
      </rPr>
      <t>; IF AMMONIA  Steam ((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* 0.12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)*</t>
    </r>
    <r>
      <rPr>
        <b/>
        <i/>
        <sz val="10"/>
        <rFont val="Times New Roman"/>
        <family val="1"/>
      </rPr>
      <t>UCELEC</t>
    </r>
    <r>
      <rPr>
        <sz val="10"/>
        <rFont val="Times New Roman"/>
        <family val="1"/>
      </rPr>
      <t>; if Ammonia Air:(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*4.23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))*</t>
    </r>
    <r>
      <rPr>
        <b/>
        <i/>
        <sz val="10"/>
        <rFont val="Times New Roman"/>
        <family val="1"/>
      </rPr>
      <t>UCELE</t>
    </r>
  </si>
  <si>
    <r>
      <t xml:space="preserve">(IF UREA = (5.97 + 0.29* No. Wall Injectors + 0.87* No. Lances) * 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Electricity cost ($/kWh)</t>
    </r>
    <r>
      <rPr>
        <sz val="10"/>
        <rFont val="Times New Roman"/>
        <family val="1"/>
      </rPr>
      <t>; IF AMMONIA and steam = ((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* 0.12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)* </t>
    </r>
    <r>
      <rPr>
        <b/>
        <i/>
        <sz val="10"/>
        <rFont val="Times New Roman"/>
        <family val="1"/>
      </rPr>
      <t>Electricity cost ($/kWh)</t>
    </r>
    <r>
      <rPr>
        <sz val="10"/>
        <rFont val="Times New Roman"/>
        <family val="1"/>
      </rPr>
      <t>)</t>
    </r>
    <r>
      <rPr>
        <sz val="10"/>
        <rFont val="Times New Roman"/>
        <family val="1"/>
      </rPr>
      <t>, IF AMMONIA and air = (</t>
    </r>
    <r>
      <rPr>
        <b/>
        <i/>
        <sz val="10"/>
        <rFont val="Times New Roman"/>
        <family val="1"/>
      </rPr>
      <t>BSIZE *4.23 * 8,760 * CF))*UCELE</t>
    </r>
  </si>
  <si>
    <t xml:space="preserve">Water  </t>
  </si>
  <si>
    <r>
      <t xml:space="preserve">IF AMMONIA  = (1.0 * NI + 2.5* NL) *60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/1,000 *</t>
    </r>
    <r>
      <rPr>
        <sz val="10"/>
        <color indexed="12"/>
        <rFont val="Times New Roman"/>
        <family val="1"/>
      </rPr>
      <t xml:space="preserve"> UCH2O</t>
    </r>
  </si>
  <si>
    <r>
      <t xml:space="preserve">IF AMMONIA = (1.0 * No. Wall Injectors + 2.5* No. Lances) *60 *8760*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/1,000 * </t>
    </r>
    <r>
      <rPr>
        <sz val="10"/>
        <color indexed="12"/>
        <rFont val="Times New Roman"/>
        <family val="1"/>
      </rPr>
      <t>Water cost rate ($/1000 gal)</t>
    </r>
  </si>
  <si>
    <t>Steam  (for steam atomization)</t>
  </si>
  <si>
    <r>
      <t xml:space="preserve">IF UREA and Steam = 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 xml:space="preserve"> * 99.2 * 8,760*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/1,000*</t>
    </r>
    <r>
      <rPr>
        <sz val="10"/>
        <color indexed="12"/>
        <rFont val="Times New Roman"/>
        <family val="1"/>
      </rPr>
      <t>UCSTEAM</t>
    </r>
  </si>
  <si>
    <r>
      <t>IF UREAand steam =</t>
    </r>
    <r>
      <rPr>
        <b/>
        <i/>
        <sz val="10"/>
        <rFont val="Times New Roman"/>
        <family val="1"/>
      </rPr>
      <t>BSIZE(MW)</t>
    </r>
    <r>
      <rPr>
        <sz val="10"/>
        <rFont val="Times New Roman"/>
        <family val="1"/>
      </rPr>
      <t xml:space="preserve"> * 99.2 * 8,760*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/1,000 * </t>
    </r>
    <r>
      <rPr>
        <sz val="10"/>
        <color indexed="12"/>
        <rFont val="Times New Roman"/>
        <family val="1"/>
      </rPr>
      <t>Steam atomization cost rate ($/1000 lb)</t>
    </r>
  </si>
  <si>
    <t>Low NOX Burner Technology Capital Costs</t>
  </si>
  <si>
    <t>Total Capital Requirement with Retrofit (TCR)</t>
  </si>
  <si>
    <t>IF(Boiler Type="T",IF(RD="H",57.04*(300/BSIZE)^0.679, IF(RD="L",11.71,21.2*(300/BSIZE)^0.35)), IF(Boiler Type="W",IF(RD="H",27.72*(300/BSIZE)^0.573, IF(RD="L",6.53*(300/BSIZE)^0.857,15.37*(300/BSIZE)^0.35))),0)*1000*BSIZE*388/357.6</t>
  </si>
  <si>
    <t>Low NOX Burner Technology O&amp;M Costs</t>
  </si>
  <si>
    <t>Maintenance Labor</t>
  </si>
  <si>
    <t>=0.008 * TPC</t>
  </si>
  <si>
    <t>=0.008/yr * Total Plant Costs ($)</t>
  </si>
  <si>
    <t>Maintenance Materials</t>
  </si>
  <si>
    <t>=0.012 * TPC</t>
  </si>
  <si>
    <t>=0.012/yr * Total Plant Costs ($)</t>
  </si>
  <si>
    <t>Control, Administration, Overhead</t>
  </si>
  <si>
    <t>=0.3*Maintenance Labor Cost</t>
  </si>
  <si>
    <t>=0.3*Maintenance Labor Cost($/year)</t>
  </si>
  <si>
    <t>Natural Gas Reburning - Preliminary</t>
  </si>
  <si>
    <t>Fraction of heat input as reburn fuel</t>
  </si>
  <si>
    <r>
      <t>if(input&gt;0,input, if(NOx=0,0.15,RBFRAC =(</t>
    </r>
    <r>
      <rPr>
        <sz val="10"/>
        <color indexed="12"/>
        <rFont val="Times New Roman"/>
        <family val="1"/>
      </rPr>
      <t>n</t>
    </r>
    <r>
      <rPr>
        <sz val="10"/>
        <rFont val="Times New Roman"/>
        <family val="1"/>
      </rPr>
      <t xml:space="preserve"> - 0.48) / 0.86</t>
    </r>
  </si>
  <si>
    <r>
      <t>RBFRAC =(</t>
    </r>
    <r>
      <rPr>
        <sz val="10"/>
        <color indexed="12"/>
        <rFont val="Times New Roman"/>
        <family val="1"/>
      </rPr>
      <t>Nox Reduction Efficiency</t>
    </r>
    <r>
      <rPr>
        <sz val="10"/>
        <rFont val="Times New Roman"/>
        <family val="1"/>
      </rPr>
      <t xml:space="preserve"> - 0.48) / 0.86</t>
    </r>
  </si>
  <si>
    <t>Bottom Ash Rate</t>
  </si>
  <si>
    <t>tons/yr</t>
  </si>
  <si>
    <r>
      <t xml:space="preserve">BA = </t>
    </r>
    <r>
      <rPr>
        <b/>
        <i/>
        <sz val="10"/>
        <rFont val="Times New Roman"/>
        <family val="1"/>
      </rPr>
      <t>BAF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ASH</t>
    </r>
    <r>
      <rPr>
        <sz val="10"/>
        <rFont val="Times New Roman"/>
        <family val="1"/>
      </rPr>
      <t xml:space="preserve"> * (500/</t>
    </r>
    <r>
      <rPr>
        <b/>
        <i/>
        <sz val="10"/>
        <rFont val="Times New Roman"/>
        <family val="1"/>
      </rPr>
      <t>HHV</t>
    </r>
    <r>
      <rPr>
        <sz val="10"/>
        <rFont val="Times New Roman"/>
        <family val="1"/>
      </rPr>
      <t xml:space="preserve">) * </t>
    </r>
    <r>
      <rPr>
        <b/>
        <i/>
        <sz val="10"/>
        <rFont val="Times New Roman"/>
        <family val="1"/>
      </rPr>
      <t>Qin</t>
    </r>
    <r>
      <rPr>
        <sz val="10"/>
        <rFont val="Times New Roman"/>
        <family val="1"/>
      </rPr>
      <t xml:space="preserve">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/2,000</t>
    </r>
  </si>
  <si>
    <r>
      <t xml:space="preserve">BA = </t>
    </r>
    <r>
      <rPr>
        <b/>
        <i/>
        <sz val="10"/>
        <rFont val="Times New Roman"/>
        <family val="1"/>
      </rPr>
      <t>Bottom ash Factor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percent ash in coal (%wt)</t>
    </r>
    <r>
      <rPr>
        <sz val="10"/>
        <rFont val="Times New Roman"/>
        <family val="1"/>
      </rPr>
      <t xml:space="preserve"> * (500/</t>
    </r>
    <r>
      <rPr>
        <b/>
        <i/>
        <sz val="10"/>
        <rFont val="Times New Roman"/>
        <family val="1"/>
      </rPr>
      <t>HHV</t>
    </r>
    <r>
      <rPr>
        <sz val="10"/>
        <rFont val="Times New Roman"/>
        <family val="1"/>
      </rPr>
      <t xml:space="preserve">) * </t>
    </r>
    <r>
      <rPr>
        <b/>
        <i/>
        <sz val="10"/>
        <rFont val="Times New Roman"/>
        <family val="1"/>
      </rPr>
      <t>boiler heat input (MMBtu/hr)</t>
    </r>
    <r>
      <rPr>
        <sz val="10"/>
        <rFont val="Times New Roman"/>
        <family val="1"/>
      </rPr>
      <t xml:space="preserve">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>/2,000</t>
    </r>
  </si>
  <si>
    <t>Natural Gas Reburning Capital Costs</t>
  </si>
  <si>
    <t>Gas Pipeline from Fenceline to Boiler</t>
  </si>
  <si>
    <t>=372.7*EXP(.00264*MW)*1000 replaced by 1923*MW+276519 (nk 1/24/00)</t>
  </si>
  <si>
    <r>
      <t>=372.7*EXP(.00624*</t>
    </r>
    <r>
      <rPr>
        <sz val="10"/>
        <color indexed="12"/>
        <rFont val="Times New Roman"/>
        <family val="1"/>
      </rPr>
      <t>MW Output</t>
    </r>
    <r>
      <rPr>
        <sz val="10"/>
        <rFont val="Times New Roman"/>
        <family val="1"/>
      </rPr>
      <t>)*1000</t>
    </r>
  </si>
  <si>
    <t>Fuel Injectors, Overfire Air Ports and Associated Piping, Valves, Windbox and Control Dampers</t>
  </si>
  <si>
    <r>
      <t>=(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/500)^0.214*(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*3237.657+1504675)</t>
    </r>
  </si>
  <si>
    <r>
      <t>=(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/500)^0.214*(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*m+b), m= 3237.657, b= 1504675</t>
    </r>
  </si>
  <si>
    <t>=0.02*TPI+(Maint.,$/yr)/12+(Waste Disp.,$/yr)/(12*CF)</t>
  </si>
  <si>
    <t>Natural Gas Reburning O&amp;M Costs</t>
  </si>
  <si>
    <t>Electrical Consumption Savings</t>
  </si>
  <si>
    <r>
      <t xml:space="preserve">=9.51 * 10^7 * </t>
    </r>
    <r>
      <rPr>
        <b/>
        <i/>
        <sz val="10"/>
        <rFont val="Times New Roman"/>
        <family val="1"/>
      </rPr>
      <t>Qin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RBFRAC/</t>
    </r>
    <r>
      <rPr>
        <b/>
        <i/>
        <sz val="10"/>
        <rFont val="Times New Roman"/>
        <family val="1"/>
      </rPr>
      <t>HHV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UCELEC</t>
    </r>
  </si>
  <si>
    <r>
      <t xml:space="preserve">=9.51 * 10^7 * </t>
    </r>
    <r>
      <rPr>
        <b/>
        <i/>
        <sz val="10"/>
        <rFont val="Times New Roman"/>
        <family val="1"/>
      </rPr>
      <t>boiler heat input(MMBtu/hr)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Fraction of heat input as reburn fuel / </t>
    </r>
    <r>
      <rPr>
        <b/>
        <i/>
        <sz val="10"/>
        <rFont val="Times New Roman"/>
        <family val="1"/>
      </rPr>
      <t xml:space="preserve">HHV(Btu/lb) </t>
    </r>
    <r>
      <rPr>
        <sz val="10"/>
        <rFont val="Times New Roman"/>
        <family val="1"/>
      </rPr>
      <t xml:space="preserve">* </t>
    </r>
    <r>
      <rPr>
        <b/>
        <i/>
        <sz val="10"/>
        <rFont val="Times New Roman"/>
        <family val="1"/>
      </rPr>
      <t>Electricity Rate($/kW)</t>
    </r>
  </si>
  <si>
    <t xml:space="preserve">Maintenance </t>
  </si>
  <si>
    <r>
      <t>=</t>
    </r>
    <r>
      <rPr>
        <sz val="10"/>
        <color indexed="12"/>
        <rFont val="Times New Roman"/>
        <family val="1"/>
      </rPr>
      <t>Maintenance (% capital cost)</t>
    </r>
    <r>
      <rPr>
        <sz val="10"/>
        <rFont val="Times New Roman"/>
        <family val="1"/>
      </rPr>
      <t>*TPC-1387.5*RBFRAC*(</t>
    </r>
    <r>
      <rPr>
        <b/>
        <i/>
        <sz val="10"/>
        <rFont val="Times New Roman"/>
        <family val="1"/>
      </rPr>
      <t>BSIZE</t>
    </r>
    <r>
      <rPr>
        <sz val="10"/>
        <rFont val="Times New Roman"/>
        <family val="1"/>
      </rPr>
      <t>/500)^0.6</t>
    </r>
  </si>
  <si>
    <r>
      <t>=</t>
    </r>
    <r>
      <rPr>
        <sz val="10"/>
        <color indexed="12"/>
        <rFont val="Times New Roman"/>
        <family val="1"/>
      </rPr>
      <t>Maintenance(% capital cost)</t>
    </r>
    <r>
      <rPr>
        <sz val="10"/>
        <rFont val="Times New Roman"/>
        <family val="1"/>
      </rPr>
      <t xml:space="preserve"> * Total Plant Cost($) - 1387.5 * Fraction of heat input as reburn fuel  * (</t>
    </r>
    <r>
      <rPr>
        <b/>
        <i/>
        <sz val="10"/>
        <rFont val="Times New Roman"/>
        <family val="1"/>
      </rPr>
      <t xml:space="preserve">BSIZE(MW) </t>
    </r>
    <r>
      <rPr>
        <sz val="10"/>
        <rFont val="Times New Roman"/>
        <family val="1"/>
      </rPr>
      <t>/ 500)^0.6</t>
    </r>
  </si>
  <si>
    <t>Waste Disposal Savings</t>
  </si>
  <si>
    <r>
      <t>= [BA * RBFRAC +  4.336 * RBFRAC *</t>
    </r>
    <r>
      <rPr>
        <b/>
        <i/>
        <sz val="10"/>
        <rFont val="Times New Roman"/>
        <family val="1"/>
      </rPr>
      <t>PPHPRT</t>
    </r>
    <r>
      <rPr>
        <sz val="10"/>
        <rFont val="Times New Roman"/>
        <family val="1"/>
      </rPr>
      <t xml:space="preserve">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] * </t>
    </r>
    <r>
      <rPr>
        <sz val="10"/>
        <color indexed="12"/>
        <rFont val="Times New Roman"/>
        <family val="1"/>
      </rPr>
      <t>UCWASTE</t>
    </r>
  </si>
  <si>
    <r>
      <t>= [</t>
    </r>
    <r>
      <rPr>
        <b/>
        <i/>
        <sz val="10"/>
        <rFont val="Times New Roman"/>
        <family val="1"/>
      </rPr>
      <t>Bottom ash rate(tons/year)</t>
    </r>
    <r>
      <rPr>
        <sz val="10"/>
        <rFont val="Times New Roman"/>
        <family val="1"/>
      </rPr>
      <t xml:space="preserve"> * fraction of heat input as reburn fuel +  4.336 * fraction of heat input as reburn fuel * </t>
    </r>
    <r>
      <rPr>
        <b/>
        <i/>
        <sz val="10"/>
        <rFont val="Times New Roman"/>
        <family val="1"/>
      </rPr>
      <t>fly ash rate (ton/hr)</t>
    </r>
    <r>
      <rPr>
        <sz val="10"/>
        <rFont val="Times New Roman"/>
        <family val="1"/>
      </rPr>
      <t xml:space="preserve"> * 2000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] * </t>
    </r>
    <r>
      <rPr>
        <sz val="10"/>
        <color indexed="12"/>
        <rFont val="Times New Roman"/>
        <family val="1"/>
      </rPr>
      <t>Waste Disposal Rate($/ton)</t>
    </r>
  </si>
  <si>
    <t xml:space="preserve">Natural Gas Consumption </t>
  </si>
  <si>
    <r>
      <t xml:space="preserve">= </t>
    </r>
    <r>
      <rPr>
        <b/>
        <i/>
        <sz val="10"/>
        <rFont val="Times New Roman"/>
        <family val="1"/>
      </rPr>
      <t>Qin</t>
    </r>
    <r>
      <rPr>
        <sz val="10"/>
        <rFont val="Times New Roman"/>
        <family val="1"/>
      </rPr>
      <t xml:space="preserve"> * RBFRAC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</t>
    </r>
    <r>
      <rPr>
        <sz val="10"/>
        <color indexed="12"/>
        <rFont val="Times New Roman"/>
        <family val="1"/>
      </rPr>
      <t>UCGAS</t>
    </r>
  </si>
  <si>
    <r>
      <t xml:space="preserve">= </t>
    </r>
    <r>
      <rPr>
        <b/>
        <i/>
        <sz val="10"/>
        <rFont val="Times New Roman"/>
        <family val="1"/>
      </rPr>
      <t>boiler heat input(MMBtu/hr)</t>
    </r>
    <r>
      <rPr>
        <sz val="10"/>
        <rFont val="Times New Roman"/>
        <family val="1"/>
      </rPr>
      <t xml:space="preserve"> * fraction of heat input as reburn fuel * 8,760 * </t>
    </r>
    <r>
      <rPr>
        <b/>
        <i/>
        <sz val="10"/>
        <rFont val="Times New Roman"/>
        <family val="1"/>
      </rPr>
      <t>CF</t>
    </r>
    <r>
      <rPr>
        <sz val="10"/>
        <rFont val="Times New Roman"/>
        <family val="1"/>
      </rPr>
      <t xml:space="preserve"> * </t>
    </r>
    <r>
      <rPr>
        <sz val="10"/>
        <color indexed="12"/>
        <rFont val="Times New Roman"/>
        <family val="1"/>
      </rPr>
      <t>Unit cost of gas ($/mmBtu)</t>
    </r>
  </si>
  <si>
    <t>LSFO Material Balance - Preliminary</t>
  </si>
  <si>
    <t>Case 2</t>
  </si>
  <si>
    <t>Case 3</t>
  </si>
  <si>
    <t>Case 4</t>
  </si>
  <si>
    <t>Case 5</t>
  </si>
  <si>
    <t>Flue Gas, Downstream of ID Fans</t>
  </si>
  <si>
    <t xml:space="preserve">      Temperature</t>
  </si>
  <si>
    <t xml:space="preserve">      Pressure</t>
  </si>
  <si>
    <t xml:space="preserve">      Flow Rate</t>
  </si>
  <si>
    <t>SCFM</t>
  </si>
  <si>
    <t>ACFM</t>
  </si>
  <si>
    <t xml:space="preserve">      CO2</t>
  </si>
  <si>
    <t xml:space="preserve">      N2</t>
  </si>
  <si>
    <t xml:space="preserve">      SO2</t>
  </si>
  <si>
    <t xml:space="preserve">      O2</t>
  </si>
  <si>
    <t xml:space="preserve">      HCl</t>
  </si>
  <si>
    <t xml:space="preserve">      Other Gases</t>
  </si>
  <si>
    <t xml:space="preserve">      H2O</t>
  </si>
  <si>
    <t xml:space="preserve">            Total (gas only)</t>
  </si>
  <si>
    <t>Flue Gas, to Absorber</t>
  </si>
  <si>
    <t>Flue Gas, from Absorbers (total)</t>
  </si>
  <si>
    <t xml:space="preserve">      Heat Capacities</t>
  </si>
  <si>
    <t xml:space="preserve">            O2</t>
  </si>
  <si>
    <t>Btu/lbmol°F</t>
  </si>
  <si>
    <t xml:space="preserve">            CO2</t>
  </si>
  <si>
    <t xml:space="preserve">            N2</t>
  </si>
  <si>
    <t xml:space="preserve">            H2O</t>
  </si>
  <si>
    <t xml:space="preserve">            NO</t>
  </si>
  <si>
    <t xml:space="preserve">            SO2</t>
  </si>
  <si>
    <t xml:space="preserve">            HCl</t>
  </si>
  <si>
    <t>Btu/lb°F</t>
  </si>
  <si>
    <t xml:space="preserve">            Reheated Gas Temperature:</t>
  </si>
  <si>
    <t>°C</t>
  </si>
  <si>
    <t>K</t>
  </si>
  <si>
    <t xml:space="preserve">            FGD Outlet Temperature:</t>
  </si>
  <si>
    <t xml:space="preserve">      Total Btu/hr</t>
  </si>
  <si>
    <t>Btu/hr</t>
  </si>
  <si>
    <t>Hot Reheat Air</t>
  </si>
  <si>
    <t xml:space="preserve">            Total</t>
  </si>
  <si>
    <t xml:space="preserve">      Heat Capacities of Hot Reheat Air</t>
  </si>
  <si>
    <t xml:space="preserve">            Heated Temperature:</t>
  </si>
  <si>
    <t xml:space="preserve">      Heat Capacities of Inlet Reheat Air</t>
  </si>
  <si>
    <t xml:space="preserve">            Inlet Air Temperature:</t>
  </si>
  <si>
    <t xml:space="preserve">      Required Heat</t>
  </si>
  <si>
    <t>Oxidation Air (total)</t>
  </si>
  <si>
    <t>Limestone to Ball Mill</t>
  </si>
  <si>
    <t xml:space="preserve">      Wt.% Solids</t>
  </si>
  <si>
    <t>wt. %</t>
  </si>
  <si>
    <t xml:space="preserve">      Inerts</t>
  </si>
  <si>
    <t xml:space="preserve">      CaCO3</t>
  </si>
  <si>
    <t>Limestone Slurry to Limestone Slurry Tank</t>
  </si>
  <si>
    <t>GPM</t>
  </si>
  <si>
    <t>Limestone Slurry to Reaction Mix Tank (total)</t>
  </si>
  <si>
    <t>Slurry to Absorber</t>
  </si>
  <si>
    <t xml:space="preserve">      CaSO3*1/2H2O</t>
  </si>
  <si>
    <t xml:space="preserve">      CaSO4*2H2O</t>
  </si>
  <si>
    <t xml:space="preserve">      CaCl2</t>
  </si>
  <si>
    <t>Slurry from Rxn Tank to Thickener</t>
  </si>
  <si>
    <t>LSFO Equipment Capital Costs</t>
  </si>
  <si>
    <t>Sizing Criteria</t>
  </si>
  <si>
    <t>Reagent Feed System</t>
  </si>
  <si>
    <t>kpph Reag.</t>
  </si>
  <si>
    <t xml:space="preserve">      Ball Mill &amp; Hydroclone System</t>
  </si>
  <si>
    <t>TPH Reag.</t>
  </si>
  <si>
    <t xml:space="preserve">      DBA Acid Tank (pump, heater, agitator)</t>
  </si>
  <si>
    <t>gpm DBA</t>
  </si>
  <si>
    <t>SO2 Removal System</t>
  </si>
  <si>
    <t>kpph SO2</t>
  </si>
  <si>
    <t xml:space="preserve">      Absorber Tower</t>
  </si>
  <si>
    <t>kACFM</t>
  </si>
  <si>
    <t>Calculated Number of Spray Pumps</t>
  </si>
  <si>
    <t xml:space="preserve">      Spray Pumps</t>
  </si>
  <si>
    <t>slurry gpm</t>
  </si>
  <si>
    <t>Flue Gas Handling System</t>
  </si>
  <si>
    <t>*</t>
  </si>
  <si>
    <t xml:space="preserve">      ID Fans</t>
  </si>
  <si>
    <t>Calculated No. of ID Fans and Flue Gas Flow per Fan</t>
  </si>
  <si>
    <t>Waste / Byproduct Handling System</t>
  </si>
  <si>
    <t xml:space="preserve">      Thickener System</t>
  </si>
  <si>
    <t>TPH solids</t>
  </si>
  <si>
    <t>Support Equipment</t>
  </si>
  <si>
    <t xml:space="preserve">      Chimney</t>
  </si>
  <si>
    <t>TOTAL</t>
  </si>
  <si>
    <t>*  Based on flue gas flow and reheat temperature.</t>
  </si>
  <si>
    <t>Capital Costs with Retrofit Factors</t>
  </si>
  <si>
    <t>General Facilities</t>
  </si>
  <si>
    <t>Engineering Fees</t>
  </si>
  <si>
    <t>Contingency</t>
  </si>
  <si>
    <t>Maintenance Cost by Area</t>
  </si>
  <si>
    <t>TPC w/o Retrofit Factor</t>
  </si>
  <si>
    <t>First Year Maintenance Costs</t>
  </si>
  <si>
    <t>LSFO O&amp;M Data and Costs</t>
  </si>
  <si>
    <t>Parameters</t>
  </si>
  <si>
    <t xml:space="preserve">      Reagent Required</t>
  </si>
  <si>
    <t>lbs/hr</t>
  </si>
  <si>
    <t xml:space="preserve">      DBA Required</t>
  </si>
  <si>
    <t xml:space="preserve">      Percent SO2 Removal</t>
  </si>
  <si>
    <t xml:space="preserve">      FGD Sludge to Disposal</t>
  </si>
  <si>
    <t>lbs/hr, dry</t>
  </si>
  <si>
    <t xml:space="preserve">      Steam to FGD System</t>
  </si>
  <si>
    <t xml:space="preserve">      Total FGD Power Consumption</t>
  </si>
  <si>
    <t>kW</t>
  </si>
  <si>
    <t xml:space="preserve">      FGD Byproduct</t>
  </si>
  <si>
    <t>Fixed O&amp;M Costs</t>
  </si>
  <si>
    <t xml:space="preserve">      Number of Operators</t>
  </si>
  <si>
    <t xml:space="preserve">          (40 hrs/week)</t>
  </si>
  <si>
    <t xml:space="preserve">      Operating Labor Cost  **</t>
  </si>
  <si>
    <t xml:space="preserve">      Maint. Labor &amp; Matls. Cost</t>
  </si>
  <si>
    <t xml:space="preserve">      Admin. &amp; Support Labor</t>
  </si>
  <si>
    <t xml:space="preserve">          TOTAL</t>
  </si>
  <si>
    <t>Variable Operating Costs  **</t>
  </si>
  <si>
    <t xml:space="preserve">      Reagent Costs</t>
  </si>
  <si>
    <t xml:space="preserve">      DBA Costs</t>
  </si>
  <si>
    <t xml:space="preserve">      Disposal Costs</t>
  </si>
  <si>
    <t xml:space="preserve">      Credit for Byproduct</t>
  </si>
  <si>
    <t xml:space="preserve">      Steam Costs</t>
  </si>
  <si>
    <t xml:space="preserve">      Power Costs</t>
  </si>
  <si>
    <t>**  These costs assume inputs are in current dollars (no escalation included).</t>
  </si>
  <si>
    <t>Intermediate Material Balance Calcs.</t>
  </si>
  <si>
    <t>Sulfite Reaction</t>
  </si>
  <si>
    <t>lbmole/hr</t>
  </si>
  <si>
    <t>Sulfate Reaction</t>
  </si>
  <si>
    <t>Water in Absorber</t>
  </si>
  <si>
    <t xml:space="preserve">      Mole Fraction H2O in Absorber</t>
  </si>
  <si>
    <t xml:space="preserve">      Moles H2O in Absorber</t>
  </si>
  <si>
    <t>lbmole</t>
  </si>
  <si>
    <t>DBA Feed Calculations</t>
  </si>
  <si>
    <t xml:space="preserve">      SO2 Removed</t>
  </si>
  <si>
    <t xml:space="preserve">      DBA Added</t>
  </si>
  <si>
    <t>LSD Material Balance - Preliminary</t>
  </si>
  <si>
    <t>Flue Gas, Downstream of Air Heater</t>
  </si>
  <si>
    <t>Flue Gas, to Spray Dryer</t>
  </si>
  <si>
    <t>Flue Gas, from Spray Dryers (total)</t>
  </si>
  <si>
    <t>Flue Gas Downstream of Particulate Control Device</t>
  </si>
  <si>
    <t>Flue Gas Downstream of ID Fans</t>
  </si>
  <si>
    <t>Lime to Ball Mill</t>
  </si>
  <si>
    <t xml:space="preserve">      CaO</t>
  </si>
  <si>
    <t>Water to Ball Mill</t>
  </si>
  <si>
    <t>Lime Slurry to Head Tanks (Total)</t>
  </si>
  <si>
    <t xml:space="preserve">      Ca(OH)2</t>
  </si>
  <si>
    <t>Lime Slurry from Head Tank</t>
  </si>
  <si>
    <t xml:space="preserve">      Flyash / Inerts</t>
  </si>
  <si>
    <t>Lime Slurry to Atomizer</t>
  </si>
  <si>
    <t>Solids from Spray Dryers (Total)</t>
  </si>
  <si>
    <t>Baghouse/ESP Solids to Recycle</t>
  </si>
  <si>
    <t xml:space="preserve">      Particulate Removal Efficiency</t>
  </si>
  <si>
    <t>Recycle Solids to Slurry Tank</t>
  </si>
  <si>
    <t>Blowdown Water to Recycle Solids Tank</t>
  </si>
  <si>
    <t>Recycle Slurry to Head Tanks (Total)</t>
  </si>
  <si>
    <t>Dry Solids</t>
  </si>
  <si>
    <t>Solids to Landfill</t>
  </si>
  <si>
    <t>LSD Equipment Capital Costs</t>
  </si>
  <si>
    <t>Wt. % S</t>
  </si>
  <si>
    <t xml:space="preserve">      Spray Dryers</t>
  </si>
  <si>
    <t>*  Based on lbs/hr of lime feed and GPM of lime slurry.</t>
  </si>
  <si>
    <t>LSD O&amp;M Data and Costs</t>
  </si>
  <si>
    <t xml:space="preserve">      FGD Solids - dry</t>
  </si>
  <si>
    <t xml:space="preserve">                          - wetted</t>
  </si>
  <si>
    <t xml:space="preserve">      Fresh Water to FGD</t>
  </si>
  <si>
    <t>gpm</t>
  </si>
  <si>
    <t xml:space="preserve">      Blowdown Water to FGD</t>
  </si>
  <si>
    <t>Variable Operating Costs **</t>
  </si>
  <si>
    <t xml:space="preserve">      Fresh Water Costs</t>
  </si>
  <si>
    <r>
      <t xml:space="preserve">FGD Reactions in Spray Dryer   </t>
    </r>
    <r>
      <rPr>
        <i/>
        <sz val="12"/>
        <rFont val="Times New Roman"/>
        <family val="1"/>
      </rPr>
      <t>(80% of SO2 Removal)</t>
    </r>
  </si>
  <si>
    <r>
      <t xml:space="preserve">FGD Reactions in Particulate Control   </t>
    </r>
    <r>
      <rPr>
        <i/>
        <sz val="12"/>
        <rFont val="Times New Roman"/>
        <family val="1"/>
      </rPr>
      <t>(20% of SO2 Removal)</t>
    </r>
  </si>
  <si>
    <t>Solids in Spray Dryer</t>
  </si>
  <si>
    <t>Spray Dryer Solids Removal</t>
  </si>
  <si>
    <t>Solids in Baghouse/ESP</t>
  </si>
  <si>
    <t>Components of Baghouse/ESP Solids</t>
  </si>
  <si>
    <t>Total Waste Solids Out</t>
  </si>
  <si>
    <t>NA</t>
  </si>
  <si>
    <t>Waste Out Gas Stream</t>
  </si>
  <si>
    <t>ITERATION 1</t>
  </si>
  <si>
    <t>Assumed Composition of Recycle Solids to Slurry Tank</t>
  </si>
  <si>
    <t>Composition of Recycle Slurry to Head Tanks</t>
  </si>
  <si>
    <t>Composition of Slurry from Head Tank</t>
  </si>
  <si>
    <t>Composition of Solids from Spray Dryers</t>
  </si>
  <si>
    <t>wt %</t>
  </si>
  <si>
    <t>Solids Out Stack</t>
  </si>
  <si>
    <t>Composition of Baghouse/ESP Solids to Recycle</t>
  </si>
  <si>
    <t>Calculated Composition of Recycle Solids to Slurry Tank</t>
  </si>
  <si>
    <t>ITERATION 2</t>
  </si>
  <si>
    <t>ITERATION 3</t>
  </si>
  <si>
    <t>ITERATION 4</t>
  </si>
  <si>
    <t>ITERATION 5</t>
  </si>
  <si>
    <t>ITERATION 6</t>
  </si>
  <si>
    <t>ITERATION 7</t>
  </si>
  <si>
    <t>Fabric Filter - Preliminary</t>
  </si>
  <si>
    <t>Flue Gas, Upstream of Fabric Filter</t>
  </si>
  <si>
    <t>Total Fabric Required</t>
  </si>
  <si>
    <r>
      <t>Ft</t>
    </r>
    <r>
      <rPr>
        <vertAlign val="superscript"/>
        <sz val="10"/>
        <rFont val="Times New Roman"/>
        <family val="1"/>
      </rPr>
      <t>2</t>
    </r>
  </si>
  <si>
    <t>Surface Area per Bag</t>
  </si>
  <si>
    <t>Required No. of Bags (no spare compartments)</t>
  </si>
  <si>
    <t>Final No. of Bags</t>
  </si>
  <si>
    <t>No. of Casings</t>
  </si>
  <si>
    <t>Fabric Filter Dimensions (per Casing)</t>
  </si>
  <si>
    <t xml:space="preserve">      Length</t>
  </si>
  <si>
    <t>Ft</t>
  </si>
  <si>
    <t xml:space="preserve">      Width</t>
  </si>
  <si>
    <t>Capital Cost</t>
  </si>
  <si>
    <t xml:space="preserve">      Fabric Filter</t>
  </si>
  <si>
    <t xml:space="preserve">      Bags</t>
  </si>
  <si>
    <t xml:space="preserve">      Ash Handling System</t>
  </si>
  <si>
    <t xml:space="preserve">      ID Fan(s)</t>
  </si>
  <si>
    <t xml:space="preserve">      Equipment Cost Subtotal</t>
  </si>
  <si>
    <t xml:space="preserve">      Purchased Equipment Cost Subtotal</t>
  </si>
  <si>
    <t xml:space="preserve">      Installation</t>
  </si>
  <si>
    <t xml:space="preserve">      Total Direct Cost with Retrofit Factor</t>
  </si>
  <si>
    <t>O&amp;M Data and Costs</t>
  </si>
  <si>
    <t xml:space="preserve">      Power Required Excluding ID Fan(s)</t>
  </si>
  <si>
    <t xml:space="preserve">      ID Fan Power for FF Delta P</t>
  </si>
  <si>
    <t xml:space="preserve">      Total Power</t>
  </si>
  <si>
    <t xml:space="preserve">      Power Cost  **</t>
  </si>
  <si>
    <t xml:space="preserve">      Maintenance Costs</t>
  </si>
  <si>
    <t xml:space="preserve">      Periodic Replacement Items</t>
  </si>
  <si>
    <t xml:space="preserve">            First Year Cost. Bags Replaced Every</t>
  </si>
  <si>
    <t>ESP</t>
  </si>
  <si>
    <t>Flue Gas, Upstream of ESP</t>
  </si>
  <si>
    <t>Inlet Particulate Loading</t>
  </si>
  <si>
    <t>gr/ft3</t>
  </si>
  <si>
    <t>Overall PM Collection Efficiency</t>
  </si>
  <si>
    <t>h</t>
  </si>
  <si>
    <t>ESP Requirements</t>
  </si>
  <si>
    <t>k</t>
  </si>
  <si>
    <t>dimensionless</t>
  </si>
  <si>
    <r>
      <t>k</t>
    </r>
    <r>
      <rPr>
        <sz val="10"/>
        <rFont val="Times New Roman"/>
        <family val="1"/>
      </rPr>
      <t xml:space="preserve"> = power factor in modified Deustch-Anderson equation</t>
    </r>
  </si>
  <si>
    <t>E</t>
  </si>
  <si>
    <r>
      <t>E</t>
    </r>
    <r>
      <rPr>
        <sz val="10"/>
        <rFont val="Times New Roman"/>
        <family val="1"/>
      </rPr>
      <t xml:space="preserve"> = the strength of the electric field in the ESP</t>
    </r>
  </si>
  <si>
    <t>Ash Composition</t>
  </si>
  <si>
    <t>Na2O</t>
  </si>
  <si>
    <t>wt% in Ash</t>
  </si>
  <si>
    <r>
      <t>weight percent of Na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 in the flyash  -- from coal library</t>
    </r>
  </si>
  <si>
    <t>Fe</t>
  </si>
  <si>
    <r>
      <t>weight percent of Fe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in the flyash  -- from coal library</t>
    </r>
  </si>
  <si>
    <t>MgO</t>
  </si>
  <si>
    <t>weight percent of MgO in the flyash  -- from coal library</t>
  </si>
  <si>
    <t>CaO</t>
  </si>
  <si>
    <t>weight percent of CaO in the flyash  -- from coal library</t>
  </si>
  <si>
    <t>Flue Gas Composition</t>
  </si>
  <si>
    <t>H2O</t>
  </si>
  <si>
    <t>Vol%</t>
  </si>
  <si>
    <r>
      <t>volume percent of 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 in flue gas on a wet basis -- from CUECost combustion calculations</t>
    </r>
  </si>
  <si>
    <t>SO2</t>
  </si>
  <si>
    <t>ppm</t>
  </si>
  <si>
    <r>
      <t>volume percent of SO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in flue gas on a wet basis -- from CUECost combustion calculations</t>
    </r>
  </si>
  <si>
    <t>SO3</t>
  </si>
  <si>
    <r>
      <t>volume percent of SO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in flue gas: </t>
    </r>
    <r>
      <rPr>
        <i/>
        <sz val="10"/>
        <rFont val="Times New Roman"/>
        <family val="1"/>
      </rPr>
      <t>SO3</t>
    </r>
    <r>
      <rPr>
        <sz val="10"/>
        <rFont val="Times New Roman"/>
        <family val="1"/>
      </rPr>
      <t xml:space="preserve"> = 0.74%* </t>
    </r>
    <r>
      <rPr>
        <i/>
        <sz val="10"/>
        <rFont val="Times New Roman"/>
        <family val="1"/>
      </rPr>
      <t>SO2</t>
    </r>
  </si>
  <si>
    <t>Flue Gas Temperature</t>
  </si>
  <si>
    <t>TF</t>
  </si>
  <si>
    <t>flue gas temperature in the ESP (degrees F)</t>
  </si>
  <si>
    <t>TC</t>
  </si>
  <si>
    <t>flue gas temperature in the ESP (degrees C)</t>
  </si>
  <si>
    <t>TK</t>
  </si>
  <si>
    <t>Kelvin</t>
  </si>
  <si>
    <t>flue gas temperature in the ESP (Kelvin); note: the temperature in Kelvin is used in resistivity calculations</t>
  </si>
  <si>
    <t>Resistivity Calculations</t>
  </si>
  <si>
    <t>Volume Resistivity</t>
  </si>
  <si>
    <t>rv1</t>
  </si>
  <si>
    <t>Log10(ohm-cm)</t>
  </si>
  <si>
    <r>
      <t>rv1</t>
    </r>
    <r>
      <rPr>
        <sz val="10"/>
        <rFont val="Times New Roman"/>
        <family val="1"/>
      </rPr>
      <t xml:space="preserve"> = 8.9434 - 1.8916 * Log10(</t>
    </r>
    <r>
      <rPr>
        <i/>
        <sz val="10"/>
        <rFont val="Times New Roman"/>
        <family val="1"/>
      </rPr>
      <t>Na2O</t>
    </r>
    <r>
      <rPr>
        <sz val="10"/>
        <rFont val="Times New Roman"/>
        <family val="1"/>
      </rPr>
      <t>) - 0.9696 * Log10(</t>
    </r>
    <r>
      <rPr>
        <i/>
        <sz val="10"/>
        <rFont val="Times New Roman"/>
        <family val="1"/>
      </rPr>
      <t>Fe</t>
    </r>
    <r>
      <rPr>
        <sz val="10"/>
        <rFont val="Times New Roman"/>
        <family val="1"/>
      </rPr>
      <t>) + 1.237 * (Log10(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>) - Log10(2.5))</t>
    </r>
  </si>
  <si>
    <t>rv2</t>
  </si>
  <si>
    <r>
      <t>rv2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rv1</t>
    </r>
    <r>
      <rPr>
        <sz val="10"/>
        <rFont val="Times New Roman"/>
        <family val="1"/>
      </rPr>
      <t xml:space="preserve"> + (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- 2.0) * (-0.03); note: 0.03 is a correction factor for the electric field</t>
    </r>
  </si>
  <si>
    <t>iv</t>
  </si>
  <si>
    <r>
      <t>iv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rv2</t>
    </r>
    <r>
      <rPr>
        <sz val="10"/>
        <rFont val="Times New Roman"/>
        <family val="1"/>
      </rPr>
      <t xml:space="preserve"> - 4334.5 / 625</t>
    </r>
  </si>
  <si>
    <t>rv</t>
  </si>
  <si>
    <r>
      <t>rv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iv</t>
    </r>
    <r>
      <rPr>
        <sz val="10"/>
        <rFont val="Times New Roman"/>
        <family val="1"/>
      </rPr>
      <t xml:space="preserve"> + 4334.5 / </t>
    </r>
    <r>
      <rPr>
        <i/>
        <sz val="10"/>
        <rFont val="Times New Roman"/>
        <family val="1"/>
      </rPr>
      <t>TK</t>
    </r>
  </si>
  <si>
    <t>rv(TK=1000/2.4)</t>
  </si>
  <si>
    <r>
      <t>rv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iv</t>
    </r>
    <r>
      <rPr>
        <sz val="10"/>
        <rFont val="Times New Roman"/>
        <family val="1"/>
      </rPr>
      <t xml:space="preserve"> + 4334.5 / (1000/2.4)</t>
    </r>
  </si>
  <si>
    <t>ohm-cm</t>
  </si>
  <si>
    <r>
      <t>volume resistivity = 10^</t>
    </r>
    <r>
      <rPr>
        <i/>
        <sz val="10"/>
        <rFont val="Times New Roman"/>
        <family val="1"/>
      </rPr>
      <t>rv</t>
    </r>
  </si>
  <si>
    <t>Surface Resistivity</t>
  </si>
  <si>
    <t>rs1</t>
  </si>
  <si>
    <r>
      <t>rs1</t>
    </r>
    <r>
      <rPr>
        <sz val="10"/>
        <rFont val="Times New Roman"/>
        <family val="1"/>
      </rPr>
      <t xml:space="preserve"> = 10.7737 - 2.2334 * Log10(</t>
    </r>
    <r>
      <rPr>
        <i/>
        <sz val="10"/>
        <rFont val="Times New Roman"/>
        <family val="1"/>
      </rPr>
      <t>Na2O</t>
    </r>
    <r>
      <rPr>
        <sz val="10"/>
        <rFont val="Times New Roman"/>
        <family val="1"/>
      </rPr>
      <t>)</t>
    </r>
  </si>
  <si>
    <t>rs2</t>
  </si>
  <si>
    <r>
      <t>rs2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rs1</t>
    </r>
    <r>
      <rPr>
        <sz val="10"/>
        <rFont val="Times New Roman"/>
        <family val="1"/>
      </rPr>
      <t xml:space="preserve"> + (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- 9.0) * (-0.128)</t>
    </r>
  </si>
  <si>
    <t>rs3</t>
  </si>
  <si>
    <r>
      <t>rs3</t>
    </r>
    <r>
      <rPr>
        <sz val="10"/>
        <rFont val="Times New Roman"/>
        <family val="1"/>
      </rPr>
      <t>:  if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&gt; 10.0 then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rs2</t>
    </r>
    <r>
      <rPr>
        <sz val="10"/>
        <rFont val="Times New Roman"/>
        <family val="1"/>
      </rPr>
      <t xml:space="preserve"> + 0.56 - 0.056 *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else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rs2</t>
    </r>
  </si>
  <si>
    <t>rs4</t>
  </si>
  <si>
    <r>
      <t>rs4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+ (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- 2.0) * (-0.03)</t>
    </r>
  </si>
  <si>
    <t>rs4(with E=12)</t>
  </si>
  <si>
    <r>
      <t>rs4</t>
    </r>
    <r>
      <rPr>
        <sz val="10"/>
        <rFont val="Times New Roman"/>
        <family val="1"/>
      </rPr>
      <t xml:space="preserve">(with E = 12.0) =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+ (12.0 - 2.0) * (-0.03)</t>
    </r>
  </si>
  <si>
    <t>rs0</t>
  </si>
  <si>
    <r>
      <t>rs0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rs4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= 12.0) + Log10(Exp(1)) * 7.3895E-4 * Exp(2303.3 / 385) * </t>
    </r>
    <r>
      <rPr>
        <i/>
        <sz val="10"/>
        <rFont val="Times New Roman"/>
        <family val="1"/>
      </rPr>
      <t>H2O</t>
    </r>
  </si>
  <si>
    <t>rs</t>
  </si>
  <si>
    <r>
      <t>rs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rs0</t>
    </r>
    <r>
      <rPr>
        <sz val="10"/>
        <rFont val="Times New Roman"/>
        <family val="1"/>
      </rPr>
      <t xml:space="preserve"> - Log10(Exp(1)) * 7.3895E-4 * Exp(2303.3 / </t>
    </r>
    <r>
      <rPr>
        <i/>
        <sz val="10"/>
        <rFont val="Times New Roman"/>
        <family val="1"/>
      </rPr>
      <t>TK</t>
    </r>
    <r>
      <rPr>
        <sz val="10"/>
        <rFont val="Times New Roman"/>
        <family val="1"/>
      </rPr>
      <t xml:space="preserve">) * </t>
    </r>
    <r>
      <rPr>
        <i/>
        <sz val="10"/>
        <rFont val="Times New Roman"/>
        <family val="1"/>
      </rPr>
      <t>H2O</t>
    </r>
  </si>
  <si>
    <r>
      <t>surface resistivity = 10^</t>
    </r>
    <r>
      <rPr>
        <i/>
        <sz val="10"/>
        <rFont val="Times New Roman"/>
        <family val="1"/>
      </rPr>
      <t>rs</t>
    </r>
  </si>
  <si>
    <t>rvs1</t>
  </si>
  <si>
    <r>
      <t>rvs1</t>
    </r>
    <r>
      <rPr>
        <sz val="10"/>
        <rFont val="Times New Roman"/>
        <family val="1"/>
      </rPr>
      <t xml:space="preserve"> = 10^(</t>
    </r>
    <r>
      <rPr>
        <i/>
        <sz val="10"/>
        <rFont val="Times New Roman"/>
        <family val="1"/>
      </rPr>
      <t>rv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rs</t>
    </r>
    <r>
      <rPr>
        <sz val="10"/>
        <rFont val="Times New Roman"/>
        <family val="1"/>
      </rPr>
      <t>) / (10^</t>
    </r>
    <r>
      <rPr>
        <i/>
        <sz val="10"/>
        <rFont val="Times New Roman"/>
        <family val="1"/>
      </rPr>
      <t>rv</t>
    </r>
    <r>
      <rPr>
        <sz val="10"/>
        <rFont val="Times New Roman"/>
        <family val="1"/>
      </rPr>
      <t xml:space="preserve"> + 10^</t>
    </r>
    <r>
      <rPr>
        <i/>
        <sz val="10"/>
        <rFont val="Times New Roman"/>
        <family val="1"/>
      </rPr>
      <t>rs</t>
    </r>
    <r>
      <rPr>
        <sz val="10"/>
        <rFont val="Times New Roman"/>
        <family val="1"/>
      </rPr>
      <t>); note:  combined volume and surface resistivity</t>
    </r>
  </si>
  <si>
    <t>rs2(with H2O=10)</t>
  </si>
  <si>
    <r>
      <t>rs2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10) = </t>
    </r>
    <r>
      <rPr>
        <i/>
        <sz val="10"/>
        <rFont val="Times New Roman"/>
        <family val="1"/>
      </rPr>
      <t>rs1</t>
    </r>
    <r>
      <rPr>
        <sz val="10"/>
        <rFont val="Times New Roman"/>
        <family val="1"/>
      </rPr>
      <t xml:space="preserve"> + (10 - 9.0) * (-0.128)</t>
    </r>
  </si>
  <si>
    <t>rs3(with H2O=10)</t>
  </si>
  <si>
    <r>
      <t>rs3</t>
    </r>
    <r>
      <rPr>
        <sz val="10"/>
        <rFont val="Times New Roman"/>
        <family val="1"/>
      </rPr>
      <t>(with</t>
    </r>
    <r>
      <rPr>
        <i/>
        <sz val="10"/>
        <rFont val="Times New Roman"/>
        <family val="1"/>
      </rPr>
      <t xml:space="preserve"> H2O </t>
    </r>
    <r>
      <rPr>
        <sz val="10"/>
        <rFont val="Times New Roman"/>
        <family val="1"/>
      </rPr>
      <t>= 10):  if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&gt; 10.0 then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rs2(</t>
    </r>
    <r>
      <rPr>
        <sz val="10"/>
        <rFont val="Times New Roman"/>
        <family val="1"/>
      </rPr>
      <t>with</t>
    </r>
    <r>
      <rPr>
        <i/>
        <sz val="10"/>
        <rFont val="Times New Roman"/>
        <family val="1"/>
      </rPr>
      <t xml:space="preserve"> H2O</t>
    </r>
    <r>
      <rPr>
        <sz val="10"/>
        <rFont val="Times New Roman"/>
        <family val="1"/>
      </rPr>
      <t>=10</t>
    </r>
    <r>
      <rPr>
        <i/>
        <sz val="10"/>
        <rFont val="Times New Roman"/>
        <family val="1"/>
      </rPr>
      <t>)</t>
    </r>
    <r>
      <rPr>
        <sz val="10"/>
        <rFont val="Times New Roman"/>
        <family val="1"/>
      </rPr>
      <t xml:space="preserve"> + 0.56 - 0.056 *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else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rs2(</t>
    </r>
    <r>
      <rPr>
        <sz val="10"/>
        <rFont val="Times New Roman"/>
        <family val="1"/>
      </rPr>
      <t xml:space="preserve">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>=10</t>
    </r>
    <r>
      <rPr>
        <i/>
        <sz val="10"/>
        <rFont val="Times New Roman"/>
        <family val="1"/>
      </rPr>
      <t>)</t>
    </r>
  </si>
  <si>
    <t>rs4(with H2O = 10)</t>
  </si>
  <si>
    <r>
      <t>rs4</t>
    </r>
    <r>
      <rPr>
        <sz val="10"/>
        <rFont val="Times New Roman"/>
        <family val="1"/>
      </rPr>
      <t>(with</t>
    </r>
    <r>
      <rPr>
        <i/>
        <sz val="10"/>
        <rFont val="Times New Roman"/>
        <family val="1"/>
      </rPr>
      <t xml:space="preserve"> H2O</t>
    </r>
    <r>
      <rPr>
        <sz val="10"/>
        <rFont val="Times New Roman"/>
        <family val="1"/>
      </rPr>
      <t xml:space="preserve"> = 10) = </t>
    </r>
    <r>
      <rPr>
        <i/>
        <sz val="10"/>
        <rFont val="Times New Roman"/>
        <family val="1"/>
      </rPr>
      <t>rs3(</t>
    </r>
    <r>
      <rPr>
        <sz val="10"/>
        <rFont val="Times New Roman"/>
        <family val="1"/>
      </rPr>
      <t>with</t>
    </r>
    <r>
      <rPr>
        <i/>
        <sz val="10"/>
        <rFont val="Times New Roman"/>
        <family val="1"/>
      </rPr>
      <t xml:space="preserve"> H2O</t>
    </r>
    <r>
      <rPr>
        <sz val="10"/>
        <rFont val="Times New Roman"/>
        <family val="1"/>
      </rPr>
      <t xml:space="preserve"> = 10) + (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- 2.0) * (-0.03)</t>
    </r>
  </si>
  <si>
    <t>rs4(with H2O = 10, E = 12)</t>
  </si>
  <si>
    <r>
      <t>rs4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10, with 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= 12.0) = </t>
    </r>
    <r>
      <rPr>
        <i/>
        <sz val="10"/>
        <rFont val="Times New Roman"/>
        <family val="1"/>
      </rPr>
      <t>rs3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>=10) + (12.0 - 2.0) * (-0.03)</t>
    </r>
  </si>
  <si>
    <t>rs0(with H2O = 10)</t>
  </si>
  <si>
    <r>
      <t>rs0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rs4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10, with </t>
    </r>
    <r>
      <rPr>
        <i/>
        <sz val="10"/>
        <rFont val="Times New Roman"/>
        <family val="1"/>
      </rPr>
      <t>E</t>
    </r>
    <r>
      <rPr>
        <sz val="10"/>
        <rFont val="Times New Roman"/>
        <family val="1"/>
      </rPr>
      <t xml:space="preserve"> = 12.0) + Log10(Exp(1)) * 7.3895E-4 * Exp(2303.3 / 385) * 10</t>
    </r>
  </si>
  <si>
    <t>rs(with H2O = 10, TK = 1000/2.4)</t>
  </si>
  <si>
    <r>
      <t>rs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10, </t>
    </r>
    <r>
      <rPr>
        <i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 1000/2.4) = </t>
    </r>
    <r>
      <rPr>
        <i/>
        <sz val="10"/>
        <rFont val="Times New Roman"/>
        <family val="1"/>
      </rPr>
      <t>rs0</t>
    </r>
    <r>
      <rPr>
        <sz val="10"/>
        <rFont val="Times New Roman"/>
        <family val="1"/>
      </rPr>
      <t xml:space="preserve"> 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10) - Log10(Exp(1)) * 7.3895E-4 * Exp(2303.3 / (1000/2.4)) * 10</t>
    </r>
  </si>
  <si>
    <t>rvs1(with H2O=10, TK = 1000/2.4)</t>
  </si>
  <si>
    <r>
      <t>rvs1</t>
    </r>
    <r>
      <rPr>
        <sz val="10"/>
        <rFont val="Times New Roman"/>
        <family val="1"/>
      </rPr>
      <t xml:space="preserve"> = 10^(</t>
    </r>
    <r>
      <rPr>
        <i/>
        <sz val="10"/>
        <rFont val="Times New Roman"/>
        <family val="1"/>
      </rPr>
      <t>rv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rs</t>
    </r>
    <r>
      <rPr>
        <sz val="10"/>
        <rFont val="Times New Roman"/>
        <family val="1"/>
      </rPr>
      <t>) / (10^</t>
    </r>
    <r>
      <rPr>
        <i/>
        <sz val="10"/>
        <rFont val="Times New Roman"/>
        <family val="1"/>
      </rPr>
      <t>rv</t>
    </r>
    <r>
      <rPr>
        <sz val="10"/>
        <rFont val="Times New Roman"/>
        <family val="1"/>
      </rPr>
      <t xml:space="preserve"> + 10^</t>
    </r>
    <r>
      <rPr>
        <i/>
        <sz val="10"/>
        <rFont val="Times New Roman"/>
        <family val="1"/>
      </rPr>
      <t>rs</t>
    </r>
    <r>
      <rPr>
        <sz val="10"/>
        <rFont val="Times New Roman"/>
        <family val="1"/>
      </rPr>
      <t>)</t>
    </r>
  </si>
  <si>
    <t>rvs2</t>
  </si>
  <si>
    <r>
      <t>rvs2</t>
    </r>
    <r>
      <rPr>
        <sz val="10"/>
        <rFont val="Times New Roman"/>
        <family val="1"/>
      </rPr>
      <t xml:space="preserve"> = Log10(</t>
    </r>
    <r>
      <rPr>
        <i/>
        <sz val="10"/>
        <rFont val="Times New Roman"/>
        <family val="1"/>
      </rPr>
      <t>rvs1</t>
    </r>
    <r>
      <rPr>
        <sz val="10"/>
        <rFont val="Times New Roman"/>
        <family val="1"/>
      </rPr>
      <t xml:space="preserve">(with </t>
    </r>
    <r>
      <rPr>
        <i/>
        <sz val="10"/>
        <rFont val="Times New Roman"/>
        <family val="1"/>
      </rPr>
      <t>H2O</t>
    </r>
    <r>
      <rPr>
        <sz val="10"/>
        <rFont val="Times New Roman"/>
        <family val="1"/>
      </rPr>
      <t xml:space="preserve"> = 10 and </t>
    </r>
    <r>
      <rPr>
        <i/>
        <sz val="10"/>
        <rFont val="Times New Roman"/>
        <family val="1"/>
      </rPr>
      <t>TK</t>
    </r>
    <r>
      <rPr>
        <sz val="10"/>
        <rFont val="Times New Roman"/>
        <family val="1"/>
      </rPr>
      <t xml:space="preserve"> = 1000/2.4)) + (-8) * (-0.03)</t>
    </r>
  </si>
  <si>
    <t>Acid Resistivity</t>
  </si>
  <si>
    <t>ia1</t>
  </si>
  <si>
    <r>
      <t>ia1</t>
    </r>
    <r>
      <rPr>
        <sz val="10"/>
        <rFont val="Times New Roman"/>
        <family val="1"/>
      </rPr>
      <t>:  if ((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&lt; 5 and </t>
    </r>
    <r>
      <rPr>
        <i/>
        <sz val="10"/>
        <rFont val="Times New Roman"/>
        <family val="1"/>
      </rPr>
      <t>Fe</t>
    </r>
    <r>
      <rPr>
        <sz val="10"/>
        <rFont val="Times New Roman"/>
        <family val="1"/>
      </rPr>
      <t xml:space="preserve"> &lt; 1) then </t>
    </r>
    <r>
      <rPr>
        <i/>
        <sz val="10"/>
        <rFont val="Times New Roman"/>
        <family val="1"/>
      </rPr>
      <t>ia1</t>
    </r>
    <r>
      <rPr>
        <sz val="10"/>
        <rFont val="Times New Roman"/>
        <family val="1"/>
      </rPr>
      <t xml:space="preserve"> = 2.6354 else </t>
    </r>
    <r>
      <rPr>
        <i/>
        <sz val="10"/>
        <rFont val="Times New Roman"/>
        <family val="1"/>
      </rPr>
      <t>ia1</t>
    </r>
    <r>
      <rPr>
        <sz val="10"/>
        <rFont val="Times New Roman"/>
        <family val="1"/>
      </rPr>
      <t xml:space="preserve"> = 0.2915</t>
    </r>
  </si>
  <si>
    <t>ra1</t>
  </si>
  <si>
    <r>
      <t>ra1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ia1</t>
    </r>
    <r>
      <rPr>
        <sz val="10"/>
        <rFont val="Times New Roman"/>
        <family val="1"/>
      </rPr>
      <t xml:space="preserve"> + 0.7669 * </t>
    </r>
    <r>
      <rPr>
        <i/>
        <sz val="10"/>
        <rFont val="Times New Roman"/>
        <family val="1"/>
      </rPr>
      <t>rvs2</t>
    </r>
  </si>
  <si>
    <t>sa</t>
  </si>
  <si>
    <r>
      <t>sa</t>
    </r>
    <r>
      <rPr>
        <sz val="10"/>
        <rFont val="Times New Roman"/>
        <family val="1"/>
      </rPr>
      <t>:  if ((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&lt; 5 and </t>
    </r>
    <r>
      <rPr>
        <i/>
        <sz val="10"/>
        <rFont val="Times New Roman"/>
        <family val="1"/>
      </rPr>
      <t>Fe</t>
    </r>
    <r>
      <rPr>
        <sz val="10"/>
        <rFont val="Times New Roman"/>
        <family val="1"/>
      </rPr>
      <t xml:space="preserve"> &lt; 1) then </t>
    </r>
    <r>
      <rPr>
        <i/>
        <sz val="10"/>
        <rFont val="Times New Roman"/>
        <family val="1"/>
      </rPr>
      <t>sa</t>
    </r>
    <r>
      <rPr>
        <sz val="10"/>
        <rFont val="Times New Roman"/>
        <family val="1"/>
      </rPr>
      <t xml:space="preserve"> = -5.0 else </t>
    </r>
    <r>
      <rPr>
        <i/>
        <sz val="10"/>
        <rFont val="Times New Roman"/>
        <family val="1"/>
      </rPr>
      <t>sa</t>
    </r>
    <r>
      <rPr>
        <sz val="10"/>
        <rFont val="Times New Roman"/>
        <family val="1"/>
      </rPr>
      <t xml:space="preserve"> = -2.0502</t>
    </r>
  </si>
  <si>
    <t>ia2</t>
  </si>
  <si>
    <r>
      <t>ia2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ra1</t>
    </r>
    <r>
      <rPr>
        <sz val="10"/>
        <rFont val="Times New Roman"/>
        <family val="1"/>
      </rPr>
      <t xml:space="preserve"> - </t>
    </r>
    <r>
      <rPr>
        <i/>
        <sz val="10"/>
        <rFont val="Times New Roman"/>
        <family val="1"/>
      </rPr>
      <t>sa</t>
    </r>
    <r>
      <rPr>
        <sz val="10"/>
        <rFont val="Times New Roman"/>
        <family val="1"/>
      </rPr>
      <t>*Log10(4)</t>
    </r>
  </si>
  <si>
    <t>ra2</t>
  </si>
  <si>
    <r>
      <t>ra2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ia2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sa</t>
    </r>
    <r>
      <rPr>
        <sz val="10"/>
        <rFont val="Times New Roman"/>
        <family val="1"/>
      </rPr>
      <t>*Log10(</t>
    </r>
    <r>
      <rPr>
        <i/>
        <sz val="10"/>
        <rFont val="Times New Roman"/>
        <family val="1"/>
      </rPr>
      <t>SO3</t>
    </r>
    <r>
      <rPr>
        <sz val="10"/>
        <rFont val="Times New Roman"/>
        <family val="1"/>
      </rPr>
      <t>)</t>
    </r>
  </si>
  <si>
    <t>acid_v</t>
  </si>
  <si>
    <t>index value</t>
  </si>
  <si>
    <r>
      <t>acid_v</t>
    </r>
    <r>
      <rPr>
        <sz val="10"/>
        <rFont val="Times New Roman"/>
        <family val="1"/>
      </rPr>
      <t xml:space="preserve">:  if </t>
    </r>
    <r>
      <rPr>
        <i/>
        <sz val="10"/>
        <rFont val="Times New Roman"/>
        <family val="1"/>
      </rPr>
      <t>SO3</t>
    </r>
    <r>
      <rPr>
        <sz val="10"/>
        <rFont val="Times New Roman"/>
        <family val="1"/>
      </rPr>
      <t xml:space="preserve"> &lt; 2.75 then </t>
    </r>
    <r>
      <rPr>
        <i/>
        <sz val="10"/>
        <rFont val="Times New Roman"/>
        <family val="1"/>
      </rPr>
      <t>acid_v</t>
    </r>
    <r>
      <rPr>
        <sz val="10"/>
        <rFont val="Times New Roman"/>
        <family val="1"/>
      </rPr>
      <t xml:space="preserve"> = 1, else if </t>
    </r>
    <r>
      <rPr>
        <i/>
        <sz val="10"/>
        <rFont val="Times New Roman"/>
        <family val="1"/>
      </rPr>
      <t>SO3</t>
    </r>
    <r>
      <rPr>
        <sz val="10"/>
        <rFont val="Times New Roman"/>
        <family val="1"/>
      </rPr>
      <t xml:space="preserve"> &gt; 6.5 then </t>
    </r>
    <r>
      <rPr>
        <i/>
        <sz val="10"/>
        <rFont val="Times New Roman"/>
        <family val="1"/>
      </rPr>
      <t>acid_v</t>
    </r>
    <r>
      <rPr>
        <sz val="10"/>
        <rFont val="Times New Roman"/>
        <family val="1"/>
      </rPr>
      <t xml:space="preserve"> = 3, else </t>
    </r>
    <r>
      <rPr>
        <i/>
        <sz val="10"/>
        <rFont val="Times New Roman"/>
        <family val="1"/>
      </rPr>
      <t>acid_v</t>
    </r>
    <r>
      <rPr>
        <sz val="10"/>
        <rFont val="Times New Roman"/>
        <family val="1"/>
      </rPr>
      <t xml:space="preserve"> = 2</t>
    </r>
  </si>
  <si>
    <t>atom_v</t>
  </si>
  <si>
    <r>
      <t>atom_v</t>
    </r>
    <r>
      <rPr>
        <sz val="10"/>
        <rFont val="Times New Roman"/>
        <family val="1"/>
      </rPr>
      <t>:  if (</t>
    </r>
    <r>
      <rPr>
        <i/>
        <sz val="10"/>
        <rFont val="Times New Roman"/>
        <family val="1"/>
      </rPr>
      <t>Na2O</t>
    </r>
    <r>
      <rPr>
        <sz val="10"/>
        <rFont val="Times New Roman"/>
        <family val="1"/>
      </rPr>
      <t xml:space="preserve"> &gt; 1 and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&gt; 5) then </t>
    </r>
    <r>
      <rPr>
        <i/>
        <sz val="10"/>
        <rFont val="Times New Roman"/>
        <family val="1"/>
      </rPr>
      <t>atom_v</t>
    </r>
    <r>
      <rPr>
        <sz val="10"/>
        <rFont val="Times New Roman"/>
        <family val="1"/>
      </rPr>
      <t xml:space="preserve"> = 1, else if (</t>
    </r>
    <r>
      <rPr>
        <i/>
        <sz val="10"/>
        <rFont val="Times New Roman"/>
        <family val="1"/>
      </rPr>
      <t>Fe</t>
    </r>
    <r>
      <rPr>
        <sz val="10"/>
        <rFont val="Times New Roman"/>
        <family val="1"/>
      </rPr>
      <t xml:space="preserve"> &lt; 1 and (</t>
    </r>
    <r>
      <rPr>
        <i/>
        <sz val="10"/>
        <rFont val="Times New Roman"/>
        <family val="1"/>
      </rPr>
      <t>MgO + CaO</t>
    </r>
    <r>
      <rPr>
        <sz val="10"/>
        <rFont val="Times New Roman"/>
        <family val="1"/>
      </rPr>
      <t xml:space="preserve">) &lt; 3 then </t>
    </r>
    <r>
      <rPr>
        <i/>
        <sz val="10"/>
        <rFont val="Times New Roman"/>
        <family val="1"/>
      </rPr>
      <t>atom_v</t>
    </r>
    <r>
      <rPr>
        <sz val="10"/>
        <rFont val="Times New Roman"/>
        <family val="1"/>
      </rPr>
      <t xml:space="preserve"> = 2, else </t>
    </r>
    <r>
      <rPr>
        <i/>
        <sz val="10"/>
        <rFont val="Times New Roman"/>
        <family val="1"/>
      </rPr>
      <t>atom_v</t>
    </r>
    <r>
      <rPr>
        <sz val="10"/>
        <rFont val="Times New Roman"/>
        <family val="1"/>
      </rPr>
      <t xml:space="preserve"> = 3</t>
    </r>
  </si>
  <si>
    <t>sa1</t>
  </si>
  <si>
    <r>
      <t>sa1</t>
    </r>
    <r>
      <rPr>
        <sz val="10"/>
        <rFont val="Times New Roman"/>
        <family val="1"/>
      </rPr>
      <t xml:space="preserve"> = Lookup (</t>
    </r>
    <r>
      <rPr>
        <i/>
        <sz val="10"/>
        <rFont val="Times New Roman"/>
        <family val="1"/>
      </rPr>
      <t>acid_v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atom_v</t>
    </r>
    <r>
      <rPr>
        <sz val="10"/>
        <rFont val="Times New Roman"/>
        <family val="1"/>
      </rPr>
      <t>); note: the lookup table is located below</t>
    </r>
  </si>
  <si>
    <t>ia3</t>
  </si>
  <si>
    <r>
      <t>ia3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ra2</t>
    </r>
    <r>
      <rPr>
        <sz val="10"/>
        <rFont val="Times New Roman"/>
        <family val="1"/>
      </rPr>
      <t xml:space="preserve"> - </t>
    </r>
    <r>
      <rPr>
        <i/>
        <sz val="10"/>
        <rFont val="Times New Roman"/>
        <family val="1"/>
      </rPr>
      <t>sa1</t>
    </r>
    <r>
      <rPr>
        <sz val="10"/>
        <rFont val="Times New Roman"/>
        <family val="1"/>
      </rPr>
      <t xml:space="preserve"> * 2.4</t>
    </r>
  </si>
  <si>
    <t>ra3</t>
  </si>
  <si>
    <r>
      <t>ra3</t>
    </r>
    <r>
      <rPr>
        <sz val="10"/>
        <rFont val="Times New Roman"/>
        <family val="1"/>
      </rPr>
      <t xml:space="preserve"> = </t>
    </r>
    <r>
      <rPr>
        <i/>
        <sz val="10"/>
        <rFont val="Times New Roman"/>
        <family val="1"/>
      </rPr>
      <t>ia3</t>
    </r>
    <r>
      <rPr>
        <sz val="10"/>
        <rFont val="Times New Roman"/>
        <family val="1"/>
      </rPr>
      <t xml:space="preserve"> + </t>
    </r>
    <r>
      <rPr>
        <i/>
        <sz val="10"/>
        <rFont val="Times New Roman"/>
        <family val="1"/>
      </rPr>
      <t>sa1</t>
    </r>
    <r>
      <rPr>
        <sz val="10"/>
        <rFont val="Times New Roman"/>
        <family val="1"/>
      </rPr>
      <t xml:space="preserve"> * 1000 / </t>
    </r>
    <r>
      <rPr>
        <i/>
        <sz val="10"/>
        <rFont val="Times New Roman"/>
        <family val="1"/>
      </rPr>
      <t>TK</t>
    </r>
  </si>
  <si>
    <t>ra</t>
  </si>
  <si>
    <r>
      <t>ra</t>
    </r>
    <r>
      <rPr>
        <sz val="10"/>
        <rFont val="Times New Roman"/>
        <family val="1"/>
      </rPr>
      <t xml:space="preserve"> = 1.95 + 0.76 * </t>
    </r>
    <r>
      <rPr>
        <i/>
        <sz val="10"/>
        <rFont val="Times New Roman"/>
        <family val="1"/>
      </rPr>
      <t>ra3</t>
    </r>
  </si>
  <si>
    <r>
      <t>acid resistivity = 10^</t>
    </r>
    <r>
      <rPr>
        <i/>
        <sz val="10"/>
        <rFont val="Times New Roman"/>
        <family val="1"/>
      </rPr>
      <t>ra</t>
    </r>
  </si>
  <si>
    <t>Total Resistivity</t>
  </si>
  <si>
    <t>rvsa</t>
  </si>
  <si>
    <r>
      <t>rvsa</t>
    </r>
    <r>
      <rPr>
        <sz val="10"/>
        <rFont val="Times New Roman"/>
        <family val="1"/>
      </rPr>
      <t xml:space="preserve"> = 10^(rv + rs + ra)/(10^rv * 10^rs + 10^rv * 10^ra + 10^rs * 10_ra)</t>
    </r>
  </si>
  <si>
    <t>Migration Velocity</t>
  </si>
  <si>
    <r>
      <t>w</t>
    </r>
    <r>
      <rPr>
        <i/>
        <vertAlign val="subscript"/>
        <sz val="10"/>
        <rFont val="Times New Roman"/>
        <family val="1"/>
      </rPr>
      <t>k</t>
    </r>
  </si>
  <si>
    <t>1000ft/minute</t>
  </si>
  <si>
    <r>
      <t>w</t>
    </r>
    <r>
      <rPr>
        <i/>
        <vertAlign val="subscript"/>
        <sz val="10"/>
        <rFont val="Times New Roman"/>
        <family val="1"/>
      </rPr>
      <t>k</t>
    </r>
    <r>
      <rPr>
        <sz val="10"/>
        <rFont val="Times New Roman"/>
        <family val="1"/>
      </rPr>
      <t xml:space="preserve"> = 0.1232972 - 0.003323934*ln(</t>
    </r>
    <r>
      <rPr>
        <i/>
        <sz val="10"/>
        <rFont val="Times New Roman"/>
        <family val="1"/>
      </rPr>
      <t>rvsa</t>
    </r>
    <r>
      <rPr>
        <sz val="10"/>
        <rFont val="Times New Roman"/>
        <family val="1"/>
      </rPr>
      <t>)</t>
    </r>
  </si>
  <si>
    <t>Specific Collection Area</t>
  </si>
  <si>
    <t>SCA</t>
  </si>
  <si>
    <r>
      <t>ft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/1000acfm</t>
    </r>
  </si>
  <si>
    <r>
      <t>SCA</t>
    </r>
    <r>
      <rPr>
        <sz val="10"/>
        <rFont val="Times New Roman"/>
        <family val="1"/>
      </rPr>
      <t xml:space="preserve"> = (-ln(1 - </t>
    </r>
    <r>
      <rPr>
        <sz val="10"/>
        <rFont val="Symbol"/>
        <family val="1"/>
        <charset val="2"/>
      </rPr>
      <t>h</t>
    </r>
    <r>
      <rPr>
        <sz val="10"/>
        <rFont val="Times New Roman"/>
        <family val="1"/>
      </rPr>
      <t>))^(1/</t>
    </r>
    <r>
      <rPr>
        <i/>
        <sz val="10"/>
        <rFont val="Times New Roman"/>
        <family val="1"/>
      </rPr>
      <t>k</t>
    </r>
    <r>
      <rPr>
        <sz val="10"/>
        <rFont val="Times New Roman"/>
        <family val="1"/>
      </rPr>
      <t xml:space="preserve">) / </t>
    </r>
    <r>
      <rPr>
        <i/>
        <sz val="10"/>
        <rFont val="Times New Roman"/>
        <family val="1"/>
      </rPr>
      <t>w</t>
    </r>
    <r>
      <rPr>
        <i/>
        <vertAlign val="subscript"/>
        <sz val="10"/>
        <rFont val="Times New Roman"/>
        <family val="1"/>
      </rPr>
      <t>k</t>
    </r>
  </si>
  <si>
    <t xml:space="preserve">      Total Collector Plate Area</t>
  </si>
  <si>
    <r>
      <t>ft</t>
    </r>
    <r>
      <rPr>
        <vertAlign val="superscript"/>
        <sz val="10"/>
        <rFont val="Times New Roman"/>
        <family val="1"/>
      </rPr>
      <t>2</t>
    </r>
  </si>
  <si>
    <t xml:space="preserve">      ESP Footprint Area</t>
  </si>
  <si>
    <t xml:space="preserve">      ESP</t>
  </si>
  <si>
    <t>PRELIMINARY VERSION</t>
  </si>
  <si>
    <t>COAL ANALYSIS LIBRARY</t>
  </si>
  <si>
    <t>Index Number</t>
  </si>
  <si>
    <t>Coal Name</t>
  </si>
  <si>
    <t>Wyoming PRB</t>
  </si>
  <si>
    <t>Armstrong, PA</t>
  </si>
  <si>
    <t>Jefferson, OH</t>
  </si>
  <si>
    <t>Logan, WV</t>
  </si>
  <si>
    <t>No. 6 Illinois</t>
  </si>
  <si>
    <t>Rosebud, MT</t>
  </si>
  <si>
    <t>Lignite, ND</t>
  </si>
  <si>
    <t>"User Specified"</t>
  </si>
  <si>
    <t>Coal Cost</t>
  </si>
  <si>
    <t>PROXIMATE ANALYSIS (ASTM, as rec'd)</t>
  </si>
  <si>
    <t xml:space="preserve">     Moisture - Enter below in Ultimate Analysis</t>
  </si>
  <si>
    <t>Total Collection Plate Area</t>
  </si>
  <si>
    <t xml:space="preserve">     Volatile Matter</t>
  </si>
  <si>
    <t>wt%</t>
  </si>
  <si>
    <t xml:space="preserve">     Fixed Carbon</t>
  </si>
  <si>
    <t xml:space="preserve">     Ash - Enter below in Ultimate Analysis</t>
  </si>
  <si>
    <t>Current</t>
  </si>
  <si>
    <t>Previous</t>
  </si>
  <si>
    <t>Raytheon</t>
  </si>
  <si>
    <t>COAL ULTIMATE ANALYSIS (ASTM, as rec'd)</t>
  </si>
  <si>
    <t xml:space="preserve">     Moisture</t>
  </si>
  <si>
    <t xml:space="preserve">     Carbon</t>
  </si>
  <si>
    <t xml:space="preserve">     Hydrogen </t>
  </si>
  <si>
    <t xml:space="preserve">     Nitrogen</t>
  </si>
  <si>
    <t xml:space="preserve">     Chlorine</t>
  </si>
  <si>
    <t xml:space="preserve">     Sulfur</t>
  </si>
  <si>
    <t xml:space="preserve">     Ash</t>
  </si>
  <si>
    <t xml:space="preserve">     Oxygen</t>
  </si>
  <si>
    <r>
      <t xml:space="preserve">Modified Mott Spooner HHV (Btu/lb) - </t>
    </r>
    <r>
      <rPr>
        <b/>
        <i/>
        <sz val="8"/>
        <rFont val="Times New Roman"/>
        <family val="1"/>
      </rPr>
      <t>calc</t>
    </r>
  </si>
  <si>
    <t>Btu/lb</t>
  </si>
  <si>
    <t>COAL ASH ANALYSIS (ASTM, as rec'd)</t>
  </si>
  <si>
    <t xml:space="preserve">     SiO2</t>
  </si>
  <si>
    <t xml:space="preserve">     Al2O3</t>
  </si>
  <si>
    <t xml:space="preserve">     TiO2</t>
  </si>
  <si>
    <t xml:space="preserve">     Fe2O3</t>
  </si>
  <si>
    <t xml:space="preserve">     CaO</t>
  </si>
  <si>
    <t xml:space="preserve">     MgO</t>
  </si>
  <si>
    <t xml:space="preserve">     Na2O</t>
  </si>
  <si>
    <t xml:space="preserve">     K2O</t>
  </si>
  <si>
    <t xml:space="preserve">     P2O5</t>
  </si>
  <si>
    <t xml:space="preserve">     SO3</t>
  </si>
  <si>
    <t xml:space="preserve">     Other Unaccounted for</t>
  </si>
  <si>
    <t>LIMESTONE ANALYSIS</t>
  </si>
  <si>
    <t xml:space="preserve">        CaCO3 =</t>
  </si>
  <si>
    <t xml:space="preserve">        CaO =</t>
  </si>
  <si>
    <t xml:space="preserve">        Ca(OH)2 =</t>
  </si>
  <si>
    <t xml:space="preserve">        CaSO4 =</t>
  </si>
  <si>
    <t xml:space="preserve">        MgCO3 =</t>
  </si>
  <si>
    <t xml:space="preserve">        MgO =</t>
  </si>
  <si>
    <t xml:space="preserve">        Mg(OH)2 =</t>
  </si>
  <si>
    <t xml:space="preserve">        SiO2 =</t>
  </si>
  <si>
    <t xml:space="preserve">        Al2O3 =</t>
  </si>
  <si>
    <t xml:space="preserve">        Fe2O3 =</t>
  </si>
  <si>
    <t xml:space="preserve">        Na2O =</t>
  </si>
  <si>
    <t xml:space="preserve">        K2O =</t>
  </si>
  <si>
    <t xml:space="preserve">        TiO2 =</t>
  </si>
  <si>
    <t xml:space="preserve">        P2O5 =</t>
  </si>
  <si>
    <t xml:space="preserve">        SO3 =</t>
  </si>
  <si>
    <t xml:space="preserve">        CO2 =</t>
  </si>
  <si>
    <t xml:space="preserve">        H2O =</t>
  </si>
  <si>
    <t xml:space="preserve">        Unknown =</t>
  </si>
  <si>
    <t xml:space="preserve">        TOTAL =</t>
  </si>
  <si>
    <t>LIME ANALYSIS</t>
  </si>
  <si>
    <t>Recycle Rate Lookup Table</t>
  </si>
  <si>
    <t>% S</t>
  </si>
  <si>
    <t>lb recyle/lb lime</t>
  </si>
  <si>
    <t>MOLECULAR WEIGHTS</t>
  </si>
  <si>
    <t>Variable</t>
  </si>
  <si>
    <t>Molecular</t>
  </si>
  <si>
    <t>Name</t>
  </si>
  <si>
    <t>Weight</t>
  </si>
  <si>
    <t>Air</t>
  </si>
  <si>
    <t>Air_MolWt</t>
  </si>
  <si>
    <t>H2O_MolWt</t>
  </si>
  <si>
    <t>C</t>
  </si>
  <si>
    <t>C_MolWt</t>
  </si>
  <si>
    <t>H2</t>
  </si>
  <si>
    <t>H2_MolWt</t>
  </si>
  <si>
    <t>N2</t>
  </si>
  <si>
    <t>N2_MolWt</t>
  </si>
  <si>
    <t>Cl2</t>
  </si>
  <si>
    <t>Cl2_MolWt</t>
  </si>
  <si>
    <t>S</t>
  </si>
  <si>
    <t>S_MolWt</t>
  </si>
  <si>
    <t>Ash</t>
  </si>
  <si>
    <t>Ash_MolWt</t>
  </si>
  <si>
    <t>O2</t>
  </si>
  <si>
    <t>O2_MolWt</t>
  </si>
  <si>
    <t>Ca</t>
  </si>
  <si>
    <t>Ca_MolWt</t>
  </si>
  <si>
    <t>Mg</t>
  </si>
  <si>
    <t>Mg_MolWt</t>
  </si>
  <si>
    <t>CO2</t>
  </si>
  <si>
    <t>CO2_MolWt</t>
  </si>
  <si>
    <t>NO2</t>
  </si>
  <si>
    <t>NO2_MolWt</t>
  </si>
  <si>
    <t xml:space="preserve">NO </t>
  </si>
  <si>
    <t>NO_MolWt</t>
  </si>
  <si>
    <t>HCl</t>
  </si>
  <si>
    <t>HCl_MolWt</t>
  </si>
  <si>
    <t>SO2_MolWt</t>
  </si>
  <si>
    <t>SO3_MolWt</t>
  </si>
  <si>
    <t>CaCO3</t>
  </si>
  <si>
    <t>CaCO3_MolWt</t>
  </si>
  <si>
    <t>CaSO4</t>
  </si>
  <si>
    <t>CaSO4_MolWt</t>
  </si>
  <si>
    <t>CaO_MolWt</t>
  </si>
  <si>
    <t>Ca(OH)2</t>
  </si>
  <si>
    <t>Ca_OH_2_MolWt</t>
  </si>
  <si>
    <t>CaSO3*½H2O</t>
  </si>
  <si>
    <t>CaSO3halfH2O_MolWt</t>
  </si>
  <si>
    <t>CaSO4*2 H2O (gypsum)</t>
  </si>
  <si>
    <t>CaSO4_2H2O_MolWt</t>
  </si>
  <si>
    <t>Na</t>
  </si>
  <si>
    <t>Na_MolWt</t>
  </si>
  <si>
    <t>Na2CO3</t>
  </si>
  <si>
    <t>Na2CO3_MolWt</t>
  </si>
  <si>
    <t>H2SO4</t>
  </si>
  <si>
    <t>H2SO4_MolWt</t>
  </si>
  <si>
    <t>CH4</t>
  </si>
  <si>
    <t>CH4_MolWt</t>
  </si>
  <si>
    <t xml:space="preserve">    CaCl2</t>
  </si>
  <si>
    <t xml:space="preserve">    CaCl2_MolWt</t>
  </si>
  <si>
    <t>WATER SATURATION PRESSURES</t>
  </si>
  <si>
    <t>Pressure</t>
  </si>
  <si>
    <t>Temperature, °F</t>
  </si>
  <si>
    <t>" HgA</t>
  </si>
  <si>
    <t>psia</t>
  </si>
  <si>
    <t>SATURATION (ASME)</t>
  </si>
  <si>
    <t>Saturation</t>
  </si>
  <si>
    <t>Water</t>
  </si>
  <si>
    <t>Steam</t>
  </si>
  <si>
    <t>Temperature</t>
  </si>
  <si>
    <t>Enthalpy</t>
  </si>
  <si>
    <t>Pressure (psia)</t>
  </si>
  <si>
    <t>(°F)</t>
  </si>
  <si>
    <t>(Btu/lb)</t>
  </si>
  <si>
    <t>Index</t>
  </si>
  <si>
    <t xml:space="preserve">  Heat Capacity Results; Used in Efficiency Calculations</t>
  </si>
  <si>
    <t>Case 1</t>
  </si>
  <si>
    <t>O2 -  Based on °K</t>
  </si>
  <si>
    <t>CO2 - Based on °K</t>
  </si>
  <si>
    <t>N2 -  Based on °K</t>
  </si>
  <si>
    <t>H2O - Based on °C</t>
  </si>
  <si>
    <t>NO  - Based on °C</t>
  </si>
  <si>
    <t>SO2 - Based on °C</t>
  </si>
  <si>
    <t>HCl - Based on °C</t>
  </si>
  <si>
    <t>STACK OUTLET TEMP, °C</t>
  </si>
  <si>
    <t>STACK OUTLET TEMP, °K</t>
  </si>
  <si>
    <t>REFERENCE TEMP, °C</t>
  </si>
  <si>
    <t>REFERENCE TEMP, °K</t>
  </si>
  <si>
    <t>ESP Section Lookup Table</t>
  </si>
  <si>
    <t>Efficiency</t>
  </si>
  <si>
    <t>No. of Sections</t>
  </si>
  <si>
    <t>ESP SCA Ratio Lookup Table</t>
  </si>
  <si>
    <t>SCA Ratio (Avg.)</t>
  </si>
  <si>
    <t>Lookup Table for Acid Resistivity Calculations</t>
  </si>
  <si>
    <t>Atom_v</t>
  </si>
  <si>
    <t>Acid_v</t>
  </si>
  <si>
    <t>CONSTANTS</t>
  </si>
  <si>
    <t>Value</t>
  </si>
  <si>
    <t>Degree Kelvin Conversion</t>
  </si>
  <si>
    <t>degK</t>
  </si>
  <si>
    <t>" H2O / " Hg Conversion</t>
  </si>
  <si>
    <t>inH2O_inHg</t>
  </si>
  <si>
    <t>Standard Atmospheric Pressure, " Hg</t>
  </si>
  <si>
    <t>SAPress_inHg</t>
  </si>
  <si>
    <t>Standard Atmospheric Temperature, deg. F</t>
  </si>
  <si>
    <t>SATemp_degF</t>
  </si>
  <si>
    <t>cubic feet per mole @ 60 deg F</t>
  </si>
  <si>
    <t>cubft_60</t>
  </si>
  <si>
    <t>cubic feet per mole @ 69 deg F</t>
  </si>
  <si>
    <t>cubft_69</t>
  </si>
  <si>
    <t>cubic feet per mole @ 70 deg F</t>
  </si>
  <si>
    <t>cubft_70</t>
  </si>
  <si>
    <t>kW per Horsepower</t>
  </si>
  <si>
    <t>kW_Hp</t>
  </si>
  <si>
    <t>Chemical Engineering Cost Index</t>
  </si>
  <si>
    <t>FUEL AND COMBUSTION CALCULATIONS</t>
  </si>
  <si>
    <t>FUEL ANALYSIS FOR SPECIFIED COALS</t>
  </si>
  <si>
    <t>PROXIMATE ANALYSIS (wt. %)</t>
  </si>
  <si>
    <t>COAL ULTIMATE ANALYSIS (wt. %)</t>
  </si>
  <si>
    <t>HIGHER HEATING VALUE (HHV)</t>
  </si>
  <si>
    <r>
      <t xml:space="preserve">      Modified Mott Spooner - </t>
    </r>
    <r>
      <rPr>
        <b/>
        <i/>
        <sz val="8"/>
        <rFont val="Times New Roman"/>
        <family val="1"/>
      </rPr>
      <t>calc</t>
    </r>
  </si>
  <si>
    <t>COAL COST</t>
  </si>
  <si>
    <t>PROXIMATE ANALYSIS (lbs/MMBtu)</t>
  </si>
  <si>
    <t>COAL ULTIMATE ANALYSIS (lbs/MMBtu)</t>
  </si>
  <si>
    <t>COAL ULTIMATE ANALYSIS (lbmoles/MMBtu)</t>
  </si>
  <si>
    <t>lbmoles/MMBtu</t>
  </si>
  <si>
    <t>Flue Gas, Downstream Of Economizer</t>
  </si>
  <si>
    <t>Flue Gas (lb-moles/MMBtu)</t>
  </si>
  <si>
    <t xml:space="preserve">      NOx</t>
  </si>
  <si>
    <t xml:space="preserve">      Total O2 Req'd - *</t>
  </si>
  <si>
    <t xml:space="preserve">      H20</t>
  </si>
  <si>
    <t xml:space="preserve">      Total Dry</t>
  </si>
  <si>
    <t xml:space="preserve">      Total Wet</t>
  </si>
  <si>
    <t>Wet Flue Gas PPMV &amp; % Vol</t>
  </si>
  <si>
    <t xml:space="preserve">    % O2</t>
  </si>
  <si>
    <t>% Vol</t>
  </si>
  <si>
    <t xml:space="preserve">    % CO2</t>
  </si>
  <si>
    <t xml:space="preserve">    % N2</t>
  </si>
  <si>
    <t xml:space="preserve">    NOx</t>
  </si>
  <si>
    <t>ppmv</t>
  </si>
  <si>
    <t xml:space="preserve">    HCL</t>
  </si>
  <si>
    <t xml:space="preserve">    SO2</t>
  </si>
  <si>
    <t xml:space="preserve">    % H2O</t>
  </si>
  <si>
    <t>Dry Flue Gas PPMV &amp; % Vol</t>
  </si>
  <si>
    <t>Flue Gas, Air &amp; Ash Downstream Of Economizer</t>
  </si>
  <si>
    <t>Flue Gas (lbs/MMBtu)</t>
  </si>
  <si>
    <t xml:space="preserve">    O2</t>
  </si>
  <si>
    <t xml:space="preserve">    CO2</t>
  </si>
  <si>
    <t xml:space="preserve">    N2</t>
  </si>
  <si>
    <t xml:space="preserve">    HCl</t>
  </si>
  <si>
    <t xml:space="preserve">    H2O</t>
  </si>
  <si>
    <t xml:space="preserve">    Gas Dry</t>
  </si>
  <si>
    <t xml:space="preserve">    Gas Wet</t>
  </si>
  <si>
    <t xml:space="preserve">    Theoretical Wet Air</t>
  </si>
  <si>
    <t xml:space="preserve">    Actual Total Wet Air</t>
  </si>
  <si>
    <t xml:space="preserve">    Mol Wt Wet, Lb/Lb-Mol</t>
  </si>
  <si>
    <t>lbs/lb-mole</t>
  </si>
  <si>
    <t xml:space="preserve">    Total Ash</t>
  </si>
  <si>
    <t xml:space="preserve">    Fly Ash</t>
  </si>
  <si>
    <t xml:space="preserve">    Bottom Ash</t>
  </si>
  <si>
    <t>NOx - Flue Gas</t>
  </si>
  <si>
    <t>Carbon Loss</t>
  </si>
  <si>
    <t>*  - Theoretical + Excess O2 Required for Combustion, Not O2 in Flue Gas</t>
  </si>
  <si>
    <t>Gases, Downstream Of Air Heater</t>
  </si>
  <si>
    <t>Total Dry Flue Gas</t>
  </si>
  <si>
    <t>Total Wet Flue Gas</t>
  </si>
  <si>
    <t>Dry Air Addition</t>
  </si>
  <si>
    <t>Wet Air Addition</t>
  </si>
  <si>
    <t xml:space="preserve">    PPMV NOx</t>
  </si>
  <si>
    <t xml:space="preserve">    PPMV HCL</t>
  </si>
  <si>
    <t xml:space="preserve">    PPMV SO2</t>
  </si>
  <si>
    <t xml:space="preserve">        TOTAL</t>
  </si>
  <si>
    <t>Flue Gas &amp; Air Downstream Of Air Heater</t>
  </si>
  <si>
    <t xml:space="preserve">    Wt % H2O</t>
  </si>
  <si>
    <t xml:space="preserve">    Total Wet Air</t>
  </si>
  <si>
    <t>Boiler Losses &amp; Efficiencies</t>
  </si>
  <si>
    <t xml:space="preserve">    Dry Gas</t>
  </si>
  <si>
    <t xml:space="preserve">    Moisture</t>
  </si>
  <si>
    <t xml:space="preserve">    Carbon</t>
  </si>
  <si>
    <t xml:space="preserve">    Radiation</t>
  </si>
  <si>
    <t xml:space="preserve">    Manufacturers Margin</t>
  </si>
  <si>
    <t xml:space="preserve">    Ash Losses</t>
  </si>
  <si>
    <t xml:space="preserve">      Total Losses</t>
  </si>
  <si>
    <t xml:space="preserve">    Boiler Efficiency</t>
  </si>
  <si>
    <t>Coal Flow Rates</t>
  </si>
  <si>
    <t xml:space="preserve">    Btu Input Rate to Boiler</t>
  </si>
  <si>
    <t>MMBtu/hr</t>
  </si>
  <si>
    <t xml:space="preserve">    Coal Input Rate to Boiler</t>
  </si>
  <si>
    <t>tons/hr</t>
  </si>
  <si>
    <t>Economizer Outlet</t>
  </si>
  <si>
    <t xml:space="preserve">    Flue Gas</t>
  </si>
  <si>
    <t>SCFM/MMBtu</t>
  </si>
  <si>
    <t xml:space="preserve">    Wet Flue Gas</t>
  </si>
  <si>
    <t xml:space="preserve">    Wet Air</t>
  </si>
  <si>
    <t xml:space="preserve">    Total Air</t>
  </si>
  <si>
    <t xml:space="preserve">    Excess Air</t>
  </si>
  <si>
    <t>Air Heater Outlet</t>
  </si>
  <si>
    <t xml:space="preserve">    Wet Air Leakage</t>
  </si>
  <si>
    <t xml:space="preserve">    Equivalent Total Air</t>
  </si>
  <si>
    <t xml:space="preserve">    Equivalent Excess Air</t>
  </si>
  <si>
    <t xml:space="preserve">    Flue Gas Temperature</t>
  </si>
  <si>
    <t xml:space="preserve">    Pressure</t>
  </si>
  <si>
    <t>Ash Parameters</t>
  </si>
  <si>
    <t>ECONOMIC FACTORS</t>
  </si>
  <si>
    <t>CASE 1</t>
  </si>
  <si>
    <t>CASE 2</t>
  </si>
  <si>
    <t>CASE 3</t>
  </si>
  <si>
    <t>CASE 4</t>
  </si>
  <si>
    <t>CASE 5</t>
  </si>
  <si>
    <t>Construction Period</t>
  </si>
  <si>
    <t>Current Dollars</t>
  </si>
  <si>
    <t>P/A Factor</t>
  </si>
  <si>
    <t>A/P (Annuity) Factor</t>
  </si>
  <si>
    <t>P/AE (Present Worth) Factors</t>
  </si>
  <si>
    <t xml:space="preserve">      Capital Costs</t>
  </si>
  <si>
    <t>Levelization Factors</t>
  </si>
  <si>
    <t>Constant Dollars</t>
  </si>
  <si>
    <t>Z  =  (1 + i) / (1 + e)</t>
  </si>
  <si>
    <t>AFDC / TCE FACTORS FOR CASE 1</t>
  </si>
  <si>
    <t>AFDC</t>
  </si>
  <si>
    <t>TCE</t>
  </si>
  <si>
    <t>Unit Size, MW</t>
  </si>
  <si>
    <t>AFDC / TCE FACTORS FOR CASE 2</t>
  </si>
  <si>
    <t>AFDC / TCE FACTORS FOR CASE 3</t>
  </si>
  <si>
    <t>AFDC / TCE FACTORS FOR CASE 4</t>
  </si>
  <si>
    <t>AFDC / TCE FACTORS FOR CASE 5</t>
  </si>
  <si>
    <t>Source Key for Nox Defaults</t>
  </si>
  <si>
    <t>Table 2-1, "Cost Estimates for Selected Applications of NOX control Technologies on Stationary Combustion Boilers: Draft Report"  March 1996.  EPA, Acid Rain Division, Cost year 1995</t>
  </si>
  <si>
    <t>Table 1-5, "Cost Estimates for Selected Applications of NOX control Technologies on Stationary Combustion Boilers: Draft Report"  March 1996.  EPA, Acid Rain Division</t>
  </si>
  <si>
    <t>Section 3.0, "Cost Estimates for Selected Applications of NOX control Technologies on Stationary Combustion Boilers: Draft Report"  March 1996.  EPA, Acid Rain Division, Cost year 1995</t>
  </si>
  <si>
    <t>Pg. B4-21-25 "Investigation of Performance and cost of NOX controls as Applied to Group 2 Boilers: Revised Draft Report", EPA, Acid Rain Division, August 1996</t>
  </si>
  <si>
    <t>Table B2-1 "Investigation of Performance and cost of NOX controls as Applied to Group 2 Boilers: Revised Draft Report", EPA, Acid Rain Division, August 1996</t>
  </si>
  <si>
    <t>Pg. B4-17-19 "Investigation of Performance and cost of NOX controls as Applied to Group 2 Boilers: Revised Draft Report", EPA, Acid Rain Division, August 1996</t>
  </si>
  <si>
    <t>IAPCS default for cost year  06/96</t>
  </si>
  <si>
    <t>"Development of the Integrated Environmental Control Model:Performance Models of Selective Reduction(SCR) Nox Control Systems; Quarterly Progress Report" Center for Energy and Environmental Studies, Carnegie Mellon University, July 1994</t>
  </si>
  <si>
    <t>IAPCS equations</t>
  </si>
  <si>
    <t>AK</t>
  </si>
  <si>
    <t>http://www.usibelli.com/Coal-data.php</t>
  </si>
  <si>
    <t>H</t>
  </si>
  <si>
    <t>Combined Exhaust</t>
  </si>
  <si>
    <t>one Small Boiler</t>
  </si>
  <si>
    <t>one Large Boiler</t>
  </si>
  <si>
    <t>Yellow are user entered values.</t>
  </si>
  <si>
    <t>497 MMBtu/hr total heat input / 42 MW net output</t>
  </si>
  <si>
    <r>
      <t>ACFM/ft</t>
    </r>
    <r>
      <rPr>
        <vertAlign val="superscript"/>
        <sz val="10"/>
        <rFont val="Book Antiqua"/>
        <family val="1"/>
      </rPr>
      <t>2</t>
    </r>
  </si>
  <si>
    <r>
      <t xml:space="preserve">      Strength of the electric field in the ESP =</t>
    </r>
    <r>
      <rPr>
        <i/>
        <sz val="10"/>
        <rFont val="Book Antiqua"/>
        <family val="1"/>
      </rPr>
      <t xml:space="preserve"> E</t>
    </r>
    <r>
      <rPr>
        <sz val="10"/>
        <rFont val="Book Antiqua"/>
        <family val="1"/>
      </rPr>
      <t xml:space="preserve"> </t>
    </r>
  </si>
  <si>
    <t>Indicates user inputs specific to Aurora.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</si>
</sst>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5" formatCode="&quot;$&quot;#,##0_);\(&quot;$&quot;#,##0\)"/>
    <numFmt numFmtId="7" formatCode="&quot;$&quot;#,##0.00_);\(&quot;$&quot;#,##0.00\)"/>
    <numFmt numFmtId="43" formatCode="_(* #,##0.00_);_(* \(#,##0.00\);_(* &quot;-&quot;??_);_(@_)"/>
    <numFmt numFmtId="164" formatCode="General_)"/>
    <numFmt numFmtId="165" formatCode="0.00_)"/>
    <numFmt numFmtId="166" formatCode="#,##0.0000_);[Red]\(#,##0.0000\)"/>
    <numFmt numFmtId="167" formatCode="0.0000_)"/>
    <numFmt numFmtId="168" formatCode="0.0"/>
    <numFmt numFmtId="169" formatCode="#,##0.000_);[Red]\(#,##0.000\)"/>
    <numFmt numFmtId="170" formatCode="#,##0.0_);[Red]\(#,##0.0\)"/>
    <numFmt numFmtId="171" formatCode="_(* #,##0_);_(* \(#,##0\);_(* &quot;-&quot;??_);_(@_)"/>
    <numFmt numFmtId="172" formatCode="0.0%"/>
    <numFmt numFmtId="173" formatCode="0.0000"/>
    <numFmt numFmtId="174" formatCode="0.000"/>
    <numFmt numFmtId="175" formatCode="0.000_)"/>
    <numFmt numFmtId="176" formatCode="#,##0.0"/>
    <numFmt numFmtId="177" formatCode="#,##0.000"/>
    <numFmt numFmtId="178" formatCode="#,##0.0000"/>
    <numFmt numFmtId="179" formatCode="&quot;$&quot;#,##0.0_);\(&quot;$&quot;#,##0.0\)"/>
    <numFmt numFmtId="180" formatCode="0.0000E+00"/>
    <numFmt numFmtId="181" formatCode="dd\-mmm\-yy"/>
  </numFmts>
  <fonts count="86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8"/>
      <color indexed="17"/>
      <name val="Times New Roman"/>
      <family val="1"/>
    </font>
    <font>
      <b/>
      <i/>
      <sz val="8"/>
      <name val="Times New Roman"/>
      <family val="1"/>
    </font>
    <font>
      <sz val="8"/>
      <name val="Lucida Bright"/>
      <family val="1"/>
    </font>
    <font>
      <b/>
      <sz val="8"/>
      <color indexed="12"/>
      <name val="Lucida Bright"/>
      <family val="1"/>
    </font>
    <font>
      <sz val="8"/>
      <color indexed="12"/>
      <name val="Lucida Bright"/>
      <family val="1"/>
    </font>
    <font>
      <b/>
      <u/>
      <sz val="8"/>
      <color indexed="12"/>
      <name val="Lucida Bright"/>
      <family val="1"/>
    </font>
    <font>
      <b/>
      <u/>
      <sz val="10"/>
      <name val="Times New Roman"/>
      <family val="1"/>
    </font>
    <font>
      <sz val="8"/>
      <color indexed="12"/>
      <name val="Lucida Bright"/>
      <family val="1"/>
    </font>
    <font>
      <sz val="8"/>
      <color indexed="12"/>
      <name val="Arial"/>
      <family val="2"/>
    </font>
    <font>
      <sz val="8"/>
      <color indexed="12"/>
      <name val="Arial"/>
      <family val="2"/>
    </font>
    <font>
      <sz val="10"/>
      <color indexed="12"/>
      <name val="Lucida Bright"/>
      <family val="1"/>
    </font>
    <font>
      <sz val="10"/>
      <color indexed="8"/>
      <name val="Lucida Bright"/>
      <family val="1"/>
    </font>
    <font>
      <sz val="10"/>
      <name val="Lucida Bright"/>
      <family val="1"/>
    </font>
    <font>
      <b/>
      <i/>
      <sz val="16"/>
      <color indexed="20"/>
      <name val="Times New Roman"/>
      <family val="1"/>
    </font>
    <font>
      <i/>
      <u/>
      <sz val="10"/>
      <name val="Times New Roman"/>
      <family val="1"/>
    </font>
    <font>
      <sz val="10"/>
      <color indexed="12"/>
      <name val="Times New Roman"/>
      <family val="1"/>
    </font>
    <font>
      <sz val="10"/>
      <color indexed="8"/>
      <name val="Times New Roman"/>
      <family val="1"/>
    </font>
    <font>
      <sz val="10"/>
      <color indexed="14"/>
      <name val="Times New Roman"/>
      <family val="1"/>
    </font>
    <font>
      <vertAlign val="superscript"/>
      <sz val="10"/>
      <name val="Times New Roman"/>
      <family val="1"/>
    </font>
    <font>
      <b/>
      <i/>
      <u/>
      <sz val="12"/>
      <color indexed="10"/>
      <name val="Times New Roman"/>
      <family val="1"/>
    </font>
    <font>
      <b/>
      <i/>
      <sz val="16"/>
      <name val="Times New Roman"/>
      <family val="1"/>
    </font>
    <font>
      <b/>
      <i/>
      <sz val="12"/>
      <name val="Times New Roman"/>
      <family val="1"/>
    </font>
    <font>
      <u/>
      <sz val="10"/>
      <name val="Times New Roman"/>
      <family val="1"/>
    </font>
    <font>
      <i/>
      <sz val="10"/>
      <name val="Times New Roman"/>
      <family val="1"/>
    </font>
    <font>
      <b/>
      <i/>
      <sz val="11"/>
      <name val="Times New Roman"/>
      <family val="1"/>
    </font>
    <font>
      <b/>
      <u/>
      <sz val="10"/>
      <color indexed="8"/>
      <name val="Times New Roman"/>
      <family val="1"/>
    </font>
    <font>
      <b/>
      <sz val="10"/>
      <color indexed="12"/>
      <name val="Times New Roman"/>
      <family val="1"/>
    </font>
    <font>
      <b/>
      <i/>
      <u/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i/>
      <sz val="10"/>
      <name val="Times New Roman"/>
      <family val="1"/>
    </font>
    <font>
      <b/>
      <sz val="11"/>
      <name val="Times New Roman"/>
      <family val="1"/>
    </font>
    <font>
      <i/>
      <sz val="9"/>
      <name val="Times New Roman"/>
      <family val="1"/>
    </font>
    <font>
      <sz val="8"/>
      <name val="Lucida Bright"/>
      <family val="1"/>
    </font>
    <font>
      <b/>
      <i/>
      <u/>
      <sz val="8"/>
      <name val="Lucida Bright"/>
      <family val="1"/>
    </font>
    <font>
      <i/>
      <sz val="11"/>
      <name val="Times New Roman"/>
      <family val="1"/>
    </font>
    <font>
      <b/>
      <u/>
      <sz val="11"/>
      <name val="Times New Roman"/>
      <family val="1"/>
    </font>
    <font>
      <b/>
      <sz val="36"/>
      <color indexed="12"/>
      <name val="Times New Roman"/>
      <family val="1"/>
    </font>
    <font>
      <b/>
      <sz val="22"/>
      <color indexed="12"/>
      <name val="Times New Roman"/>
      <family val="1"/>
    </font>
    <font>
      <b/>
      <i/>
      <sz val="18"/>
      <name val="Times New Roman"/>
      <family val="1"/>
    </font>
    <font>
      <b/>
      <i/>
      <sz val="14"/>
      <name val="Times New Roman"/>
      <family val="1"/>
    </font>
    <font>
      <b/>
      <sz val="18"/>
      <color indexed="10"/>
      <name val="Lucida Calligraphy"/>
      <family val="4"/>
    </font>
    <font>
      <i/>
      <sz val="12"/>
      <name val="Times New Roman"/>
      <family val="1"/>
    </font>
    <font>
      <b/>
      <i/>
      <sz val="10"/>
      <color indexed="20"/>
      <name val="Times New Roman"/>
      <family val="1"/>
    </font>
    <font>
      <i/>
      <sz val="9"/>
      <color indexed="57"/>
      <name val="Times New Roman"/>
      <family val="1"/>
    </font>
    <font>
      <b/>
      <i/>
      <u/>
      <sz val="12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sz val="10"/>
      <name val="Symbol"/>
      <family val="1"/>
      <charset val="2"/>
    </font>
    <font>
      <vertAlign val="subscript"/>
      <sz val="10"/>
      <name val="Times New Roman"/>
      <family val="1"/>
    </font>
    <font>
      <i/>
      <vertAlign val="subscript"/>
      <sz val="10"/>
      <name val="Times New Roman"/>
      <family val="1"/>
    </font>
    <font>
      <sz val="10"/>
      <color indexed="16"/>
      <name val="Times New Roman"/>
      <family val="1"/>
    </font>
    <font>
      <sz val="12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u/>
      <sz val="10"/>
      <color indexed="12"/>
      <name val="Times New Roman"/>
      <family val="1"/>
    </font>
    <font>
      <vertAlign val="superscript"/>
      <sz val="10"/>
      <color indexed="12"/>
      <name val="Times New Roman"/>
      <family val="1"/>
    </font>
    <font>
      <b/>
      <i/>
      <sz val="10"/>
      <color indexed="62"/>
      <name val="Times New Roman"/>
      <family val="1"/>
    </font>
    <font>
      <sz val="10"/>
      <color indexed="50"/>
      <name val="Times New Roman"/>
      <family val="1"/>
    </font>
    <font>
      <b/>
      <u/>
      <sz val="18"/>
      <name val="Times New Roman"/>
      <family val="1"/>
    </font>
    <font>
      <sz val="18"/>
      <name val="Times New Roman"/>
      <family val="1"/>
    </font>
    <font>
      <b/>
      <sz val="12"/>
      <color indexed="10"/>
      <name val="Times New Roman"/>
      <family val="1"/>
    </font>
    <font>
      <b/>
      <sz val="14"/>
      <color indexed="10"/>
      <name val="Lucida Calligraphy"/>
      <family val="4"/>
    </font>
    <font>
      <i/>
      <sz val="10"/>
      <color indexed="57"/>
      <name val="Times New Roman"/>
      <family val="1"/>
    </font>
    <font>
      <sz val="9"/>
      <color indexed="81"/>
      <name val="Tahoma"/>
      <family val="2"/>
    </font>
    <font>
      <u/>
      <sz val="10"/>
      <color theme="10"/>
      <name val="Arial"/>
      <family val="2"/>
    </font>
    <font>
      <i/>
      <sz val="9"/>
      <color rgb="FF333399"/>
      <name val="Lucida Bright"/>
      <family val="1"/>
    </font>
    <font>
      <b/>
      <i/>
      <sz val="11"/>
      <color rgb="FF993300"/>
      <name val="Lucida Bright"/>
      <family val="1"/>
    </font>
    <font>
      <b/>
      <sz val="36"/>
      <color indexed="12"/>
      <name val="Book Antiqua"/>
      <family val="1"/>
    </font>
    <font>
      <sz val="10"/>
      <name val="Book Antiqua"/>
      <family val="1"/>
    </font>
    <font>
      <b/>
      <sz val="22"/>
      <color indexed="12"/>
      <name val="Book Antiqua"/>
      <family val="1"/>
    </font>
    <font>
      <b/>
      <i/>
      <sz val="18"/>
      <name val="Book Antiqua"/>
      <family val="1"/>
    </font>
    <font>
      <sz val="8"/>
      <name val="Book Antiqua"/>
      <family val="1"/>
    </font>
    <font>
      <b/>
      <i/>
      <sz val="16"/>
      <color indexed="20"/>
      <name val="Book Antiqua"/>
      <family val="1"/>
    </font>
    <font>
      <b/>
      <sz val="10"/>
      <name val="Book Antiqua"/>
      <family val="1"/>
    </font>
    <font>
      <b/>
      <i/>
      <u/>
      <sz val="12"/>
      <name val="Book Antiqua"/>
      <family val="1"/>
    </font>
    <font>
      <vertAlign val="superscript"/>
      <sz val="10"/>
      <name val="Book Antiqua"/>
      <family val="1"/>
    </font>
    <font>
      <i/>
      <sz val="10"/>
      <name val="Book Antiqua"/>
      <family val="1"/>
    </font>
    <font>
      <b/>
      <i/>
      <u/>
      <sz val="10"/>
      <name val="Book Antiqua"/>
      <family val="1"/>
    </font>
    <font>
      <b/>
      <i/>
      <sz val="10"/>
      <name val="Book Antiqua"/>
      <family val="1"/>
    </font>
    <font>
      <b/>
      <sz val="12"/>
      <color indexed="12"/>
      <name val="Book Antiqua"/>
      <family val="1"/>
    </font>
    <font>
      <b/>
      <i/>
      <sz val="9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lightUp"/>
    </fill>
  </fills>
  <borders count="66">
    <border>
      <left/>
      <right/>
      <top/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10"/>
      </left>
      <right/>
      <top/>
      <bottom style="medium">
        <color indexed="64"/>
      </bottom>
      <diagonal/>
    </border>
    <border>
      <left/>
      <right style="medium">
        <color indexed="10"/>
      </right>
      <top/>
      <bottom style="medium">
        <color indexed="64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10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/>
      <diagonal/>
    </border>
    <border>
      <left/>
      <right/>
      <top style="medium">
        <color indexed="10"/>
      </top>
      <bottom style="thin">
        <color indexed="64"/>
      </bottom>
      <diagonal/>
    </border>
    <border>
      <left/>
      <right style="medium">
        <color indexed="10"/>
      </right>
      <top style="medium">
        <color indexed="10"/>
      </top>
      <bottom style="thin">
        <color indexed="64"/>
      </bottom>
      <diagonal/>
    </border>
    <border>
      <left style="thick">
        <color indexed="12"/>
      </left>
      <right/>
      <top/>
      <bottom/>
      <diagonal/>
    </border>
    <border>
      <left/>
      <right style="thick">
        <color indexed="12"/>
      </right>
      <top/>
      <bottom/>
      <diagonal/>
    </border>
    <border>
      <left style="thick">
        <color indexed="12"/>
      </left>
      <right/>
      <top/>
      <bottom style="thick">
        <color indexed="12"/>
      </bottom>
      <diagonal/>
    </border>
    <border>
      <left/>
      <right/>
      <top/>
      <bottom style="thick">
        <color indexed="12"/>
      </bottom>
      <diagonal/>
    </border>
    <border>
      <left/>
      <right style="thick">
        <color indexed="12"/>
      </right>
      <top/>
      <bottom style="thick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10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/>
      <right style="thin">
        <color indexed="64"/>
      </right>
      <top style="medium">
        <color theme="1"/>
      </top>
      <bottom style="medium">
        <color indexed="64"/>
      </bottom>
      <diagonal/>
    </border>
    <border>
      <left/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9" fillId="0" borderId="0" applyNumberFormat="0" applyFill="0" applyBorder="0" applyAlignment="0" applyProtection="0"/>
  </cellStyleXfs>
  <cellXfs count="537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Protection="1"/>
    <xf numFmtId="38" fontId="2" fillId="0" borderId="0" xfId="1" applyNumberFormat="1" applyFont="1" applyBorder="1" applyAlignment="1" applyProtection="1">
      <alignment horizontal="center"/>
    </xf>
    <xf numFmtId="0" fontId="6" fillId="0" borderId="0" xfId="0" applyFont="1" applyBorder="1"/>
    <xf numFmtId="39" fontId="7" fillId="0" borderId="0" xfId="0" applyNumberFormat="1" applyFont="1" applyBorder="1" applyProtection="1"/>
    <xf numFmtId="0" fontId="8" fillId="0" borderId="0" xfId="0" applyFont="1" applyBorder="1"/>
    <xf numFmtId="39" fontId="6" fillId="0" borderId="0" xfId="0" applyNumberFormat="1" applyFont="1" applyBorder="1" applyProtection="1"/>
    <xf numFmtId="39" fontId="7" fillId="0" borderId="0" xfId="0" applyNumberFormat="1" applyFont="1" applyBorder="1" applyProtection="1">
      <protection locked="0"/>
    </xf>
    <xf numFmtId="39" fontId="9" fillId="0" borderId="0" xfId="0" applyNumberFormat="1" applyFont="1" applyBorder="1" applyProtection="1">
      <protection locked="0"/>
    </xf>
    <xf numFmtId="37" fontId="6" fillId="0" borderId="0" xfId="0" applyNumberFormat="1" applyFont="1" applyBorder="1" applyProtection="1"/>
    <xf numFmtId="165" fontId="7" fillId="0" borderId="0" xfId="0" applyNumberFormat="1" applyFont="1" applyBorder="1" applyProtection="1">
      <protection locked="0"/>
    </xf>
    <xf numFmtId="165" fontId="9" fillId="0" borderId="0" xfId="0" applyNumberFormat="1" applyFont="1" applyBorder="1" applyProtection="1"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 applyProtection="1">
      <alignment horizontal="left"/>
    </xf>
    <xf numFmtId="0" fontId="2" fillId="0" borderId="3" xfId="0" applyFont="1" applyBorder="1" applyAlignment="1" applyProtection="1">
      <alignment horizontal="left"/>
    </xf>
    <xf numFmtId="39" fontId="7" fillId="0" borderId="4" xfId="0" applyNumberFormat="1" applyFont="1" applyBorder="1" applyProtection="1"/>
    <xf numFmtId="0" fontId="8" fillId="0" borderId="4" xfId="0" applyFont="1" applyBorder="1"/>
    <xf numFmtId="39" fontId="6" fillId="0" borderId="4" xfId="0" applyNumberFormat="1" applyFont="1" applyBorder="1" applyProtection="1"/>
    <xf numFmtId="0" fontId="2" fillId="0" borderId="3" xfId="0" applyFont="1" applyBorder="1" applyProtection="1"/>
    <xf numFmtId="0" fontId="2" fillId="0" borderId="3" xfId="0" applyFont="1" applyBorder="1" applyAlignment="1" applyProtection="1"/>
    <xf numFmtId="165" fontId="7" fillId="0" borderId="4" xfId="0" applyNumberFormat="1" applyFont="1" applyBorder="1" applyProtection="1">
      <protection locked="0"/>
    </xf>
    <xf numFmtId="165" fontId="9" fillId="0" borderId="4" xfId="0" applyNumberFormat="1" applyFont="1" applyBorder="1" applyProtection="1">
      <protection locked="0"/>
    </xf>
    <xf numFmtId="0" fontId="6" fillId="0" borderId="4" xfId="0" applyFont="1" applyBorder="1"/>
    <xf numFmtId="37" fontId="6" fillId="0" borderId="4" xfId="0" applyNumberFormat="1" applyFont="1" applyBorder="1" applyProtection="1"/>
    <xf numFmtId="0" fontId="2" fillId="0" borderId="5" xfId="0" applyFont="1" applyBorder="1" applyAlignment="1" applyProtection="1">
      <alignment horizontal="left"/>
    </xf>
    <xf numFmtId="0" fontId="2" fillId="0" borderId="6" xfId="0" applyFont="1" applyBorder="1" applyAlignment="1" applyProtection="1">
      <alignment horizontal="center"/>
    </xf>
    <xf numFmtId="0" fontId="10" fillId="0" borderId="7" xfId="0" applyFont="1" applyBorder="1"/>
    <xf numFmtId="0" fontId="3" fillId="0" borderId="8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 applyProtection="1">
      <alignment horizontal="center"/>
    </xf>
    <xf numFmtId="0" fontId="6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3" xfId="0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6" fillId="0" borderId="3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/>
    </xf>
    <xf numFmtId="0" fontId="6" fillId="0" borderId="6" xfId="0" applyFont="1" applyBorder="1" applyAlignment="1">
      <alignment horizontal="center"/>
    </xf>
    <xf numFmtId="166" fontId="11" fillId="0" borderId="4" xfId="1" applyNumberFormat="1" applyFont="1" applyBorder="1" applyProtection="1"/>
    <xf numFmtId="166" fontId="8" fillId="0" borderId="4" xfId="1" applyNumberFormat="1" applyFont="1" applyBorder="1" applyProtection="1"/>
    <xf numFmtId="166" fontId="8" fillId="0" borderId="4" xfId="1" applyNumberFormat="1" applyFont="1" applyFill="1" applyBorder="1" applyProtection="1"/>
    <xf numFmtId="166" fontId="12" fillId="0" borderId="4" xfId="1" applyNumberFormat="1" applyFont="1" applyBorder="1" applyProtection="1"/>
    <xf numFmtId="166" fontId="13" fillId="0" borderId="4" xfId="1" applyNumberFormat="1" applyFont="1" applyBorder="1" applyAlignment="1" applyProtection="1">
      <alignment horizontal="right"/>
      <protection locked="0"/>
    </xf>
    <xf numFmtId="166" fontId="13" fillId="0" borderId="11" xfId="1" applyNumberFormat="1" applyFont="1" applyBorder="1" applyProtection="1"/>
    <xf numFmtId="166" fontId="13" fillId="0" borderId="4" xfId="1" applyNumberFormat="1" applyFont="1" applyBorder="1" applyProtection="1"/>
    <xf numFmtId="167" fontId="15" fillId="0" borderId="0" xfId="0" applyNumberFormat="1" applyFont="1" applyBorder="1" applyProtection="1"/>
    <xf numFmtId="0" fontId="6" fillId="0" borderId="0" xfId="0" applyFont="1" applyBorder="1" applyAlignment="1" applyProtection="1">
      <alignment horizontal="center"/>
    </xf>
    <xf numFmtId="166" fontId="13" fillId="0" borderId="0" xfId="1" applyNumberFormat="1" applyFont="1" applyBorder="1" applyProtection="1"/>
    <xf numFmtId="0" fontId="16" fillId="0" borderId="0" xfId="0" applyFont="1" applyBorder="1" applyAlignment="1" applyProtection="1">
      <alignment horizontal="right"/>
    </xf>
    <xf numFmtId="0" fontId="3" fillId="0" borderId="0" xfId="0" applyFont="1" applyAlignment="1">
      <alignment horizontal="center"/>
    </xf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0" fillId="0" borderId="3" xfId="0" applyBorder="1" applyProtection="1"/>
    <xf numFmtId="167" fontId="14" fillId="0" borderId="4" xfId="0" applyNumberFormat="1" applyFont="1" applyBorder="1" applyProtection="1"/>
    <xf numFmtId="0" fontId="14" fillId="0" borderId="4" xfId="0" applyFont="1" applyBorder="1" applyProtection="1"/>
    <xf numFmtId="0" fontId="0" fillId="0" borderId="5" xfId="0" applyBorder="1" applyProtection="1"/>
    <xf numFmtId="167" fontId="15" fillId="0" borderId="6" xfId="0" applyNumberFormat="1" applyFont="1" applyBorder="1" applyProtection="1"/>
    <xf numFmtId="0" fontId="14" fillId="0" borderId="11" xfId="0" applyFont="1" applyBorder="1" applyProtection="1"/>
    <xf numFmtId="0" fontId="3" fillId="0" borderId="15" xfId="0" applyFont="1" applyBorder="1" applyAlignment="1">
      <alignment horizontal="center"/>
    </xf>
    <xf numFmtId="0" fontId="3" fillId="0" borderId="8" xfId="0" applyFont="1" applyBorder="1" applyAlignment="1">
      <alignment horizontal="centerContinuous"/>
    </xf>
    <xf numFmtId="0" fontId="3" fillId="0" borderId="4" xfId="0" applyFont="1" applyBorder="1"/>
    <xf numFmtId="1" fontId="11" fillId="0" borderId="4" xfId="0" applyNumberFormat="1" applyFont="1" applyBorder="1"/>
    <xf numFmtId="1" fontId="11" fillId="0" borderId="11" xfId="0" applyNumberFormat="1" applyFont="1" applyBorder="1"/>
    <xf numFmtId="1" fontId="11" fillId="0" borderId="3" xfId="0" applyNumberFormat="1" applyFont="1" applyBorder="1"/>
    <xf numFmtId="2" fontId="11" fillId="0" borderId="0" xfId="0" applyNumberFormat="1" applyFont="1" applyBorder="1"/>
    <xf numFmtId="168" fontId="11" fillId="0" borderId="0" xfId="0" applyNumberFormat="1" applyFont="1" applyBorder="1" applyProtection="1">
      <protection locked="0"/>
    </xf>
    <xf numFmtId="168" fontId="11" fillId="0" borderId="0" xfId="0" applyNumberFormat="1" applyFont="1" applyBorder="1"/>
    <xf numFmtId="1" fontId="11" fillId="0" borderId="5" xfId="0" applyNumberFormat="1" applyFont="1" applyBorder="1"/>
    <xf numFmtId="2" fontId="11" fillId="0" borderId="6" xfId="0" applyNumberFormat="1" applyFont="1" applyBorder="1"/>
    <xf numFmtId="168" fontId="11" fillId="0" borderId="6" xfId="0" applyNumberFormat="1" applyFont="1" applyBorder="1" applyProtection="1">
      <protection locked="0"/>
    </xf>
    <xf numFmtId="0" fontId="2" fillId="0" borderId="0" xfId="0" quotePrefix="1" applyFont="1" applyBorder="1" applyAlignment="1">
      <alignment horizontal="left"/>
    </xf>
    <xf numFmtId="169" fontId="11" fillId="0" borderId="4" xfId="1" applyNumberFormat="1" applyFont="1" applyBorder="1" applyProtection="1"/>
    <xf numFmtId="40" fontId="11" fillId="0" borderId="4" xfId="1" applyNumberFormat="1" applyFont="1" applyBorder="1" applyProtection="1"/>
    <xf numFmtId="38" fontId="11" fillId="0" borderId="4" xfId="1" applyNumberFormat="1" applyFont="1" applyBorder="1" applyProtection="1"/>
    <xf numFmtId="38" fontId="8" fillId="0" borderId="4" xfId="1" applyNumberFormat="1" applyFont="1" applyBorder="1" applyProtection="1"/>
    <xf numFmtId="0" fontId="3" fillId="0" borderId="13" xfId="0" applyFont="1" applyBorder="1" applyAlignment="1">
      <alignment horizontal="center"/>
    </xf>
    <xf numFmtId="0" fontId="17" fillId="0" borderId="16" xfId="0" applyFont="1" applyBorder="1"/>
    <xf numFmtId="0" fontId="2" fillId="0" borderId="16" xfId="0" applyFont="1" applyBorder="1"/>
    <xf numFmtId="0" fontId="2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16" fontId="2" fillId="0" borderId="0" xfId="0" quotePrefix="1" applyNumberFormat="1" applyFont="1" applyAlignment="1">
      <alignment horizontal="center"/>
    </xf>
    <xf numFmtId="3" fontId="2" fillId="0" borderId="0" xfId="1" applyNumberFormat="1" applyFont="1" applyAlignment="1">
      <alignment horizontal="center"/>
    </xf>
    <xf numFmtId="9" fontId="2" fillId="0" borderId="0" xfId="2" applyFont="1" applyAlignment="1">
      <alignment horizontal="center"/>
    </xf>
    <xf numFmtId="0" fontId="19" fillId="0" borderId="0" xfId="0" applyFont="1" applyAlignment="1">
      <alignment horizontal="center"/>
    </xf>
    <xf numFmtId="9" fontId="19" fillId="0" borderId="0" xfId="2" applyFont="1" applyAlignment="1">
      <alignment horizontal="center"/>
    </xf>
    <xf numFmtId="9" fontId="20" fillId="0" borderId="0" xfId="2" applyFont="1" applyAlignment="1">
      <alignment horizontal="center"/>
    </xf>
    <xf numFmtId="10" fontId="2" fillId="0" borderId="0" xfId="2" applyNumberFormat="1" applyFont="1" applyAlignment="1">
      <alignment horizontal="center"/>
    </xf>
    <xf numFmtId="10" fontId="19" fillId="0" borderId="0" xfId="2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5" fontId="2" fillId="0" borderId="0" xfId="0" applyNumberFormat="1" applyFont="1" applyAlignment="1">
      <alignment horizontal="center"/>
    </xf>
    <xf numFmtId="5" fontId="19" fillId="0" borderId="0" xfId="0" applyNumberFormat="1" applyFont="1" applyAlignment="1">
      <alignment horizontal="center"/>
    </xf>
    <xf numFmtId="17" fontId="2" fillId="0" borderId="0" xfId="0" quotePrefix="1" applyNumberFormat="1" applyFont="1" applyAlignment="1">
      <alignment horizontal="center"/>
    </xf>
    <xf numFmtId="164" fontId="7" fillId="0" borderId="6" xfId="0" applyNumberFormat="1" applyFont="1" applyBorder="1" applyAlignment="1" applyProtection="1">
      <alignment horizontal="right"/>
      <protection locked="0"/>
    </xf>
    <xf numFmtId="0" fontId="7" fillId="0" borderId="6" xfId="0" applyFont="1" applyBorder="1" applyProtection="1"/>
    <xf numFmtId="0" fontId="7" fillId="0" borderId="11" xfId="0" applyFont="1" applyBorder="1" applyProtection="1"/>
    <xf numFmtId="0" fontId="23" fillId="0" borderId="0" xfId="0" applyFont="1"/>
    <xf numFmtId="3" fontId="2" fillId="0" borderId="0" xfId="0" applyNumberFormat="1" applyFont="1" applyAlignment="1">
      <alignment horizontal="center"/>
    </xf>
    <xf numFmtId="0" fontId="24" fillId="0" borderId="0" xfId="0" applyFont="1"/>
    <xf numFmtId="0" fontId="25" fillId="0" borderId="0" xfId="0" applyFont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/>
    <xf numFmtId="0" fontId="26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173" fontId="2" fillId="0" borderId="0" xfId="0" applyNumberFormat="1" applyFont="1" applyAlignment="1">
      <alignment horizontal="center"/>
    </xf>
    <xf numFmtId="174" fontId="2" fillId="0" borderId="0" xfId="0" applyNumberFormat="1" applyFont="1" applyAlignment="1">
      <alignment horizontal="center"/>
    </xf>
    <xf numFmtId="2" fontId="26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left"/>
    </xf>
    <xf numFmtId="0" fontId="27" fillId="0" borderId="0" xfId="0" applyFont="1" applyBorder="1" applyAlignment="1" applyProtection="1">
      <alignment horizontal="left"/>
    </xf>
    <xf numFmtId="0" fontId="27" fillId="0" borderId="0" xfId="0" applyFont="1"/>
    <xf numFmtId="0" fontId="25" fillId="0" borderId="0" xfId="0" applyFont="1" applyBorder="1" applyAlignment="1" applyProtection="1">
      <alignment horizontal="left"/>
    </xf>
    <xf numFmtId="0" fontId="28" fillId="0" borderId="0" xfId="0" applyFont="1" applyBorder="1" applyAlignment="1" applyProtection="1">
      <alignment horizontal="left"/>
    </xf>
    <xf numFmtId="0" fontId="25" fillId="0" borderId="0" xfId="0" applyFont="1" applyBorder="1"/>
    <xf numFmtId="0" fontId="29" fillId="0" borderId="7" xfId="0" applyFont="1" applyBorder="1" applyAlignment="1" applyProtection="1">
      <alignment horizontal="left"/>
      <protection locked="0"/>
    </xf>
    <xf numFmtId="0" fontId="26" fillId="0" borderId="0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" fillId="0" borderId="3" xfId="0" applyFont="1" applyBorder="1" applyAlignment="1" applyProtection="1">
      <alignment horizontal="center"/>
    </xf>
    <xf numFmtId="175" fontId="2" fillId="0" borderId="0" xfId="0" applyNumberFormat="1" applyFont="1" applyBorder="1" applyProtection="1"/>
    <xf numFmtId="175" fontId="2" fillId="0" borderId="4" xfId="0" applyNumberFormat="1" applyFont="1" applyBorder="1" applyProtection="1"/>
    <xf numFmtId="0" fontId="2" fillId="0" borderId="3" xfId="0" applyFont="1" applyBorder="1" applyAlignment="1" applyProtection="1">
      <alignment horizontal="right"/>
    </xf>
    <xf numFmtId="165" fontId="2" fillId="0" borderId="0" xfId="0" applyNumberFormat="1" applyFont="1" applyBorder="1" applyProtection="1"/>
    <xf numFmtId="165" fontId="2" fillId="0" borderId="4" xfId="0" applyNumberFormat="1" applyFont="1" applyBorder="1" applyProtection="1"/>
    <xf numFmtId="0" fontId="2" fillId="0" borderId="5" xfId="0" applyFont="1" applyBorder="1"/>
    <xf numFmtId="0" fontId="2" fillId="0" borderId="6" xfId="0" applyFont="1" applyBorder="1"/>
    <xf numFmtId="0" fontId="2" fillId="0" borderId="11" xfId="0" applyFont="1" applyBorder="1"/>
    <xf numFmtId="0" fontId="2" fillId="0" borderId="8" xfId="0" applyFont="1" applyBorder="1"/>
    <xf numFmtId="16" fontId="2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9" fontId="2" fillId="0" borderId="0" xfId="0" applyNumberFormat="1" applyFont="1" applyAlignment="1">
      <alignment horizontal="center"/>
    </xf>
    <xf numFmtId="172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178" fontId="2" fillId="0" borderId="0" xfId="0" applyNumberFormat="1" applyFont="1" applyAlignment="1">
      <alignment horizontal="center"/>
    </xf>
    <xf numFmtId="164" fontId="7" fillId="0" borderId="0" xfId="0" applyNumberFormat="1" applyFont="1" applyBorder="1" applyAlignment="1" applyProtection="1">
      <alignment horizontal="right"/>
      <protection locked="0"/>
    </xf>
    <xf numFmtId="0" fontId="7" fillId="0" borderId="0" xfId="0" applyFont="1" applyBorder="1" applyProtection="1"/>
    <xf numFmtId="0" fontId="2" fillId="0" borderId="1" xfId="0" applyFont="1" applyBorder="1" applyAlignment="1" applyProtection="1">
      <alignment horizontal="center"/>
    </xf>
    <xf numFmtId="164" fontId="7" fillId="0" borderId="2" xfId="0" applyNumberFormat="1" applyFont="1" applyBorder="1" applyAlignment="1" applyProtection="1">
      <alignment horizontal="center"/>
      <protection locked="0"/>
    </xf>
    <xf numFmtId="164" fontId="7" fillId="0" borderId="4" xfId="0" applyNumberFormat="1" applyFont="1" applyBorder="1" applyAlignment="1" applyProtection="1">
      <alignment horizontal="center"/>
      <protection locked="0"/>
    </xf>
    <xf numFmtId="165" fontId="30" fillId="0" borderId="4" xfId="0" applyNumberFormat="1" applyFont="1" applyBorder="1" applyAlignment="1" applyProtection="1">
      <alignment horizontal="center"/>
    </xf>
    <xf numFmtId="0" fontId="30" fillId="0" borderId="4" xfId="0" applyFont="1" applyBorder="1" applyAlignment="1">
      <alignment horizontal="center"/>
    </xf>
    <xf numFmtId="0" fontId="30" fillId="0" borderId="4" xfId="0" applyFont="1" applyBorder="1" applyAlignment="1" applyProtection="1">
      <alignment horizontal="center"/>
    </xf>
    <xf numFmtId="165" fontId="30" fillId="0" borderId="11" xfId="0" applyNumberFormat="1" applyFont="1" applyBorder="1" applyAlignment="1" applyProtection="1">
      <alignment horizontal="center"/>
    </xf>
    <xf numFmtId="176" fontId="2" fillId="0" borderId="0" xfId="0" applyNumberFormat="1" applyFont="1" applyAlignment="1">
      <alignment horizontal="center"/>
    </xf>
    <xf numFmtId="0" fontId="32" fillId="0" borderId="8" xfId="0" applyFont="1" applyBorder="1" applyAlignment="1">
      <alignment horizontal="center"/>
    </xf>
    <xf numFmtId="0" fontId="33" fillId="0" borderId="0" xfId="0" applyFont="1" applyBorder="1" applyAlignment="1" applyProtection="1">
      <alignment horizontal="left"/>
    </xf>
    <xf numFmtId="0" fontId="33" fillId="0" borderId="0" xfId="0" applyFont="1"/>
    <xf numFmtId="0" fontId="34" fillId="0" borderId="0" xfId="0" quotePrefix="1" applyFont="1" applyAlignment="1">
      <alignment horizontal="center"/>
    </xf>
    <xf numFmtId="0" fontId="35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5" fontId="21" fillId="0" borderId="0" xfId="0" applyNumberFormat="1" applyFont="1" applyAlignment="1">
      <alignment horizontal="center"/>
    </xf>
    <xf numFmtId="5" fontId="26" fillId="0" borderId="0" xfId="0" applyNumberFormat="1" applyFont="1" applyAlignment="1">
      <alignment horizontal="center"/>
    </xf>
    <xf numFmtId="3" fontId="2" fillId="0" borderId="0" xfId="0" applyNumberFormat="1" applyFont="1" applyBorder="1" applyAlignment="1">
      <alignment horizontal="center"/>
    </xf>
    <xf numFmtId="0" fontId="34" fillId="0" borderId="17" xfId="0" applyFont="1" applyBorder="1" applyAlignment="1">
      <alignment horizontal="center"/>
    </xf>
    <xf numFmtId="0" fontId="34" fillId="0" borderId="18" xfId="0" applyFont="1" applyBorder="1" applyAlignment="1">
      <alignment horizontal="center"/>
    </xf>
    <xf numFmtId="0" fontId="34" fillId="0" borderId="19" xfId="0" applyFont="1" applyBorder="1" applyAlignment="1">
      <alignment horizontal="center"/>
    </xf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3" fontId="2" fillId="0" borderId="23" xfId="0" applyNumberFormat="1" applyFont="1" applyBorder="1" applyAlignment="1">
      <alignment horizontal="center"/>
    </xf>
    <xf numFmtId="3" fontId="2" fillId="0" borderId="24" xfId="0" applyNumberFormat="1" applyFont="1" applyBorder="1" applyAlignment="1">
      <alignment horizontal="center"/>
    </xf>
    <xf numFmtId="3" fontId="2" fillId="0" borderId="20" xfId="0" applyNumberFormat="1" applyFont="1" applyBorder="1" applyAlignment="1">
      <alignment horizontal="center"/>
    </xf>
    <xf numFmtId="3" fontId="2" fillId="0" borderId="21" xfId="0" applyNumberFormat="1" applyFont="1" applyBorder="1" applyAlignment="1">
      <alignment horizontal="center"/>
    </xf>
    <xf numFmtId="3" fontId="2" fillId="0" borderId="22" xfId="0" applyNumberFormat="1" applyFont="1" applyBorder="1" applyAlignment="1">
      <alignment horizontal="center"/>
    </xf>
    <xf numFmtId="0" fontId="31" fillId="0" borderId="3" xfId="0" applyFont="1" applyBorder="1"/>
    <xf numFmtId="1" fontId="37" fillId="0" borderId="3" xfId="0" applyNumberFormat="1" applyFont="1" applyBorder="1"/>
    <xf numFmtId="2" fontId="37" fillId="0" borderId="0" xfId="0" applyNumberFormat="1" applyFont="1" applyBorder="1"/>
    <xf numFmtId="168" fontId="37" fillId="0" borderId="0" xfId="0" applyNumberFormat="1" applyFont="1" applyBorder="1" applyProtection="1">
      <protection locked="0"/>
    </xf>
    <xf numFmtId="168" fontId="37" fillId="0" borderId="0" xfId="0" applyNumberFormat="1" applyFont="1" applyBorder="1"/>
    <xf numFmtId="1" fontId="38" fillId="0" borderId="3" xfId="0" applyNumberFormat="1" applyFont="1" applyBorder="1"/>
    <xf numFmtId="1" fontId="37" fillId="0" borderId="5" xfId="0" applyNumberFormat="1" applyFont="1" applyBorder="1"/>
    <xf numFmtId="2" fontId="37" fillId="0" borderId="6" xfId="0" applyNumberFormat="1" applyFont="1" applyBorder="1"/>
    <xf numFmtId="168" fontId="37" fillId="0" borderId="6" xfId="0" applyNumberFormat="1" applyFont="1" applyBorder="1" applyProtection="1">
      <protection locked="0"/>
    </xf>
    <xf numFmtId="1" fontId="37" fillId="0" borderId="11" xfId="0" applyNumberFormat="1" applyFont="1" applyBorder="1"/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0" fillId="0" borderId="4" xfId="0" applyBorder="1"/>
    <xf numFmtId="174" fontId="37" fillId="0" borderId="0" xfId="0" applyNumberFormat="1" applyFont="1" applyBorder="1"/>
    <xf numFmtId="174" fontId="37" fillId="0" borderId="4" xfId="0" applyNumberFormat="1" applyFont="1" applyBorder="1"/>
    <xf numFmtId="168" fontId="37" fillId="0" borderId="4" xfId="0" applyNumberFormat="1" applyFont="1" applyBorder="1"/>
    <xf numFmtId="173" fontId="2" fillId="0" borderId="0" xfId="0" applyNumberFormat="1" applyFont="1" applyBorder="1"/>
    <xf numFmtId="173" fontId="2" fillId="0" borderId="4" xfId="0" applyNumberFormat="1" applyFont="1" applyBorder="1"/>
    <xf numFmtId="173" fontId="2" fillId="0" borderId="6" xfId="0" applyNumberFormat="1" applyFont="1" applyBorder="1"/>
    <xf numFmtId="173" fontId="2" fillId="0" borderId="11" xfId="0" applyNumberFormat="1" applyFont="1" applyBorder="1"/>
    <xf numFmtId="0" fontId="39" fillId="0" borderId="0" xfId="0" applyFont="1"/>
    <xf numFmtId="0" fontId="40" fillId="0" borderId="0" xfId="0" applyFont="1" applyAlignment="1">
      <alignment horizontal="left"/>
    </xf>
    <xf numFmtId="0" fontId="28" fillId="0" borderId="0" xfId="0" applyFont="1"/>
    <xf numFmtId="0" fontId="33" fillId="0" borderId="0" xfId="0" applyFont="1" applyAlignment="1">
      <alignment horizontal="center"/>
    </xf>
    <xf numFmtId="5" fontId="33" fillId="0" borderId="0" xfId="0" applyNumberFormat="1" applyFont="1" applyAlignment="1">
      <alignment horizontal="center"/>
    </xf>
    <xf numFmtId="5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left"/>
    </xf>
    <xf numFmtId="0" fontId="34" fillId="0" borderId="0" xfId="0" applyFont="1"/>
    <xf numFmtId="175" fontId="2" fillId="0" borderId="0" xfId="0" applyNumberFormat="1" applyFont="1" applyAlignment="1" applyProtection="1">
      <alignment horizontal="center"/>
    </xf>
    <xf numFmtId="177" fontId="2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3" borderId="0" xfId="0" applyFont="1" applyFill="1"/>
    <xf numFmtId="0" fontId="45" fillId="3" borderId="0" xfId="0" applyFont="1" applyFill="1" applyAlignment="1">
      <alignment horizontal="centerContinuous"/>
    </xf>
    <xf numFmtId="0" fontId="34" fillId="0" borderId="0" xfId="0" applyFont="1" applyBorder="1" applyAlignment="1" applyProtection="1">
      <alignment horizontal="left"/>
    </xf>
    <xf numFmtId="9" fontId="27" fillId="0" borderId="0" xfId="2" applyFont="1" applyAlignment="1">
      <alignment horizontal="center"/>
    </xf>
    <xf numFmtId="17" fontId="2" fillId="0" borderId="0" xfId="0" applyNumberFormat="1" applyFont="1" applyAlignment="1">
      <alignment horizontal="center"/>
    </xf>
    <xf numFmtId="165" fontId="30" fillId="0" borderId="0" xfId="0" applyNumberFormat="1" applyFont="1" applyBorder="1" applyAlignment="1" applyProtection="1">
      <alignment horizontal="center"/>
    </xf>
    <xf numFmtId="172" fontId="2" fillId="0" borderId="0" xfId="2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4" borderId="0" xfId="0" applyFont="1" applyFill="1" applyAlignment="1">
      <alignment horizontal="center"/>
    </xf>
    <xf numFmtId="0" fontId="34" fillId="4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/>
    </xf>
    <xf numFmtId="0" fontId="2" fillId="0" borderId="11" xfId="0" applyFont="1" applyBorder="1" applyAlignment="1" applyProtection="1">
      <alignment horizontal="center"/>
    </xf>
    <xf numFmtId="164" fontId="37" fillId="0" borderId="26" xfId="0" applyNumberFormat="1" applyFont="1" applyBorder="1" applyAlignment="1" applyProtection="1">
      <alignment horizontal="center"/>
      <protection locked="0"/>
    </xf>
    <xf numFmtId="3" fontId="2" fillId="0" borderId="27" xfId="0" applyNumberFormat="1" applyFont="1" applyBorder="1" applyAlignment="1">
      <alignment horizontal="center"/>
    </xf>
    <xf numFmtId="3" fontId="2" fillId="0" borderId="28" xfId="0" applyNumberFormat="1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4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47" fillId="0" borderId="16" xfId="0" applyFont="1" applyBorder="1" applyAlignment="1">
      <alignment horizontal="center"/>
    </xf>
    <xf numFmtId="0" fontId="48" fillId="0" borderId="0" xfId="0" applyFont="1"/>
    <xf numFmtId="37" fontId="2" fillId="0" borderId="0" xfId="0" applyNumberFormat="1" applyFont="1" applyAlignment="1">
      <alignment horizontal="center"/>
    </xf>
    <xf numFmtId="0" fontId="3" fillId="0" borderId="0" xfId="0" applyFont="1"/>
    <xf numFmtId="0" fontId="49" fillId="0" borderId="0" xfId="0" applyFont="1"/>
    <xf numFmtId="0" fontId="0" fillId="0" borderId="0" xfId="0" applyAlignment="1">
      <alignment horizontal="center"/>
    </xf>
    <xf numFmtId="37" fontId="2" fillId="0" borderId="0" xfId="0" quotePrefix="1" applyNumberFormat="1" applyFont="1" applyAlignment="1">
      <alignment horizontal="center"/>
    </xf>
    <xf numFmtId="0" fontId="44" fillId="0" borderId="0" xfId="0" applyFont="1" applyBorder="1" applyAlignment="1" applyProtection="1">
      <alignment horizontal="left"/>
    </xf>
    <xf numFmtId="179" fontId="2" fillId="0" borderId="0" xfId="0" applyNumberFormat="1" applyFont="1" applyAlignment="1">
      <alignment horizontal="center"/>
    </xf>
    <xf numFmtId="3" fontId="26" fillId="0" borderId="0" xfId="0" applyNumberFormat="1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center"/>
    </xf>
    <xf numFmtId="38" fontId="2" fillId="0" borderId="4" xfId="1" applyNumberFormat="1" applyFont="1" applyBorder="1" applyAlignment="1" applyProtection="1">
      <alignment horizontal="center"/>
    </xf>
    <xf numFmtId="38" fontId="2" fillId="0" borderId="11" xfId="1" applyNumberFormat="1" applyFont="1" applyBorder="1" applyAlignment="1" applyProtection="1">
      <alignment horizontal="center"/>
    </xf>
    <xf numFmtId="0" fontId="50" fillId="0" borderId="0" xfId="0" applyFont="1" applyBorder="1" applyAlignment="1" applyProtection="1">
      <alignment horizontal="center"/>
    </xf>
    <xf numFmtId="40" fontId="2" fillId="0" borderId="4" xfId="1" applyNumberFormat="1" applyFont="1" applyBorder="1" applyAlignment="1" applyProtection="1">
      <alignment horizontal="center"/>
    </xf>
    <xf numFmtId="40" fontId="2" fillId="0" borderId="11" xfId="1" applyNumberFormat="1" applyFont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11" fontId="2" fillId="0" borderId="0" xfId="0" applyNumberFormat="1" applyFont="1"/>
    <xf numFmtId="168" fontId="2" fillId="0" borderId="0" xfId="0" applyNumberFormat="1" applyFont="1"/>
    <xf numFmtId="1" fontId="2" fillId="0" borderId="0" xfId="0" applyNumberFormat="1" applyFont="1"/>
    <xf numFmtId="3" fontId="2" fillId="0" borderId="0" xfId="0" applyNumberFormat="1" applyFont="1"/>
    <xf numFmtId="0" fontId="51" fillId="0" borderId="0" xfId="0" applyFont="1"/>
    <xf numFmtId="0" fontId="2" fillId="0" borderId="0" xfId="0" applyFont="1" applyAlignment="1">
      <alignment horizontal="right"/>
    </xf>
    <xf numFmtId="10" fontId="52" fillId="0" borderId="0" xfId="0" applyNumberFormat="1" applyFont="1" applyAlignment="1">
      <alignment horizontal="center"/>
    </xf>
    <xf numFmtId="2" fontId="27" fillId="0" borderId="0" xfId="0" applyNumberFormat="1" applyFont="1" applyAlignment="1">
      <alignment horizontal="center"/>
    </xf>
    <xf numFmtId="2" fontId="2" fillId="0" borderId="0" xfId="0" applyNumberFormat="1" applyFont="1"/>
    <xf numFmtId="0" fontId="27" fillId="0" borderId="0" xfId="0" applyFont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2" fillId="0" borderId="0" xfId="0" applyFont="1" applyFill="1" applyBorder="1"/>
    <xf numFmtId="2" fontId="27" fillId="0" borderId="0" xfId="0" applyNumberFormat="1" applyFont="1" applyBorder="1" applyAlignment="1">
      <alignment horizontal="center"/>
    </xf>
    <xf numFmtId="0" fontId="18" fillId="0" borderId="0" xfId="0" applyFont="1"/>
    <xf numFmtId="180" fontId="27" fillId="0" borderId="0" xfId="0" applyNumberFormat="1" applyFont="1" applyAlignment="1">
      <alignment horizontal="center"/>
    </xf>
    <xf numFmtId="180" fontId="2" fillId="0" borderId="0" xfId="0" applyNumberFormat="1" applyFont="1"/>
    <xf numFmtId="11" fontId="27" fillId="0" borderId="0" xfId="0" applyNumberFormat="1" applyFont="1" applyAlignment="1">
      <alignment horizontal="center"/>
    </xf>
    <xf numFmtId="0" fontId="27" fillId="0" borderId="0" xfId="0" applyNumberFormat="1" applyFont="1" applyAlignment="1">
      <alignment horizontal="center"/>
    </xf>
    <xf numFmtId="0" fontId="2" fillId="0" borderId="0" xfId="0" applyNumberFormat="1" applyFont="1"/>
    <xf numFmtId="174" fontId="27" fillId="0" borderId="0" xfId="0" applyNumberFormat="1" applyFont="1" applyAlignment="1">
      <alignment horizontal="center"/>
    </xf>
    <xf numFmtId="174" fontId="2" fillId="0" borderId="0" xfId="0" applyNumberFormat="1" applyFont="1"/>
    <xf numFmtId="180" fontId="27" fillId="0" borderId="0" xfId="0" applyNumberFormat="1" applyFont="1"/>
    <xf numFmtId="1" fontId="27" fillId="0" borderId="0" xfId="0" applyNumberFormat="1" applyFont="1" applyAlignment="1">
      <alignment horizontal="center"/>
    </xf>
    <xf numFmtId="1" fontId="3" fillId="0" borderId="0" xfId="0" applyNumberFormat="1" applyFont="1"/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34" fillId="0" borderId="0" xfId="0" applyFont="1" applyAlignment="1">
      <alignment horizontal="center"/>
    </xf>
    <xf numFmtId="168" fontId="2" fillId="0" borderId="0" xfId="2" applyNumberFormat="1" applyFont="1" applyAlignment="1">
      <alignment horizontal="center"/>
    </xf>
    <xf numFmtId="2" fontId="2" fillId="0" borderId="0" xfId="2" applyNumberFormat="1" applyFont="1" applyAlignment="1">
      <alignment horizontal="center"/>
    </xf>
    <xf numFmtId="174" fontId="2" fillId="0" borderId="0" xfId="2" applyNumberFormat="1" applyFont="1" applyAlignment="1">
      <alignment horizontal="center"/>
    </xf>
    <xf numFmtId="168" fontId="19" fillId="0" borderId="0" xfId="0" applyNumberFormat="1" applyFont="1" applyAlignment="1">
      <alignment horizontal="center"/>
    </xf>
    <xf numFmtId="0" fontId="2" fillId="0" borderId="0" xfId="2" applyNumberFormat="1" applyFont="1" applyAlignment="1">
      <alignment horizontal="center"/>
    </xf>
    <xf numFmtId="1" fontId="2" fillId="0" borderId="0" xfId="2" applyNumberFormat="1" applyFont="1" applyAlignment="1">
      <alignment horizontal="center"/>
    </xf>
    <xf numFmtId="1" fontId="2" fillId="0" borderId="0" xfId="0" applyNumberFormat="1" applyFont="1" applyBorder="1" applyAlignment="1">
      <alignment horizontal="center"/>
    </xf>
    <xf numFmtId="40" fontId="2" fillId="0" borderId="0" xfId="1" applyNumberFormat="1" applyFont="1" applyBorder="1" applyAlignment="1" applyProtection="1">
      <alignment horizontal="center"/>
    </xf>
    <xf numFmtId="0" fontId="2" fillId="0" borderId="3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3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0" fontId="2" fillId="0" borderId="1" xfId="1" applyNumberFormat="1" applyFont="1" applyBorder="1" applyAlignment="1" applyProtection="1">
      <alignment horizontal="center"/>
    </xf>
    <xf numFmtId="0" fontId="2" fillId="0" borderId="3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55" fillId="0" borderId="0" xfId="2" applyNumberFormat="1" applyFont="1" applyAlignment="1">
      <alignment horizontal="center"/>
    </xf>
    <xf numFmtId="170" fontId="2" fillId="0" borderId="4" xfId="1" applyNumberFormat="1" applyFont="1" applyBorder="1" applyAlignment="1" applyProtection="1">
      <alignment horizontal="center"/>
    </xf>
    <xf numFmtId="170" fontId="2" fillId="0" borderId="11" xfId="1" applyNumberFormat="1" applyFont="1" applyBorder="1" applyAlignment="1" applyProtection="1">
      <alignment horizontal="center"/>
    </xf>
    <xf numFmtId="7" fontId="26" fillId="0" borderId="0" xfId="0" applyNumberFormat="1" applyFont="1" applyAlignment="1">
      <alignment horizontal="center"/>
    </xf>
    <xf numFmtId="0" fontId="0" fillId="0" borderId="37" xfId="0" applyBorder="1"/>
    <xf numFmtId="0" fontId="34" fillId="0" borderId="37" xfId="0" applyFont="1" applyBorder="1"/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31" fillId="0" borderId="0" xfId="0" applyFont="1"/>
    <xf numFmtId="171" fontId="2" fillId="0" borderId="0" xfId="1" applyNumberFormat="1" applyFont="1" applyAlignment="1">
      <alignment horizontal="center"/>
    </xf>
    <xf numFmtId="0" fontId="34" fillId="0" borderId="0" xfId="0" applyFont="1" applyAlignment="1"/>
    <xf numFmtId="0" fontId="56" fillId="0" borderId="37" xfId="0" applyFont="1" applyBorder="1"/>
    <xf numFmtId="0" fontId="0" fillId="0" borderId="37" xfId="0" applyBorder="1" applyAlignment="1">
      <alignment horizontal="center"/>
    </xf>
    <xf numFmtId="0" fontId="57" fillId="0" borderId="37" xfId="0" applyFont="1" applyBorder="1" applyAlignment="1">
      <alignment horizontal="left" wrapText="1"/>
    </xf>
    <xf numFmtId="0" fontId="2" fillId="2" borderId="0" xfId="0" applyFont="1" applyFill="1" applyAlignment="1">
      <alignment horizontal="left" wrapText="1"/>
    </xf>
    <xf numFmtId="0" fontId="10" fillId="0" borderId="0" xfId="0" applyFont="1" applyAlignment="1">
      <alignment horizontal="left" wrapText="1"/>
    </xf>
    <xf numFmtId="0" fontId="58" fillId="0" borderId="37" xfId="0" applyFont="1" applyBorder="1" applyAlignment="1">
      <alignment wrapText="1"/>
    </xf>
    <xf numFmtId="171" fontId="2" fillId="0" borderId="0" xfId="1" quotePrefix="1" applyNumberFormat="1" applyFont="1" applyAlignment="1">
      <alignment horizontal="center"/>
    </xf>
    <xf numFmtId="0" fontId="2" fillId="0" borderId="0" xfId="0" quotePrefix="1" applyFont="1" applyAlignment="1">
      <alignment horizontal="left" wrapText="1"/>
    </xf>
    <xf numFmtId="1" fontId="2" fillId="0" borderId="0" xfId="0" quotePrefix="1" applyNumberFormat="1" applyFont="1" applyAlignment="1">
      <alignment horizontal="center"/>
    </xf>
    <xf numFmtId="0" fontId="2" fillId="0" borderId="0" xfId="0" quotePrefix="1" applyFont="1" applyAlignment="1">
      <alignment wrapText="1"/>
    </xf>
    <xf numFmtId="37" fontId="2" fillId="0" borderId="0" xfId="0" applyNumberFormat="1" applyFont="1" applyAlignment="1">
      <alignment horizontal="left" wrapText="1"/>
    </xf>
    <xf numFmtId="0" fontId="31" fillId="0" borderId="0" xfId="0" applyFont="1" applyAlignment="1">
      <alignment horizontal="left" wrapText="1"/>
    </xf>
    <xf numFmtId="1" fontId="2" fillId="0" borderId="0" xfId="0" quotePrefix="1" applyNumberFormat="1" applyFont="1" applyAlignment="1">
      <alignment horizontal="left"/>
    </xf>
    <xf numFmtId="171" fontId="2" fillId="0" borderId="0" xfId="1" quotePrefix="1" applyNumberFormat="1" applyFont="1" applyAlignment="1">
      <alignment wrapText="1"/>
    </xf>
    <xf numFmtId="0" fontId="33" fillId="0" borderId="0" xfId="0" applyFont="1" applyAlignment="1">
      <alignment horizontal="left" wrapText="1"/>
    </xf>
    <xf numFmtId="5" fontId="2" fillId="0" borderId="0" xfId="0" quotePrefix="1" applyNumberFormat="1" applyFont="1" applyAlignment="1">
      <alignment horizontal="left" wrapText="1"/>
    </xf>
    <xf numFmtId="5" fontId="2" fillId="0" borderId="0" xfId="0" quotePrefix="1" applyNumberFormat="1" applyFont="1" applyAlignment="1">
      <alignment horizontal="left"/>
    </xf>
    <xf numFmtId="5" fontId="26" fillId="0" borderId="0" xfId="0" quotePrefix="1" applyNumberFormat="1" applyFont="1" applyAlignment="1">
      <alignment horizontal="left"/>
    </xf>
    <xf numFmtId="5" fontId="26" fillId="0" borderId="0" xfId="0" quotePrefix="1" applyNumberFormat="1" applyFont="1" applyAlignment="1">
      <alignment horizontal="left" wrapText="1"/>
    </xf>
    <xf numFmtId="179" fontId="2" fillId="0" borderId="0" xfId="0" quotePrefix="1" applyNumberFormat="1" applyFont="1" applyAlignment="1">
      <alignment horizontal="left" wrapText="1"/>
    </xf>
    <xf numFmtId="0" fontId="32" fillId="0" borderId="0" xfId="0" applyFont="1" applyBorder="1" applyAlignment="1">
      <alignment horizontal="left" wrapText="1"/>
    </xf>
    <xf numFmtId="0" fontId="2" fillId="0" borderId="37" xfId="0" applyFont="1" applyBorder="1"/>
    <xf numFmtId="0" fontId="2" fillId="0" borderId="37" xfId="0" applyFont="1" applyBorder="1" applyAlignment="1">
      <alignment horizontal="center"/>
    </xf>
    <xf numFmtId="37" fontId="2" fillId="0" borderId="37" xfId="0" applyNumberFormat="1" applyFont="1" applyBorder="1" applyAlignment="1">
      <alignment horizontal="center"/>
    </xf>
    <xf numFmtId="37" fontId="2" fillId="0" borderId="37" xfId="0" applyNumberFormat="1" applyFont="1" applyBorder="1" applyAlignment="1">
      <alignment horizontal="left" wrapText="1"/>
    </xf>
    <xf numFmtId="0" fontId="2" fillId="0" borderId="37" xfId="0" applyFont="1" applyBorder="1" applyAlignment="1">
      <alignment horizontal="left" wrapText="1"/>
    </xf>
    <xf numFmtId="5" fontId="2" fillId="0" borderId="0" xfId="0" applyNumberFormat="1" applyFont="1" applyAlignment="1">
      <alignment horizontal="left" wrapText="1"/>
    </xf>
    <xf numFmtId="0" fontId="2" fillId="0" borderId="0" xfId="0" applyFont="1" applyBorder="1" applyAlignment="1">
      <alignment horizontal="left" wrapText="1"/>
    </xf>
    <xf numFmtId="2" fontId="2" fillId="0" borderId="0" xfId="0" quotePrefix="1" applyNumberFormat="1" applyFont="1" applyAlignment="1">
      <alignment horizontal="center"/>
    </xf>
    <xf numFmtId="5" fontId="2" fillId="0" borderId="0" xfId="0" quotePrefix="1" applyNumberFormat="1" applyFont="1" applyAlignment="1">
      <alignment horizontal="center"/>
    </xf>
    <xf numFmtId="5" fontId="26" fillId="0" borderId="0" xfId="0" quotePrefix="1" applyNumberFormat="1" applyFont="1" applyAlignment="1">
      <alignment horizontal="center"/>
    </xf>
    <xf numFmtId="0" fontId="3" fillId="0" borderId="15" xfId="0" applyFont="1" applyBorder="1" applyAlignment="1">
      <alignment horizontal="center" wrapText="1"/>
    </xf>
    <xf numFmtId="0" fontId="61" fillId="0" borderId="0" xfId="0" applyFont="1" applyAlignment="1">
      <alignment horizontal="centerContinuous"/>
    </xf>
    <xf numFmtId="0" fontId="61" fillId="0" borderId="0" xfId="0" quotePrefix="1" applyFont="1" applyAlignment="1">
      <alignment horizontal="centerContinuous"/>
    </xf>
    <xf numFmtId="0" fontId="6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71" fontId="3" fillId="0" borderId="0" xfId="0" applyNumberFormat="1" applyFont="1" applyAlignment="1">
      <alignment horizontal="center"/>
    </xf>
    <xf numFmtId="171" fontId="3" fillId="0" borderId="0" xfId="1" quotePrefix="1" applyNumberFormat="1" applyFont="1" applyAlignment="1">
      <alignment horizontal="center"/>
    </xf>
    <xf numFmtId="0" fontId="10" fillId="0" borderId="0" xfId="0" applyFont="1" applyAlignment="1">
      <alignment horizontal="center"/>
    </xf>
    <xf numFmtId="5" fontId="2" fillId="0" borderId="0" xfId="0" applyNumberFormat="1" applyFont="1" applyAlignment="1">
      <alignment horizontal="center" wrapText="1"/>
    </xf>
    <xf numFmtId="0" fontId="2" fillId="0" borderId="0" xfId="0" quotePrefix="1" applyFont="1" applyAlignment="1">
      <alignment horizontal="justify" wrapText="1"/>
    </xf>
    <xf numFmtId="0" fontId="45" fillId="3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64" fillId="3" borderId="0" xfId="0" applyFont="1" applyFill="1" applyAlignment="1">
      <alignment horizontal="left"/>
    </xf>
    <xf numFmtId="0" fontId="64" fillId="0" borderId="0" xfId="0" applyFont="1" applyAlignment="1">
      <alignment horizontal="left"/>
    </xf>
    <xf numFmtId="0" fontId="64" fillId="0" borderId="0" xfId="0" applyFont="1"/>
    <xf numFmtId="0" fontId="50" fillId="3" borderId="0" xfId="0" applyFont="1" applyFill="1" applyAlignment="1">
      <alignment horizontal="left"/>
    </xf>
    <xf numFmtId="0" fontId="50" fillId="0" borderId="0" xfId="0" applyFont="1" applyAlignment="1">
      <alignment horizontal="left"/>
    </xf>
    <xf numFmtId="0" fontId="50" fillId="0" borderId="0" xfId="0" applyFont="1"/>
    <xf numFmtId="0" fontId="63" fillId="3" borderId="0" xfId="0" applyFont="1" applyFill="1" applyAlignment="1">
      <alignment horizontal="left"/>
    </xf>
    <xf numFmtId="0" fontId="65" fillId="3" borderId="0" xfId="0" applyFont="1" applyFill="1" applyAlignment="1">
      <alignment horizontal="centerContinuous"/>
    </xf>
    <xf numFmtId="0" fontId="65" fillId="3" borderId="0" xfId="0" applyFont="1" applyFill="1" applyAlignment="1">
      <alignment horizontal="left"/>
    </xf>
    <xf numFmtId="0" fontId="32" fillId="3" borderId="0" xfId="0" applyFont="1" applyFill="1" applyAlignment="1">
      <alignment horizontal="left"/>
    </xf>
    <xf numFmtId="0" fontId="32" fillId="0" borderId="0" xfId="0" applyFont="1" applyAlignment="1">
      <alignment horizontal="left"/>
    </xf>
    <xf numFmtId="0" fontId="32" fillId="0" borderId="0" xfId="0" applyFont="1"/>
    <xf numFmtId="0" fontId="32" fillId="3" borderId="0" xfId="0" applyFont="1" applyFill="1"/>
    <xf numFmtId="0" fontId="44" fillId="3" borderId="0" xfId="0" applyFont="1" applyFill="1" applyAlignment="1">
      <alignment horizontal="left"/>
    </xf>
    <xf numFmtId="2" fontId="19" fillId="0" borderId="0" xfId="0" applyNumberFormat="1" applyFont="1" applyBorder="1"/>
    <xf numFmtId="2" fontId="19" fillId="0" borderId="4" xfId="0" applyNumberFormat="1" applyFont="1" applyBorder="1"/>
    <xf numFmtId="0" fontId="63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Continuous"/>
    </xf>
    <xf numFmtId="0" fontId="2" fillId="3" borderId="0" xfId="0" applyNumberFormat="1" applyFont="1" applyFill="1" applyAlignment="1">
      <alignment horizontal="left"/>
    </xf>
    <xf numFmtId="181" fontId="44" fillId="3" borderId="0" xfId="0" applyNumberFormat="1" applyFont="1" applyFill="1" applyAlignment="1">
      <alignment horizontal="centerContinuous"/>
    </xf>
    <xf numFmtId="181" fontId="44" fillId="3" borderId="0" xfId="0" applyNumberFormat="1" applyFont="1" applyFill="1" applyAlignment="1">
      <alignment horizontal="center"/>
    </xf>
    <xf numFmtId="181" fontId="44" fillId="3" borderId="0" xfId="0" applyNumberFormat="1" applyFont="1" applyFill="1" applyAlignment="1">
      <alignment horizontal="right"/>
    </xf>
    <xf numFmtId="0" fontId="67" fillId="0" borderId="0" xfId="0" applyFont="1" applyAlignment="1">
      <alignment horizontal="left"/>
    </xf>
    <xf numFmtId="0" fontId="2" fillId="5" borderId="0" xfId="0" applyFont="1" applyFill="1"/>
    <xf numFmtId="0" fontId="69" fillId="0" borderId="0" xfId="3"/>
    <xf numFmtId="39" fontId="2" fillId="0" borderId="0" xfId="0" applyNumberFormat="1" applyFont="1"/>
    <xf numFmtId="0" fontId="19" fillId="5" borderId="0" xfId="0" applyFont="1" applyFill="1" applyAlignment="1">
      <alignment horizontal="center"/>
    </xf>
    <xf numFmtId="3" fontId="19" fillId="5" borderId="0" xfId="1" applyNumberFormat="1" applyFont="1" applyFill="1" applyAlignment="1">
      <alignment horizontal="center"/>
    </xf>
    <xf numFmtId="0" fontId="3" fillId="5" borderId="0" xfId="0" applyFont="1" applyFill="1"/>
    <xf numFmtId="9" fontId="19" fillId="5" borderId="0" xfId="2" applyFont="1" applyFill="1" applyAlignment="1">
      <alignment horizontal="center"/>
    </xf>
    <xf numFmtId="0" fontId="19" fillId="5" borderId="0" xfId="2" applyNumberFormat="1" applyFont="1" applyFill="1" applyAlignment="1">
      <alignment horizontal="center"/>
    </xf>
    <xf numFmtId="0" fontId="67" fillId="0" borderId="0" xfId="0" applyFont="1"/>
    <xf numFmtId="0" fontId="67" fillId="0" borderId="0" xfId="0" applyFont="1" applyAlignment="1">
      <alignment wrapText="1"/>
    </xf>
    <xf numFmtId="0" fontId="72" fillId="3" borderId="0" xfId="0" applyFont="1" applyFill="1" applyAlignment="1"/>
    <xf numFmtId="0" fontId="73" fillId="3" borderId="0" xfId="0" applyFont="1" applyFill="1"/>
    <xf numFmtId="0" fontId="73" fillId="0" borderId="0" xfId="0" applyFont="1"/>
    <xf numFmtId="0" fontId="74" fillId="3" borderId="0" xfId="0" applyFont="1" applyFill="1" applyAlignment="1"/>
    <xf numFmtId="0" fontId="73" fillId="3" borderId="0" xfId="0" applyFont="1" applyFill="1" applyAlignment="1">
      <alignment horizontal="left"/>
    </xf>
    <xf numFmtId="0" fontId="73" fillId="0" borderId="0" xfId="0" applyFont="1" applyAlignment="1">
      <alignment horizontal="left"/>
    </xf>
    <xf numFmtId="0" fontId="74" fillId="3" borderId="0" xfId="0" applyFont="1" applyFill="1" applyAlignment="1">
      <alignment horizontal="center"/>
    </xf>
    <xf numFmtId="0" fontId="75" fillId="3" borderId="0" xfId="0" applyFont="1" applyFill="1" applyAlignment="1"/>
    <xf numFmtId="0" fontId="76" fillId="3" borderId="0" xfId="0" applyFont="1" applyFill="1" applyAlignment="1">
      <alignment horizontal="left"/>
    </xf>
    <xf numFmtId="0" fontId="76" fillId="0" borderId="0" xfId="0" applyFont="1" applyAlignment="1">
      <alignment horizontal="left"/>
    </xf>
    <xf numFmtId="0" fontId="76" fillId="0" borderId="0" xfId="0" applyFont="1"/>
    <xf numFmtId="0" fontId="73" fillId="0" borderId="16" xfId="0" applyFont="1" applyBorder="1"/>
    <xf numFmtId="0" fontId="78" fillId="0" borderId="13" xfId="0" applyFont="1" applyBorder="1" applyAlignment="1">
      <alignment horizontal="center"/>
    </xf>
    <xf numFmtId="0" fontId="78" fillId="0" borderId="8" xfId="0" applyFont="1" applyBorder="1" applyAlignment="1">
      <alignment horizontal="center"/>
    </xf>
    <xf numFmtId="0" fontId="73" fillId="0" borderId="0" xfId="0" applyFont="1" applyAlignment="1">
      <alignment horizontal="center"/>
    </xf>
    <xf numFmtId="0" fontId="73" fillId="0" borderId="8" xfId="0" applyFont="1" applyBorder="1"/>
    <xf numFmtId="0" fontId="79" fillId="0" borderId="0" xfId="0" applyFont="1"/>
    <xf numFmtId="0" fontId="78" fillId="5" borderId="0" xfId="0" applyFont="1" applyFill="1" applyBorder="1" applyAlignment="1">
      <alignment horizontal="center" vertical="center"/>
    </xf>
    <xf numFmtId="0" fontId="73" fillId="5" borderId="0" xfId="0" applyFont="1" applyFill="1" applyAlignment="1">
      <alignment horizontal="center"/>
    </xf>
    <xf numFmtId="3" fontId="73" fillId="0" borderId="0" xfId="0" applyNumberFormat="1" applyFont="1" applyAlignment="1">
      <alignment horizontal="center"/>
    </xf>
    <xf numFmtId="9" fontId="73" fillId="0" borderId="0" xfId="2" applyFont="1" applyAlignment="1">
      <alignment horizontal="center"/>
    </xf>
    <xf numFmtId="0" fontId="73" fillId="0" borderId="0" xfId="0" applyFont="1" applyBorder="1" applyAlignment="1">
      <alignment horizontal="center"/>
    </xf>
    <xf numFmtId="0" fontId="73" fillId="0" borderId="0" xfId="2" applyNumberFormat="1" applyFont="1" applyAlignment="1">
      <alignment horizontal="center"/>
    </xf>
    <xf numFmtId="9" fontId="73" fillId="0" borderId="0" xfId="2" applyNumberFormat="1" applyFont="1" applyAlignment="1">
      <alignment horizontal="center"/>
    </xf>
    <xf numFmtId="5" fontId="73" fillId="0" borderId="0" xfId="0" applyNumberFormat="1" applyFont="1" applyAlignment="1">
      <alignment horizontal="center"/>
    </xf>
    <xf numFmtId="2" fontId="73" fillId="0" borderId="0" xfId="0" applyNumberFormat="1" applyFont="1" applyAlignment="1">
      <alignment horizontal="center"/>
    </xf>
    <xf numFmtId="0" fontId="78" fillId="0" borderId="0" xfId="0" applyFont="1"/>
    <xf numFmtId="168" fontId="73" fillId="0" borderId="0" xfId="0" applyNumberFormat="1" applyFont="1" applyAlignment="1">
      <alignment horizontal="center"/>
    </xf>
    <xf numFmtId="0" fontId="82" fillId="0" borderId="0" xfId="0" applyFont="1"/>
    <xf numFmtId="0" fontId="73" fillId="0" borderId="0" xfId="1" applyNumberFormat="1" applyFont="1" applyAlignment="1">
      <alignment horizontal="center"/>
    </xf>
    <xf numFmtId="2" fontId="73" fillId="0" borderId="0" xfId="2" applyNumberFormat="1" applyFont="1" applyAlignment="1">
      <alignment horizontal="center"/>
    </xf>
    <xf numFmtId="172" fontId="73" fillId="0" borderId="0" xfId="2" applyNumberFormat="1" applyFont="1" applyAlignment="1">
      <alignment horizontal="center"/>
    </xf>
    <xf numFmtId="1" fontId="73" fillId="0" borderId="0" xfId="1" applyNumberFormat="1" applyFont="1" applyAlignment="1">
      <alignment horizontal="center"/>
    </xf>
    <xf numFmtId="0" fontId="73" fillId="0" borderId="0" xfId="0" applyFont="1" applyAlignment="1">
      <alignment horizontal="center" wrapText="1"/>
    </xf>
    <xf numFmtId="4" fontId="73" fillId="0" borderId="0" xfId="1" applyNumberFormat="1" applyFont="1" applyAlignment="1">
      <alignment horizontal="center"/>
    </xf>
    <xf numFmtId="3" fontId="73" fillId="0" borderId="0" xfId="1" applyNumberFormat="1" applyFont="1" applyAlignment="1">
      <alignment horizontal="center"/>
    </xf>
    <xf numFmtId="0" fontId="73" fillId="0" borderId="8" xfId="0" applyFont="1" applyBorder="1" applyAlignment="1">
      <alignment horizontal="center"/>
    </xf>
    <xf numFmtId="0" fontId="78" fillId="0" borderId="39" xfId="0" applyFont="1" applyFill="1" applyBorder="1" applyAlignment="1">
      <alignment horizontal="center" vertical="center"/>
    </xf>
    <xf numFmtId="0" fontId="78" fillId="0" borderId="43" xfId="0" applyFont="1" applyFill="1" applyBorder="1" applyAlignment="1">
      <alignment horizontal="center" vertical="center"/>
    </xf>
    <xf numFmtId="0" fontId="78" fillId="0" borderId="8" xfId="0" applyFont="1" applyFill="1" applyBorder="1" applyAlignment="1">
      <alignment horizontal="center" vertical="center"/>
    </xf>
    <xf numFmtId="0" fontId="78" fillId="0" borderId="38" xfId="0" applyFont="1" applyBorder="1" applyAlignment="1">
      <alignment horizontal="center"/>
    </xf>
    <xf numFmtId="0" fontId="78" fillId="0" borderId="42" xfId="0" applyFont="1" applyBorder="1" applyAlignment="1">
      <alignment horizontal="center"/>
    </xf>
    <xf numFmtId="0" fontId="78" fillId="0" borderId="40" xfId="0" applyFont="1" applyBorder="1" applyAlignment="1">
      <alignment horizontal="center"/>
    </xf>
    <xf numFmtId="0" fontId="78" fillId="0" borderId="44" xfId="0" applyFont="1" applyBorder="1" applyAlignment="1">
      <alignment horizontal="center"/>
    </xf>
    <xf numFmtId="0" fontId="73" fillId="0" borderId="41" xfId="0" applyFont="1" applyBorder="1"/>
    <xf numFmtId="0" fontId="73" fillId="0" borderId="45" xfId="0" applyFont="1" applyBorder="1"/>
    <xf numFmtId="0" fontId="73" fillId="0" borderId="41" xfId="0" applyFont="1" applyBorder="1" applyAlignment="1">
      <alignment horizontal="center"/>
    </xf>
    <xf numFmtId="0" fontId="73" fillId="0" borderId="45" xfId="0" applyFont="1" applyBorder="1" applyAlignment="1">
      <alignment horizontal="center"/>
    </xf>
    <xf numFmtId="0" fontId="73" fillId="0" borderId="40" xfId="0" applyFont="1" applyBorder="1" applyAlignment="1">
      <alignment horizontal="center"/>
    </xf>
    <xf numFmtId="0" fontId="73" fillId="6" borderId="44" xfId="0" applyFont="1" applyFill="1" applyBorder="1" applyAlignment="1">
      <alignment horizontal="center"/>
    </xf>
    <xf numFmtId="0" fontId="73" fillId="6" borderId="8" xfId="0" applyFont="1" applyFill="1" applyBorder="1" applyAlignment="1">
      <alignment horizontal="center"/>
    </xf>
    <xf numFmtId="0" fontId="78" fillId="5" borderId="40" xfId="0" applyFont="1" applyFill="1" applyBorder="1" applyAlignment="1">
      <alignment horizontal="center" vertical="center"/>
    </xf>
    <xf numFmtId="0" fontId="78" fillId="5" borderId="44" xfId="0" applyFont="1" applyFill="1" applyBorder="1" applyAlignment="1">
      <alignment horizontal="center" vertical="center"/>
    </xf>
    <xf numFmtId="0" fontId="78" fillId="5" borderId="8" xfId="0" applyFont="1" applyFill="1" applyBorder="1" applyAlignment="1">
      <alignment horizontal="center" vertical="center"/>
    </xf>
    <xf numFmtId="0" fontId="78" fillId="0" borderId="41" xfId="0" applyFont="1" applyBorder="1" applyAlignment="1">
      <alignment horizontal="center"/>
    </xf>
    <xf numFmtId="0" fontId="78" fillId="6" borderId="45" xfId="0" applyFont="1" applyFill="1" applyBorder="1" applyAlignment="1">
      <alignment horizontal="center"/>
    </xf>
    <xf numFmtId="0" fontId="78" fillId="0" borderId="45" xfId="0" applyFont="1" applyBorder="1" applyAlignment="1">
      <alignment horizontal="center"/>
    </xf>
    <xf numFmtId="0" fontId="78" fillId="0" borderId="0" xfId="0" applyFont="1" applyAlignment="1">
      <alignment horizontal="center"/>
    </xf>
    <xf numFmtId="5" fontId="73" fillId="0" borderId="41" xfId="0" applyNumberFormat="1" applyFont="1" applyBorder="1" applyAlignment="1">
      <alignment horizontal="center"/>
    </xf>
    <xf numFmtId="5" fontId="73" fillId="6" borderId="45" xfId="0" applyNumberFormat="1" applyFont="1" applyFill="1" applyBorder="1" applyAlignment="1">
      <alignment horizontal="center"/>
    </xf>
    <xf numFmtId="5" fontId="73" fillId="0" borderId="45" xfId="0" applyNumberFormat="1" applyFont="1" applyBorder="1" applyAlignment="1">
      <alignment horizontal="center"/>
    </xf>
    <xf numFmtId="179" fontId="73" fillId="0" borderId="41" xfId="0" applyNumberFormat="1" applyFont="1" applyBorder="1" applyAlignment="1">
      <alignment horizontal="center"/>
    </xf>
    <xf numFmtId="179" fontId="73" fillId="6" borderId="45" xfId="0" applyNumberFormat="1" applyFont="1" applyFill="1" applyBorder="1" applyAlignment="1">
      <alignment horizontal="center"/>
    </xf>
    <xf numFmtId="179" fontId="73" fillId="0" borderId="45" xfId="0" applyNumberFormat="1" applyFont="1" applyBorder="1" applyAlignment="1">
      <alignment horizontal="center"/>
    </xf>
    <xf numFmtId="179" fontId="73" fillId="0" borderId="0" xfId="0" applyNumberFormat="1" applyFont="1" applyAlignment="1">
      <alignment horizontal="center"/>
    </xf>
    <xf numFmtId="2" fontId="73" fillId="0" borderId="41" xfId="0" applyNumberFormat="1" applyFont="1" applyBorder="1" applyAlignment="1">
      <alignment horizontal="center"/>
    </xf>
    <xf numFmtId="2" fontId="73" fillId="6" borderId="45" xfId="0" applyNumberFormat="1" applyFont="1" applyFill="1" applyBorder="1" applyAlignment="1">
      <alignment horizontal="center"/>
    </xf>
    <xf numFmtId="2" fontId="73" fillId="0" borderId="45" xfId="0" applyNumberFormat="1" applyFont="1" applyBorder="1" applyAlignment="1">
      <alignment horizontal="center"/>
    </xf>
    <xf numFmtId="0" fontId="78" fillId="5" borderId="39" xfId="0" applyFont="1" applyFill="1" applyBorder="1" applyAlignment="1">
      <alignment horizontal="center" vertical="center"/>
    </xf>
    <xf numFmtId="0" fontId="78" fillId="6" borderId="43" xfId="0" applyFont="1" applyFill="1" applyBorder="1" applyAlignment="1">
      <alignment horizontal="center"/>
    </xf>
    <xf numFmtId="0" fontId="78" fillId="6" borderId="16" xfId="0" applyFont="1" applyFill="1" applyBorder="1" applyAlignment="1">
      <alignment horizontal="center"/>
    </xf>
    <xf numFmtId="0" fontId="78" fillId="6" borderId="0" xfId="0" applyFont="1" applyFill="1" applyAlignment="1">
      <alignment horizontal="center"/>
    </xf>
    <xf numFmtId="5" fontId="73" fillId="6" borderId="0" xfId="0" applyNumberFormat="1" applyFont="1" applyFill="1" applyAlignment="1">
      <alignment horizontal="center"/>
    </xf>
    <xf numFmtId="2" fontId="73" fillId="6" borderId="0" xfId="0" applyNumberFormat="1" applyFont="1" applyFill="1" applyAlignment="1">
      <alignment horizontal="center"/>
    </xf>
    <xf numFmtId="179" fontId="73" fillId="6" borderId="0" xfId="0" applyNumberFormat="1" applyFont="1" applyFill="1" applyAlignment="1">
      <alignment horizontal="center"/>
    </xf>
    <xf numFmtId="0" fontId="73" fillId="6" borderId="45" xfId="0" applyFont="1" applyFill="1" applyBorder="1"/>
    <xf numFmtId="0" fontId="73" fillId="6" borderId="0" xfId="0" applyFont="1" applyFill="1"/>
    <xf numFmtId="0" fontId="73" fillId="6" borderId="41" xfId="0" applyFont="1" applyFill="1" applyBorder="1" applyAlignment="1">
      <alignment horizontal="center"/>
    </xf>
    <xf numFmtId="0" fontId="78" fillId="6" borderId="41" xfId="0" applyFont="1" applyFill="1" applyBorder="1" applyAlignment="1">
      <alignment horizontal="center"/>
    </xf>
    <xf numFmtId="5" fontId="73" fillId="6" borderId="41" xfId="0" applyNumberFormat="1" applyFont="1" applyFill="1" applyBorder="1" applyAlignment="1">
      <alignment horizontal="center"/>
    </xf>
    <xf numFmtId="179" fontId="73" fillId="6" borderId="41" xfId="0" applyNumberFormat="1" applyFont="1" applyFill="1" applyBorder="1" applyAlignment="1">
      <alignment horizontal="center"/>
    </xf>
    <xf numFmtId="2" fontId="73" fillId="6" borderId="41" xfId="0" applyNumberFormat="1" applyFont="1" applyFill="1" applyBorder="1" applyAlignment="1">
      <alignment horizontal="center"/>
    </xf>
    <xf numFmtId="0" fontId="77" fillId="0" borderId="46" xfId="0" applyFont="1" applyBorder="1"/>
    <xf numFmtId="0" fontId="78" fillId="0" borderId="48" xfId="0" applyFont="1" applyBorder="1" applyAlignment="1">
      <alignment horizontal="center"/>
    </xf>
    <xf numFmtId="0" fontId="78" fillId="0" borderId="49" xfId="0" applyFont="1" applyBorder="1" applyAlignment="1">
      <alignment horizontal="center"/>
    </xf>
    <xf numFmtId="0" fontId="78" fillId="0" borderId="50" xfId="0" applyFont="1" applyBorder="1" applyAlignment="1">
      <alignment horizontal="center"/>
    </xf>
    <xf numFmtId="0" fontId="78" fillId="0" borderId="51" xfId="0" applyFont="1" applyBorder="1" applyAlignment="1">
      <alignment horizontal="center"/>
    </xf>
    <xf numFmtId="0" fontId="73" fillId="0" borderId="52" xfId="0" applyFont="1" applyBorder="1"/>
    <xf numFmtId="0" fontId="73" fillId="0" borderId="53" xfId="0" applyFont="1" applyBorder="1"/>
    <xf numFmtId="0" fontId="79" fillId="0" borderId="52" xfId="0" applyFont="1" applyBorder="1"/>
    <xf numFmtId="0" fontId="73" fillId="0" borderId="53" xfId="0" applyFont="1" applyBorder="1" applyAlignment="1">
      <alignment horizontal="center"/>
    </xf>
    <xf numFmtId="0" fontId="73" fillId="0" borderId="51" xfId="0" applyFont="1" applyBorder="1" applyAlignment="1">
      <alignment horizontal="center"/>
    </xf>
    <xf numFmtId="5" fontId="73" fillId="0" borderId="53" xfId="0" applyNumberFormat="1" applyFont="1" applyBorder="1" applyAlignment="1">
      <alignment horizontal="center"/>
    </xf>
    <xf numFmtId="0" fontId="73" fillId="0" borderId="50" xfId="0" applyFont="1" applyBorder="1"/>
    <xf numFmtId="0" fontId="73" fillId="0" borderId="0" xfId="0" applyFont="1" applyBorder="1"/>
    <xf numFmtId="0" fontId="77" fillId="0" borderId="54" xfId="0" applyFont="1" applyBorder="1"/>
    <xf numFmtId="0" fontId="73" fillId="0" borderId="55" xfId="0" applyFont="1" applyBorder="1"/>
    <xf numFmtId="0" fontId="78" fillId="0" borderId="56" xfId="0" applyFont="1" applyFill="1" applyBorder="1" applyAlignment="1">
      <alignment horizontal="center" vertical="center"/>
    </xf>
    <xf numFmtId="0" fontId="78" fillId="0" borderId="57" xfId="0" applyFont="1" applyBorder="1" applyAlignment="1">
      <alignment horizontal="center"/>
    </xf>
    <xf numFmtId="0" fontId="78" fillId="0" borderId="58" xfId="0" applyFont="1" applyBorder="1" applyAlignment="1">
      <alignment horizontal="center"/>
    </xf>
    <xf numFmtId="0" fontId="78" fillId="0" borderId="59" xfId="0" applyFont="1" applyBorder="1" applyAlignment="1">
      <alignment horizontal="center"/>
    </xf>
    <xf numFmtId="0" fontId="78" fillId="0" borderId="60" xfId="0" applyFont="1" applyBorder="1" applyAlignment="1">
      <alignment horizontal="center"/>
    </xf>
    <xf numFmtId="0" fontId="73" fillId="0" borderId="61" xfId="0" applyFont="1" applyBorder="1"/>
    <xf numFmtId="0" fontId="73" fillId="0" borderId="62" xfId="0" applyFont="1" applyBorder="1"/>
    <xf numFmtId="0" fontId="79" fillId="0" borderId="61" xfId="0" applyFont="1" applyBorder="1"/>
    <xf numFmtId="0" fontId="73" fillId="0" borderId="62" xfId="0" applyFont="1" applyBorder="1" applyAlignment="1">
      <alignment horizontal="center"/>
    </xf>
    <xf numFmtId="0" fontId="73" fillId="0" borderId="60" xfId="0" applyFont="1" applyBorder="1" applyAlignment="1">
      <alignment horizontal="center"/>
    </xf>
    <xf numFmtId="0" fontId="78" fillId="5" borderId="60" xfId="0" applyFont="1" applyFill="1" applyBorder="1" applyAlignment="1">
      <alignment horizontal="center" vertical="center"/>
    </xf>
    <xf numFmtId="0" fontId="78" fillId="0" borderId="62" xfId="0" applyFont="1" applyBorder="1" applyAlignment="1">
      <alignment horizontal="center"/>
    </xf>
    <xf numFmtId="0" fontId="78" fillId="0" borderId="61" xfId="0" applyFont="1" applyBorder="1"/>
    <xf numFmtId="5" fontId="73" fillId="0" borderId="62" xfId="0" applyNumberFormat="1" applyFont="1" applyBorder="1" applyAlignment="1">
      <alignment horizontal="center"/>
    </xf>
    <xf numFmtId="0" fontId="83" fillId="0" borderId="61" xfId="0" applyFont="1" applyBorder="1"/>
    <xf numFmtId="179" fontId="73" fillId="0" borderId="62" xfId="0" applyNumberFormat="1" applyFont="1" applyBorder="1" applyAlignment="1">
      <alignment horizontal="center"/>
    </xf>
    <xf numFmtId="0" fontId="81" fillId="0" borderId="61" xfId="0" applyFont="1" applyBorder="1"/>
    <xf numFmtId="2" fontId="73" fillId="0" borderId="62" xfId="0" applyNumberFormat="1" applyFont="1" applyBorder="1" applyAlignment="1">
      <alignment horizontal="center"/>
    </xf>
    <xf numFmtId="0" fontId="73" fillId="0" borderId="63" xfId="0" applyFont="1" applyBorder="1"/>
    <xf numFmtId="0" fontId="73" fillId="0" borderId="64" xfId="0" applyFont="1" applyBorder="1" applyAlignment="1">
      <alignment horizontal="center"/>
    </xf>
    <xf numFmtId="179" fontId="73" fillId="0" borderId="65" xfId="0" applyNumberFormat="1" applyFont="1" applyBorder="1" applyAlignment="1">
      <alignment horizontal="center"/>
    </xf>
    <xf numFmtId="0" fontId="79" fillId="0" borderId="48" xfId="0" applyFont="1" applyBorder="1"/>
    <xf numFmtId="0" fontId="73" fillId="0" borderId="13" xfId="0" applyFont="1" applyBorder="1"/>
    <xf numFmtId="0" fontId="73" fillId="0" borderId="49" xfId="0" applyFont="1" applyBorder="1" applyAlignment="1">
      <alignment horizontal="center"/>
    </xf>
    <xf numFmtId="9" fontId="73" fillId="5" borderId="53" xfId="2" applyFont="1" applyFill="1" applyBorder="1" applyAlignment="1">
      <alignment horizontal="center"/>
    </xf>
    <xf numFmtId="9" fontId="73" fillId="0" borderId="53" xfId="2" applyFont="1" applyBorder="1" applyAlignment="1">
      <alignment horizontal="center"/>
    </xf>
    <xf numFmtId="9" fontId="73" fillId="0" borderId="51" xfId="2" applyFont="1" applyBorder="1" applyAlignment="1">
      <alignment horizontal="center"/>
    </xf>
    <xf numFmtId="0" fontId="84" fillId="3" borderId="52" xfId="0" applyFont="1" applyFill="1" applyBorder="1" applyAlignment="1">
      <alignment horizontal="center" vertical="center"/>
    </xf>
    <xf numFmtId="0" fontId="84" fillId="3" borderId="0" xfId="0" applyFont="1" applyFill="1" applyBorder="1" applyAlignment="1">
      <alignment horizontal="center" vertical="center"/>
    </xf>
    <xf numFmtId="0" fontId="84" fillId="3" borderId="53" xfId="0" applyFont="1" applyFill="1" applyBorder="1" applyAlignment="1">
      <alignment horizontal="center" vertical="center"/>
    </xf>
    <xf numFmtId="0" fontId="73" fillId="0" borderId="52" xfId="0" applyFont="1" applyBorder="1" applyAlignment="1">
      <alignment vertical="center"/>
    </xf>
    <xf numFmtId="0" fontId="73" fillId="0" borderId="0" xfId="0" applyFont="1" applyBorder="1" applyAlignment="1">
      <alignment vertical="center"/>
    </xf>
    <xf numFmtId="0" fontId="73" fillId="0" borderId="53" xfId="0" applyFont="1" applyBorder="1" applyAlignment="1">
      <alignment vertical="center"/>
    </xf>
    <xf numFmtId="0" fontId="73" fillId="0" borderId="47" xfId="0" applyFont="1" applyBorder="1"/>
    <xf numFmtId="0" fontId="73" fillId="0" borderId="51" xfId="0" applyFont="1" applyBorder="1"/>
    <xf numFmtId="0" fontId="73" fillId="5" borderId="53" xfId="0" applyFont="1" applyFill="1" applyBorder="1" applyAlignment="1">
      <alignment horizontal="center"/>
    </xf>
    <xf numFmtId="3" fontId="73" fillId="0" borderId="53" xfId="0" applyNumberFormat="1" applyFont="1" applyBorder="1" applyAlignment="1">
      <alignment horizontal="center"/>
    </xf>
    <xf numFmtId="0" fontId="73" fillId="0" borderId="53" xfId="2" applyNumberFormat="1" applyFont="1" applyBorder="1" applyAlignment="1">
      <alignment horizontal="center"/>
    </xf>
    <xf numFmtId="9" fontId="73" fillId="0" borderId="53" xfId="2" applyNumberFormat="1" applyFont="1" applyBorder="1" applyAlignment="1">
      <alignment horizontal="center"/>
    </xf>
    <xf numFmtId="0" fontId="42" fillId="3" borderId="0" xfId="0" applyFont="1" applyFill="1" applyAlignment="1">
      <alignment horizontal="center"/>
    </xf>
    <xf numFmtId="174" fontId="2" fillId="5" borderId="0" xfId="0" applyNumberFormat="1" applyFont="1" applyFill="1" applyAlignment="1">
      <alignment horizontal="center"/>
    </xf>
    <xf numFmtId="0" fontId="41" fillId="3" borderId="0" xfId="0" applyFont="1" applyFill="1" applyAlignment="1"/>
    <xf numFmtId="0" fontId="42" fillId="3" borderId="0" xfId="0" applyFont="1" applyFill="1" applyAlignment="1"/>
    <xf numFmtId="0" fontId="43" fillId="3" borderId="0" xfId="0" applyFont="1" applyFill="1" applyAlignment="1"/>
    <xf numFmtId="0" fontId="44" fillId="3" borderId="0" xfId="0" applyFont="1" applyFill="1" applyAlignment="1">
      <alignment horizontal="center"/>
    </xf>
    <xf numFmtId="0" fontId="45" fillId="3" borderId="0" xfId="0" applyFont="1" applyFill="1" applyAlignment="1"/>
    <xf numFmtId="0" fontId="66" fillId="3" borderId="0" xfId="0" applyFont="1" applyFill="1" applyAlignment="1"/>
    <xf numFmtId="0" fontId="41" fillId="3" borderId="0" xfId="0" applyFont="1" applyFill="1" applyAlignment="1">
      <alignment horizontal="center"/>
    </xf>
    <xf numFmtId="0" fontId="84" fillId="3" borderId="48" xfId="0" applyFont="1" applyFill="1" applyBorder="1" applyAlignment="1">
      <alignment horizontal="center" vertical="center"/>
    </xf>
    <xf numFmtId="0" fontId="84" fillId="3" borderId="13" xfId="0" applyFont="1" applyFill="1" applyBorder="1" applyAlignment="1">
      <alignment horizontal="center" vertical="center"/>
    </xf>
    <xf numFmtId="0" fontId="84" fillId="3" borderId="49" xfId="0" applyFont="1" applyFill="1" applyBorder="1" applyAlignment="1">
      <alignment horizontal="center" vertical="center"/>
    </xf>
    <xf numFmtId="0" fontId="84" fillId="3" borderId="52" xfId="0" applyFont="1" applyFill="1" applyBorder="1" applyAlignment="1">
      <alignment horizontal="center" vertical="center"/>
    </xf>
    <xf numFmtId="0" fontId="84" fillId="3" borderId="0" xfId="0" applyFont="1" applyFill="1" applyBorder="1" applyAlignment="1">
      <alignment horizontal="center" vertical="center"/>
    </xf>
    <xf numFmtId="0" fontId="84" fillId="3" borderId="53" xfId="0" applyFont="1" applyFill="1" applyBorder="1" applyAlignment="1">
      <alignment horizontal="center" vertical="center"/>
    </xf>
    <xf numFmtId="0" fontId="85" fillId="3" borderId="52" xfId="0" applyFont="1" applyFill="1" applyBorder="1" applyAlignment="1">
      <alignment horizontal="center" vertical="center"/>
    </xf>
    <xf numFmtId="0" fontId="85" fillId="3" borderId="0" xfId="0" applyFont="1" applyFill="1" applyBorder="1" applyAlignment="1">
      <alignment horizontal="center" vertical="center"/>
    </xf>
    <xf numFmtId="0" fontId="85" fillId="3" borderId="53" xfId="0" applyFont="1" applyFill="1" applyBorder="1" applyAlignment="1">
      <alignment horizontal="center" vertical="center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716280</xdr:colOff>
      <xdr:row>36</xdr:row>
      <xdr:rowOff>129540</xdr:rowOff>
    </xdr:from>
    <xdr:to>
      <xdr:col>4</xdr:col>
      <xdr:colOff>388620</xdr:colOff>
      <xdr:row>39</xdr:row>
      <xdr:rowOff>106680</xdr:rowOff>
    </xdr:to>
    <xdr:sp macro="" textlink="">
      <xdr:nvSpPr>
        <xdr:cNvPr id="1027" name="Text 3"/>
        <xdr:cNvSpPr txBox="1">
          <a:spLocks noChangeArrowheads="1"/>
        </xdr:cNvSpPr>
      </xdr:nvSpPr>
      <xdr:spPr bwMode="auto">
        <a:xfrm>
          <a:off x="4236720" y="8671560"/>
          <a:ext cx="1394460" cy="54102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800000"/>
              </a:solidFill>
              <a:latin typeface="Arial"/>
              <a:cs typeface="Arial"/>
            </a:rPr>
            <a:t>Default Values will be selected when "D" is input.</a:t>
          </a:r>
        </a:p>
      </xdr:txBody>
    </xdr:sp>
    <xdr:clientData/>
  </xdr:twoCellAnchor>
  <xdr:twoCellAnchor>
    <xdr:from>
      <xdr:col>3</xdr:col>
      <xdr:colOff>335280</xdr:colOff>
      <xdr:row>39</xdr:row>
      <xdr:rowOff>129540</xdr:rowOff>
    </xdr:from>
    <xdr:to>
      <xdr:col>3</xdr:col>
      <xdr:colOff>335280</xdr:colOff>
      <xdr:row>40</xdr:row>
      <xdr:rowOff>228600</xdr:rowOff>
    </xdr:to>
    <xdr:sp macro="" textlink="">
      <xdr:nvSpPr>
        <xdr:cNvPr id="1028" name="Line 4"/>
        <xdr:cNvSpPr>
          <a:spLocks noChangeShapeType="1"/>
        </xdr:cNvSpPr>
      </xdr:nvSpPr>
      <xdr:spPr bwMode="auto">
        <a:xfrm>
          <a:off x="4930140" y="9235440"/>
          <a:ext cx="0" cy="27432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777240</xdr:colOff>
      <xdr:row>75</xdr:row>
      <xdr:rowOff>91440</xdr:rowOff>
    </xdr:from>
    <xdr:to>
      <xdr:col>1</xdr:col>
      <xdr:colOff>0</xdr:colOff>
      <xdr:row>81</xdr:row>
      <xdr:rowOff>0</xdr:rowOff>
    </xdr:to>
    <xdr:sp macro="" textlink="">
      <xdr:nvSpPr>
        <xdr:cNvPr id="1031" name="Line 7"/>
        <xdr:cNvSpPr>
          <a:spLocks noChangeShapeType="1"/>
        </xdr:cNvSpPr>
      </xdr:nvSpPr>
      <xdr:spPr bwMode="auto">
        <a:xfrm>
          <a:off x="777240" y="15506700"/>
          <a:ext cx="1668780" cy="952500"/>
        </a:xfrm>
        <a:prstGeom prst="line">
          <a:avLst/>
        </a:prstGeom>
        <a:noFill/>
        <a:ln w="24765" cap="flat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  <a:round/>
          <a:headEnd/>
          <a:tailEnd type="non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2438400</xdr:colOff>
      <xdr:row>81</xdr:row>
      <xdr:rowOff>0</xdr:rowOff>
    </xdr:from>
    <xdr:to>
      <xdr:col>1</xdr:col>
      <xdr:colOff>975360</xdr:colOff>
      <xdr:row>81</xdr:row>
      <xdr:rowOff>0</xdr:rowOff>
    </xdr:to>
    <xdr:sp macro="" textlink="">
      <xdr:nvSpPr>
        <xdr:cNvPr id="1033" name="Line 9"/>
        <xdr:cNvSpPr>
          <a:spLocks noChangeShapeType="1"/>
        </xdr:cNvSpPr>
      </xdr:nvSpPr>
      <xdr:spPr bwMode="auto">
        <a:xfrm>
          <a:off x="2438400" y="16459200"/>
          <a:ext cx="982980" cy="0"/>
        </a:xfrm>
        <a:prstGeom prst="line">
          <a:avLst/>
        </a:prstGeom>
        <a:noFill/>
        <a:ln w="24765" cap="flat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3566160</xdr:colOff>
      <xdr:row>237</xdr:row>
      <xdr:rowOff>99060</xdr:rowOff>
    </xdr:from>
    <xdr:to>
      <xdr:col>10</xdr:col>
      <xdr:colOff>4655820</xdr:colOff>
      <xdr:row>237</xdr:row>
      <xdr:rowOff>99060</xdr:rowOff>
    </xdr:to>
    <xdr:sp macro="" textlink="">
      <xdr:nvSpPr>
        <xdr:cNvPr id="1035" name="Line 11"/>
        <xdr:cNvSpPr>
          <a:spLocks noChangeShapeType="1"/>
        </xdr:cNvSpPr>
      </xdr:nvSpPr>
      <xdr:spPr bwMode="auto">
        <a:xfrm>
          <a:off x="12176760" y="42786300"/>
          <a:ext cx="10896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99CC00" mc:Ignorable="a14" a14:legacySpreadsheetColorIndex="50"/>
          </a:solidFill>
          <a:prstDash val="solid"/>
          <a:round/>
          <a:headEnd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101600</xdr:colOff>
          <xdr:row>11</xdr:row>
          <xdr:rowOff>6350</xdr:rowOff>
        </xdr:from>
        <xdr:to>
          <xdr:col>1</xdr:col>
          <xdr:colOff>266700</xdr:colOff>
          <xdr:row>12</xdr:row>
          <xdr:rowOff>6350</xdr:rowOff>
        </xdr:to>
        <xdr:sp macro="" textlink="">
          <xdr:nvSpPr>
            <xdr:cNvPr id="1038" name="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APC Technology Choices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101600</xdr:colOff>
          <xdr:row>12</xdr:row>
          <xdr:rowOff>69850</xdr:rowOff>
        </xdr:from>
        <xdr:to>
          <xdr:col>1</xdr:col>
          <xdr:colOff>254000</xdr:colOff>
          <xdr:row>13</xdr:row>
          <xdr:rowOff>44450</xdr:rowOff>
        </xdr:to>
        <xdr:sp macro="" textlink="">
          <xdr:nvSpPr>
            <xdr:cNvPr id="1040" name="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General Plant Technical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13</xdr:row>
          <xdr:rowOff>107950</xdr:rowOff>
        </xdr:from>
        <xdr:to>
          <xdr:col>1</xdr:col>
          <xdr:colOff>234950</xdr:colOff>
          <xdr:row>14</xdr:row>
          <xdr:rowOff>82550</xdr:rowOff>
        </xdr:to>
        <xdr:sp macro="" textlink="">
          <xdr:nvSpPr>
            <xdr:cNvPr id="1041" name="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Economic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146050</xdr:rowOff>
        </xdr:from>
        <xdr:to>
          <xdr:col>1</xdr:col>
          <xdr:colOff>254000</xdr:colOff>
          <xdr:row>15</xdr:row>
          <xdr:rowOff>146050</xdr:rowOff>
        </xdr:to>
        <xdr:sp macro="" textlink="">
          <xdr:nvSpPr>
            <xdr:cNvPr id="1042" name="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LSFO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16</xdr:row>
          <xdr:rowOff>0</xdr:rowOff>
        </xdr:from>
        <xdr:to>
          <xdr:col>1</xdr:col>
          <xdr:colOff>234950</xdr:colOff>
          <xdr:row>16</xdr:row>
          <xdr:rowOff>190500</xdr:rowOff>
        </xdr:to>
        <xdr:sp macro="" textlink="">
          <xdr:nvSpPr>
            <xdr:cNvPr id="1043" name="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LSD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17</xdr:row>
          <xdr:rowOff>44450</xdr:rowOff>
        </xdr:from>
        <xdr:to>
          <xdr:col>1</xdr:col>
          <xdr:colOff>234950</xdr:colOff>
          <xdr:row>18</xdr:row>
          <xdr:rowOff>44450</xdr:rowOff>
        </xdr:to>
        <xdr:sp macro="" textlink="">
          <xdr:nvSpPr>
            <xdr:cNvPr id="1044" name="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Particulate Control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18</xdr:row>
          <xdr:rowOff>107950</xdr:rowOff>
        </xdr:from>
        <xdr:to>
          <xdr:col>1</xdr:col>
          <xdr:colOff>254000</xdr:colOff>
          <xdr:row>19</xdr:row>
          <xdr:rowOff>107950</xdr:rowOff>
        </xdr:to>
        <xdr:sp macro="" textlink="">
          <xdr:nvSpPr>
            <xdr:cNvPr id="1045" name="Button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NOx Control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21</xdr:row>
          <xdr:rowOff>107950</xdr:rowOff>
        </xdr:from>
        <xdr:to>
          <xdr:col>1</xdr:col>
          <xdr:colOff>254000</xdr:colOff>
          <xdr:row>22</xdr:row>
          <xdr:rowOff>107950</xdr:rowOff>
        </xdr:to>
        <xdr:sp macro="" textlink="">
          <xdr:nvSpPr>
            <xdr:cNvPr id="1047" name="Button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Cost Summary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22</xdr:row>
          <xdr:rowOff>177800</xdr:rowOff>
        </xdr:from>
        <xdr:to>
          <xdr:col>1</xdr:col>
          <xdr:colOff>254000</xdr:colOff>
          <xdr:row>23</xdr:row>
          <xdr:rowOff>177800</xdr:rowOff>
        </xdr:to>
        <xdr:sp macro="" textlink="">
          <xdr:nvSpPr>
            <xdr:cNvPr id="1048" name="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SCR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24</xdr:row>
          <xdr:rowOff>38100</xdr:rowOff>
        </xdr:from>
        <xdr:to>
          <xdr:col>1</xdr:col>
          <xdr:colOff>254000</xdr:colOff>
          <xdr:row>25</xdr:row>
          <xdr:rowOff>38100</xdr:rowOff>
        </xdr:to>
        <xdr:sp macro="" textlink="">
          <xdr:nvSpPr>
            <xdr:cNvPr id="1049" name="Button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SNCR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25</xdr:row>
          <xdr:rowOff>101600</xdr:rowOff>
        </xdr:from>
        <xdr:to>
          <xdr:col>1</xdr:col>
          <xdr:colOff>254000</xdr:colOff>
          <xdr:row>26</xdr:row>
          <xdr:rowOff>101600</xdr:rowOff>
        </xdr:to>
        <xdr:sp macro="" textlink="">
          <xdr:nvSpPr>
            <xdr:cNvPr id="1050" name="Button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Low NOx Burner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26</xdr:row>
          <xdr:rowOff>158750</xdr:rowOff>
        </xdr:from>
        <xdr:to>
          <xdr:col>1</xdr:col>
          <xdr:colOff>254000</xdr:colOff>
          <xdr:row>27</xdr:row>
          <xdr:rowOff>158750</xdr:rowOff>
        </xdr:to>
        <xdr:sp macro="" textlink="">
          <xdr:nvSpPr>
            <xdr:cNvPr id="1051" name="Button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Natural Gas Reburning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28</xdr:row>
          <xdr:rowOff>25400</xdr:rowOff>
        </xdr:from>
        <xdr:to>
          <xdr:col>1</xdr:col>
          <xdr:colOff>254000</xdr:colOff>
          <xdr:row>29</xdr:row>
          <xdr:rowOff>25400</xdr:rowOff>
        </xdr:to>
        <xdr:sp macro="" textlink="">
          <xdr:nvSpPr>
            <xdr:cNvPr id="1052" name="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LSFO Material Balances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29</xdr:row>
          <xdr:rowOff>76200</xdr:rowOff>
        </xdr:from>
        <xdr:to>
          <xdr:col>1</xdr:col>
          <xdr:colOff>254000</xdr:colOff>
          <xdr:row>30</xdr:row>
          <xdr:rowOff>76200</xdr:rowOff>
        </xdr:to>
        <xdr:sp macro="" textlink="">
          <xdr:nvSpPr>
            <xdr:cNvPr id="1053" name="Button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LSFO Cost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63500</xdr:colOff>
          <xdr:row>30</xdr:row>
          <xdr:rowOff>146050</xdr:rowOff>
        </xdr:from>
        <xdr:to>
          <xdr:col>1</xdr:col>
          <xdr:colOff>234950</xdr:colOff>
          <xdr:row>31</xdr:row>
          <xdr:rowOff>146050</xdr:rowOff>
        </xdr:to>
        <xdr:sp macro="" textlink="">
          <xdr:nvSpPr>
            <xdr:cNvPr id="1054" name="Button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LSD Material Balances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63500</xdr:colOff>
          <xdr:row>32</xdr:row>
          <xdr:rowOff>25400</xdr:rowOff>
        </xdr:from>
        <xdr:to>
          <xdr:col>1</xdr:col>
          <xdr:colOff>234950</xdr:colOff>
          <xdr:row>33</xdr:row>
          <xdr:rowOff>25400</xdr:rowOff>
        </xdr:to>
        <xdr:sp macro="" textlink="">
          <xdr:nvSpPr>
            <xdr:cNvPr id="1055" name="Button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LSD Cost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44450</xdr:colOff>
          <xdr:row>33</xdr:row>
          <xdr:rowOff>101600</xdr:rowOff>
        </xdr:from>
        <xdr:to>
          <xdr:col>1</xdr:col>
          <xdr:colOff>222250</xdr:colOff>
          <xdr:row>34</xdr:row>
          <xdr:rowOff>101600</xdr:rowOff>
        </xdr:to>
        <xdr:sp macro="" textlink="">
          <xdr:nvSpPr>
            <xdr:cNvPr id="1056" name="Button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Fabric Filter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34</xdr:row>
          <xdr:rowOff>177800</xdr:rowOff>
        </xdr:from>
        <xdr:to>
          <xdr:col>1</xdr:col>
          <xdr:colOff>215900</xdr:colOff>
          <xdr:row>35</xdr:row>
          <xdr:rowOff>177800</xdr:rowOff>
        </xdr:to>
        <xdr:sp macro="" textlink="">
          <xdr:nvSpPr>
            <xdr:cNvPr id="1057" name="Button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ESP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36</xdr:row>
          <xdr:rowOff>38100</xdr:rowOff>
        </xdr:from>
        <xdr:to>
          <xdr:col>1</xdr:col>
          <xdr:colOff>215900</xdr:colOff>
          <xdr:row>37</xdr:row>
          <xdr:rowOff>38100</xdr:rowOff>
        </xdr:to>
        <xdr:sp macro="" textlink="">
          <xdr:nvSpPr>
            <xdr:cNvPr id="1058" name="Button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Fuel and Combustion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44450</xdr:colOff>
          <xdr:row>37</xdr:row>
          <xdr:rowOff>114300</xdr:rowOff>
        </xdr:from>
        <xdr:to>
          <xdr:col>1</xdr:col>
          <xdr:colOff>222250</xdr:colOff>
          <xdr:row>38</xdr:row>
          <xdr:rowOff>120650</xdr:rowOff>
        </xdr:to>
        <xdr:sp macro="" textlink="">
          <xdr:nvSpPr>
            <xdr:cNvPr id="1059" name="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n-US" sz="900" b="0" i="1" u="none" strike="noStrike" baseline="0">
                  <a:solidFill>
                    <a:srgbClr val="333399"/>
                  </a:solidFill>
                  <a:latin typeface="Lucida Bright"/>
                </a:rPr>
                <a:t>Coal Analysis Library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44450</xdr:colOff>
          <xdr:row>10</xdr:row>
          <xdr:rowOff>69850</xdr:rowOff>
        </xdr:from>
        <xdr:to>
          <xdr:col>5</xdr:col>
          <xdr:colOff>0</xdr:colOff>
          <xdr:row>11</xdr:row>
          <xdr:rowOff>158750</xdr:rowOff>
        </xdr:to>
        <xdr:sp macro="" textlink="">
          <xdr:nvSpPr>
            <xdr:cNvPr id="1060" name="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Cost Summary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12</xdr:row>
          <xdr:rowOff>82550</xdr:rowOff>
        </xdr:from>
        <xdr:to>
          <xdr:col>5</xdr:col>
          <xdr:colOff>0</xdr:colOff>
          <xdr:row>14</xdr:row>
          <xdr:rowOff>25400</xdr:rowOff>
        </xdr:to>
        <xdr:sp macro="" textlink="">
          <xdr:nvSpPr>
            <xdr:cNvPr id="1061" name="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Input Summary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31750</xdr:colOff>
          <xdr:row>15</xdr:row>
          <xdr:rowOff>0</xdr:rowOff>
        </xdr:from>
        <xdr:to>
          <xdr:col>5</xdr:col>
          <xdr:colOff>0</xdr:colOff>
          <xdr:row>16</xdr:row>
          <xdr:rowOff>139700</xdr:rowOff>
        </xdr:to>
        <xdr:sp macro="" textlink="">
          <xdr:nvSpPr>
            <xdr:cNvPr id="1062" name="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NOx Control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31750</xdr:colOff>
          <xdr:row>17</xdr:row>
          <xdr:rowOff>120650</xdr:rowOff>
        </xdr:from>
        <xdr:to>
          <xdr:col>5</xdr:col>
          <xdr:colOff>0</xdr:colOff>
          <xdr:row>19</xdr:row>
          <xdr:rowOff>63500</xdr:rowOff>
        </xdr:to>
        <xdr:sp macro="" textlink="">
          <xdr:nvSpPr>
            <xdr:cNvPr id="1063" name="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Particulate Control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31750</xdr:colOff>
          <xdr:row>20</xdr:row>
          <xdr:rowOff>44450</xdr:rowOff>
        </xdr:from>
        <xdr:to>
          <xdr:col>5</xdr:col>
          <xdr:colOff>0</xdr:colOff>
          <xdr:row>21</xdr:row>
          <xdr:rowOff>139700</xdr:rowOff>
        </xdr:to>
        <xdr:sp macro="" textlink="">
          <xdr:nvSpPr>
            <xdr:cNvPr id="1064" name="Button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LSFO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31750</xdr:colOff>
          <xdr:row>22</xdr:row>
          <xdr:rowOff>114300</xdr:rowOff>
        </xdr:from>
        <xdr:to>
          <xdr:col>5</xdr:col>
          <xdr:colOff>0</xdr:colOff>
          <xdr:row>24</xdr:row>
          <xdr:rowOff>44450</xdr:rowOff>
        </xdr:to>
        <xdr:sp macro="" textlink="">
          <xdr:nvSpPr>
            <xdr:cNvPr id="1065" name="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LSD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44450</xdr:colOff>
          <xdr:row>25</xdr:row>
          <xdr:rowOff>6350</xdr:rowOff>
        </xdr:from>
        <xdr:to>
          <xdr:col>5</xdr:col>
          <xdr:colOff>0</xdr:colOff>
          <xdr:row>26</xdr:row>
          <xdr:rowOff>146050</xdr:rowOff>
        </xdr:to>
        <xdr:sp macro="" textlink="">
          <xdr:nvSpPr>
            <xdr:cNvPr id="1066" name="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Combustion Calculations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44450</xdr:colOff>
          <xdr:row>27</xdr:row>
          <xdr:rowOff>82550</xdr:rowOff>
        </xdr:from>
        <xdr:to>
          <xdr:col>5</xdr:col>
          <xdr:colOff>0</xdr:colOff>
          <xdr:row>29</xdr:row>
          <xdr:rowOff>25400</xdr:rowOff>
        </xdr:to>
        <xdr:sp macro="" textlink="">
          <xdr:nvSpPr>
            <xdr:cNvPr id="1067" name="Button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Coal Analysis Library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</xdr:colOff>
          <xdr:row>29</xdr:row>
          <xdr:rowOff>184150</xdr:rowOff>
        </xdr:from>
        <xdr:to>
          <xdr:col>5</xdr:col>
          <xdr:colOff>0</xdr:colOff>
          <xdr:row>31</xdr:row>
          <xdr:rowOff>114300</xdr:rowOff>
        </xdr:to>
        <xdr:sp macro="" textlink="">
          <xdr:nvSpPr>
            <xdr:cNvPr id="1068" name="Button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27432" rIns="45720" bIns="27432" anchor="ctr" upright="1"/>
            <a:lstStyle/>
            <a:p>
              <a:pPr algn="ctr" rtl="0">
                <a:defRPr sz="1000"/>
              </a:pPr>
              <a:r>
                <a:rPr lang="en-US" sz="1100" b="1" i="1" u="none" strike="noStrike" baseline="0">
                  <a:solidFill>
                    <a:srgbClr val="993300"/>
                  </a:solidFill>
                  <a:latin typeface="Lucida Bright"/>
                </a:rPr>
                <a:t>Print ALL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1333500</xdr:colOff>
      <xdr:row>268</xdr:row>
      <xdr:rowOff>129540</xdr:rowOff>
    </xdr:from>
    <xdr:to>
      <xdr:col>2</xdr:col>
      <xdr:colOff>76200</xdr:colOff>
      <xdr:row>268</xdr:row>
      <xdr:rowOff>129540</xdr:rowOff>
    </xdr:to>
    <xdr:sp macro="" textlink="">
      <xdr:nvSpPr>
        <xdr:cNvPr id="2050" name="Line 2"/>
        <xdr:cNvSpPr>
          <a:spLocks noChangeShapeType="1"/>
        </xdr:cNvSpPr>
      </xdr:nvSpPr>
      <xdr:spPr bwMode="auto">
        <a:xfrm>
          <a:off x="1333500" y="45232320"/>
          <a:ext cx="222504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33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1783080</xdr:colOff>
      <xdr:row>315</xdr:row>
      <xdr:rowOff>137160</xdr:rowOff>
    </xdr:from>
    <xdr:to>
      <xdr:col>2</xdr:col>
      <xdr:colOff>38100</xdr:colOff>
      <xdr:row>315</xdr:row>
      <xdr:rowOff>137160</xdr:rowOff>
    </xdr:to>
    <xdr:sp macro="" textlink="">
      <xdr:nvSpPr>
        <xdr:cNvPr id="2052" name="Line 4"/>
        <xdr:cNvSpPr>
          <a:spLocks noChangeShapeType="1"/>
        </xdr:cNvSpPr>
      </xdr:nvSpPr>
      <xdr:spPr bwMode="auto">
        <a:xfrm>
          <a:off x="1783080" y="53164740"/>
          <a:ext cx="17373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33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1287780</xdr:colOff>
      <xdr:row>362</xdr:row>
      <xdr:rowOff>137160</xdr:rowOff>
    </xdr:from>
    <xdr:to>
      <xdr:col>2</xdr:col>
      <xdr:colOff>38100</xdr:colOff>
      <xdr:row>362</xdr:row>
      <xdr:rowOff>137160</xdr:rowOff>
    </xdr:to>
    <xdr:sp macro="" textlink="">
      <xdr:nvSpPr>
        <xdr:cNvPr id="2053" name="Line 5"/>
        <xdr:cNvSpPr>
          <a:spLocks noChangeShapeType="1"/>
        </xdr:cNvSpPr>
      </xdr:nvSpPr>
      <xdr:spPr bwMode="auto">
        <a:xfrm>
          <a:off x="1287780" y="61089540"/>
          <a:ext cx="22326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33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48</xdr:row>
      <xdr:rowOff>91440</xdr:rowOff>
    </xdr:from>
    <xdr:to>
      <xdr:col>3</xdr:col>
      <xdr:colOff>68580</xdr:colOff>
      <xdr:row>48</xdr:row>
      <xdr:rowOff>91440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4137660" y="1088136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14</xdr:row>
      <xdr:rowOff>91440</xdr:rowOff>
    </xdr:from>
    <xdr:to>
      <xdr:col>3</xdr:col>
      <xdr:colOff>68580</xdr:colOff>
      <xdr:row>14</xdr:row>
      <xdr:rowOff>91440</xdr:rowOff>
    </xdr:to>
    <xdr:sp macro="" textlink="">
      <xdr:nvSpPr>
        <xdr:cNvPr id="3074" name="Line 2"/>
        <xdr:cNvSpPr>
          <a:spLocks noChangeShapeType="1"/>
        </xdr:cNvSpPr>
      </xdr:nvSpPr>
      <xdr:spPr bwMode="auto">
        <a:xfrm>
          <a:off x="4137660" y="326898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91440</xdr:rowOff>
    </xdr:from>
    <xdr:to>
      <xdr:col>3</xdr:col>
      <xdr:colOff>68580</xdr:colOff>
      <xdr:row>102</xdr:row>
      <xdr:rowOff>91440</xdr:rowOff>
    </xdr:to>
    <xdr:sp macro="" textlink="">
      <xdr:nvSpPr>
        <xdr:cNvPr id="3075" name="Line 3"/>
        <xdr:cNvSpPr>
          <a:spLocks noChangeShapeType="1"/>
        </xdr:cNvSpPr>
      </xdr:nvSpPr>
      <xdr:spPr bwMode="auto">
        <a:xfrm>
          <a:off x="4137660" y="2243328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91440</xdr:rowOff>
    </xdr:from>
    <xdr:to>
      <xdr:col>3</xdr:col>
      <xdr:colOff>68580</xdr:colOff>
      <xdr:row>70</xdr:row>
      <xdr:rowOff>91440</xdr:rowOff>
    </xdr:to>
    <xdr:sp macro="" textlink="">
      <xdr:nvSpPr>
        <xdr:cNvPr id="3076" name="Line 4"/>
        <xdr:cNvSpPr>
          <a:spLocks noChangeShapeType="1"/>
        </xdr:cNvSpPr>
      </xdr:nvSpPr>
      <xdr:spPr bwMode="auto">
        <a:xfrm>
          <a:off x="4137660" y="1552194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127</xdr:row>
      <xdr:rowOff>91440</xdr:rowOff>
    </xdr:from>
    <xdr:to>
      <xdr:col>3</xdr:col>
      <xdr:colOff>68580</xdr:colOff>
      <xdr:row>127</xdr:row>
      <xdr:rowOff>91440</xdr:rowOff>
    </xdr:to>
    <xdr:sp macro="" textlink="">
      <xdr:nvSpPr>
        <xdr:cNvPr id="3077" name="Line 5"/>
        <xdr:cNvSpPr>
          <a:spLocks noChangeShapeType="1"/>
        </xdr:cNvSpPr>
      </xdr:nvSpPr>
      <xdr:spPr bwMode="auto">
        <a:xfrm>
          <a:off x="4137660" y="2902458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118</xdr:row>
      <xdr:rowOff>91440</xdr:rowOff>
    </xdr:from>
    <xdr:to>
      <xdr:col>3</xdr:col>
      <xdr:colOff>68580</xdr:colOff>
      <xdr:row>118</xdr:row>
      <xdr:rowOff>91440</xdr:rowOff>
    </xdr:to>
    <xdr:sp macro="" textlink="">
      <xdr:nvSpPr>
        <xdr:cNvPr id="3078" name="Line 6"/>
        <xdr:cNvSpPr>
          <a:spLocks noChangeShapeType="1"/>
        </xdr:cNvSpPr>
      </xdr:nvSpPr>
      <xdr:spPr bwMode="auto">
        <a:xfrm>
          <a:off x="4137660" y="2655570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171</xdr:row>
      <xdr:rowOff>91440</xdr:rowOff>
    </xdr:from>
    <xdr:to>
      <xdr:col>3</xdr:col>
      <xdr:colOff>68580</xdr:colOff>
      <xdr:row>171</xdr:row>
      <xdr:rowOff>91440</xdr:rowOff>
    </xdr:to>
    <xdr:sp macro="" textlink="">
      <xdr:nvSpPr>
        <xdr:cNvPr id="3079" name="Line 7"/>
        <xdr:cNvSpPr>
          <a:spLocks noChangeShapeType="1"/>
        </xdr:cNvSpPr>
      </xdr:nvSpPr>
      <xdr:spPr bwMode="auto">
        <a:xfrm>
          <a:off x="4137660" y="3772662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145</xdr:row>
      <xdr:rowOff>91440</xdr:rowOff>
    </xdr:from>
    <xdr:to>
      <xdr:col>3</xdr:col>
      <xdr:colOff>68580</xdr:colOff>
      <xdr:row>145</xdr:row>
      <xdr:rowOff>91440</xdr:rowOff>
    </xdr:to>
    <xdr:sp macro="" textlink="">
      <xdr:nvSpPr>
        <xdr:cNvPr id="3080" name="Line 8"/>
        <xdr:cNvSpPr>
          <a:spLocks noChangeShapeType="1"/>
        </xdr:cNvSpPr>
      </xdr:nvSpPr>
      <xdr:spPr bwMode="auto">
        <a:xfrm>
          <a:off x="4137660" y="32522160"/>
          <a:ext cx="178308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183</xdr:row>
      <xdr:rowOff>91440</xdr:rowOff>
    </xdr:from>
    <xdr:to>
      <xdr:col>3</xdr:col>
      <xdr:colOff>76200</xdr:colOff>
      <xdr:row>183</xdr:row>
      <xdr:rowOff>91440</xdr:rowOff>
    </xdr:to>
    <xdr:sp macro="" textlink="">
      <xdr:nvSpPr>
        <xdr:cNvPr id="4097" name="Line 1"/>
        <xdr:cNvSpPr>
          <a:spLocks noChangeShapeType="1"/>
        </xdr:cNvSpPr>
      </xdr:nvSpPr>
      <xdr:spPr bwMode="auto">
        <a:xfrm>
          <a:off x="2788920" y="31379160"/>
          <a:ext cx="144780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310</xdr:row>
      <xdr:rowOff>91440</xdr:rowOff>
    </xdr:from>
    <xdr:to>
      <xdr:col>3</xdr:col>
      <xdr:colOff>76200</xdr:colOff>
      <xdr:row>310</xdr:row>
      <xdr:rowOff>91440</xdr:rowOff>
    </xdr:to>
    <xdr:sp macro="" textlink="">
      <xdr:nvSpPr>
        <xdr:cNvPr id="4098" name="Line 2"/>
        <xdr:cNvSpPr>
          <a:spLocks noChangeShapeType="1"/>
        </xdr:cNvSpPr>
      </xdr:nvSpPr>
      <xdr:spPr bwMode="auto">
        <a:xfrm>
          <a:off x="2788920" y="54094380"/>
          <a:ext cx="144780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222</xdr:row>
      <xdr:rowOff>91440</xdr:rowOff>
    </xdr:from>
    <xdr:to>
      <xdr:col>3</xdr:col>
      <xdr:colOff>76200</xdr:colOff>
      <xdr:row>222</xdr:row>
      <xdr:rowOff>91440</xdr:rowOff>
    </xdr:to>
    <xdr:sp macro="" textlink="">
      <xdr:nvSpPr>
        <xdr:cNvPr id="5121" name="Line 1"/>
        <xdr:cNvSpPr>
          <a:spLocks noChangeShapeType="1"/>
        </xdr:cNvSpPr>
      </xdr:nvSpPr>
      <xdr:spPr bwMode="auto">
        <a:xfrm>
          <a:off x="2506980" y="3815334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321</xdr:row>
      <xdr:rowOff>91440</xdr:rowOff>
    </xdr:from>
    <xdr:to>
      <xdr:col>3</xdr:col>
      <xdr:colOff>76200</xdr:colOff>
      <xdr:row>321</xdr:row>
      <xdr:rowOff>91440</xdr:rowOff>
    </xdr:to>
    <xdr:sp macro="" textlink="">
      <xdr:nvSpPr>
        <xdr:cNvPr id="5122" name="Line 2"/>
        <xdr:cNvSpPr>
          <a:spLocks noChangeShapeType="1"/>
        </xdr:cNvSpPr>
      </xdr:nvSpPr>
      <xdr:spPr bwMode="auto">
        <a:xfrm>
          <a:off x="2506980" y="5592318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53</xdr:row>
      <xdr:rowOff>91440</xdr:rowOff>
    </xdr:from>
    <xdr:to>
      <xdr:col>3</xdr:col>
      <xdr:colOff>76200</xdr:colOff>
      <xdr:row>53</xdr:row>
      <xdr:rowOff>91440</xdr:rowOff>
    </xdr:to>
    <xdr:sp macro="" textlink="">
      <xdr:nvSpPr>
        <xdr:cNvPr id="6145" name="Line 1"/>
        <xdr:cNvSpPr>
          <a:spLocks noChangeShapeType="1"/>
        </xdr:cNvSpPr>
      </xdr:nvSpPr>
      <xdr:spPr bwMode="auto">
        <a:xfrm>
          <a:off x="2506980" y="928878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86</xdr:row>
      <xdr:rowOff>91440</xdr:rowOff>
    </xdr:from>
    <xdr:to>
      <xdr:col>3</xdr:col>
      <xdr:colOff>76200</xdr:colOff>
      <xdr:row>86</xdr:row>
      <xdr:rowOff>91440</xdr:rowOff>
    </xdr:to>
    <xdr:sp macro="" textlink="">
      <xdr:nvSpPr>
        <xdr:cNvPr id="6146" name="Line 2"/>
        <xdr:cNvSpPr>
          <a:spLocks noChangeShapeType="1"/>
        </xdr:cNvSpPr>
      </xdr:nvSpPr>
      <xdr:spPr bwMode="auto">
        <a:xfrm>
          <a:off x="2506980" y="1495806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200</xdr:row>
      <xdr:rowOff>91440</xdr:rowOff>
    </xdr:from>
    <xdr:to>
      <xdr:col>3</xdr:col>
      <xdr:colOff>76200</xdr:colOff>
      <xdr:row>200</xdr:row>
      <xdr:rowOff>91440</xdr:rowOff>
    </xdr:to>
    <xdr:sp macro="" textlink="">
      <xdr:nvSpPr>
        <xdr:cNvPr id="6147" name="Line 3"/>
        <xdr:cNvSpPr>
          <a:spLocks noChangeShapeType="1"/>
        </xdr:cNvSpPr>
      </xdr:nvSpPr>
      <xdr:spPr bwMode="auto">
        <a:xfrm>
          <a:off x="2506980" y="3463290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232</xdr:row>
      <xdr:rowOff>91440</xdr:rowOff>
    </xdr:from>
    <xdr:to>
      <xdr:col>3</xdr:col>
      <xdr:colOff>76200</xdr:colOff>
      <xdr:row>232</xdr:row>
      <xdr:rowOff>91440</xdr:rowOff>
    </xdr:to>
    <xdr:sp macro="" textlink="">
      <xdr:nvSpPr>
        <xdr:cNvPr id="6148" name="Line 4"/>
        <xdr:cNvSpPr>
          <a:spLocks noChangeShapeType="1"/>
        </xdr:cNvSpPr>
      </xdr:nvSpPr>
      <xdr:spPr bwMode="auto">
        <a:xfrm>
          <a:off x="2506980" y="40134540"/>
          <a:ext cx="1394460" cy="0"/>
        </a:xfrm>
        <a:prstGeom prst="line">
          <a:avLst/>
        </a:prstGeom>
        <a:noFill/>
        <a:ln w="17145" cap="flat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prstDash val="solid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usibelli.com/Coal-data.php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6"/>
  <sheetViews>
    <sheetView tabSelected="1" topLeftCell="A66" zoomScale="75" zoomScaleNormal="75" zoomScaleSheetLayoutView="85" workbookViewId="0">
      <selection activeCell="K81" sqref="K81"/>
    </sheetView>
  </sheetViews>
  <sheetFormatPr defaultColWidth="9.08984375" defaultRowHeight="13" x14ac:dyDescent="0.3"/>
  <cols>
    <col min="1" max="1" width="39.81640625" style="1" customWidth="1"/>
    <col min="2" max="3" width="15.6328125" style="1" customWidth="1"/>
    <col min="4" max="4" width="9.453125" style="1" customWidth="1"/>
    <col min="5" max="5" width="9.08984375" style="1"/>
    <col min="6" max="9" width="0" style="1" hidden="1" customWidth="1"/>
    <col min="10" max="10" width="16.08984375" style="1" customWidth="1"/>
    <col min="11" max="11" width="41.1796875" style="1" customWidth="1"/>
    <col min="12" max="14" width="13.6328125" style="1" customWidth="1"/>
    <col min="15" max="15" width="14.6328125" style="1" customWidth="1"/>
    <col min="16" max="16384" width="9.08984375" style="1"/>
  </cols>
  <sheetData>
    <row r="1" spans="1:13" ht="45.5" x14ac:dyDescent="0.9">
      <c r="A1" s="527" t="s">
        <v>0</v>
      </c>
      <c r="B1" s="527"/>
      <c r="C1" s="527"/>
      <c r="D1" s="527"/>
      <c r="E1" s="527"/>
      <c r="F1" s="527"/>
      <c r="G1" s="527"/>
      <c r="H1" s="527"/>
      <c r="I1" s="527"/>
      <c r="J1" s="527"/>
      <c r="K1" s="521"/>
      <c r="L1" s="209"/>
    </row>
    <row r="2" spans="1:13" ht="45.5" x14ac:dyDescent="0.9">
      <c r="A2" s="527" t="s">
        <v>1</v>
      </c>
      <c r="B2" s="527"/>
      <c r="C2" s="527"/>
      <c r="D2" s="527"/>
      <c r="E2" s="527"/>
      <c r="F2" s="527"/>
      <c r="G2" s="527"/>
      <c r="H2" s="527"/>
      <c r="I2" s="527"/>
      <c r="J2" s="527"/>
      <c r="K2" s="522"/>
      <c r="L2" s="349"/>
      <c r="M2" s="303"/>
    </row>
    <row r="3" spans="1:13" ht="27.5" x14ac:dyDescent="0.55000000000000004">
      <c r="A3" s="519"/>
      <c r="B3" s="519"/>
      <c r="C3" s="519"/>
      <c r="D3" s="519"/>
      <c r="E3" s="519"/>
      <c r="F3" s="519"/>
      <c r="G3" s="519"/>
      <c r="H3" s="519"/>
      <c r="I3" s="519"/>
      <c r="J3" s="349"/>
      <c r="K3" s="349"/>
      <c r="L3" s="349"/>
      <c r="M3" s="303"/>
    </row>
    <row r="4" spans="1:13" s="355" customFormat="1" ht="22.5" x14ac:dyDescent="0.45">
      <c r="A4" s="523" t="s">
        <v>2</v>
      </c>
      <c r="B4" s="523"/>
      <c r="C4" s="523"/>
      <c r="D4" s="523"/>
      <c r="E4" s="523"/>
      <c r="F4" s="523"/>
      <c r="G4" s="523"/>
      <c r="H4" s="523"/>
      <c r="I4" s="523"/>
      <c r="J4" s="523"/>
      <c r="K4" s="523"/>
      <c r="L4" s="353"/>
      <c r="M4" s="354"/>
    </row>
    <row r="5" spans="1:13" ht="17.5" x14ac:dyDescent="0.35">
      <c r="A5" s="524"/>
      <c r="B5" s="524"/>
      <c r="C5" s="524"/>
      <c r="D5" s="524"/>
      <c r="E5" s="524"/>
      <c r="F5" s="524"/>
      <c r="G5" s="524"/>
      <c r="H5" s="524"/>
      <c r="I5" s="524"/>
      <c r="J5" s="349"/>
      <c r="K5" s="349"/>
      <c r="L5" s="349"/>
      <c r="M5" s="303"/>
    </row>
    <row r="6" spans="1:13" ht="25.5" x14ac:dyDescent="0.7">
      <c r="A6" s="525" t="s">
        <v>3</v>
      </c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368"/>
      <c r="M6" s="303"/>
    </row>
    <row r="7" spans="1:13" s="355" customFormat="1" ht="25.75" customHeight="1" x14ac:dyDescent="0.55000000000000004">
      <c r="A7" s="526" t="s">
        <v>4</v>
      </c>
      <c r="B7" s="526"/>
      <c r="C7" s="526"/>
      <c r="D7" s="526"/>
      <c r="E7" s="526"/>
      <c r="F7" s="526"/>
      <c r="G7" s="526"/>
      <c r="H7" s="526"/>
      <c r="I7" s="526"/>
      <c r="J7" s="526"/>
      <c r="K7" s="526"/>
      <c r="L7" s="353"/>
      <c r="M7" s="354"/>
    </row>
    <row r="8" spans="1:13" ht="25.5" x14ac:dyDescent="0.7">
      <c r="A8" s="367"/>
      <c r="B8" s="210"/>
      <c r="C8" s="210"/>
      <c r="D8" s="210"/>
      <c r="E8" s="210"/>
      <c r="F8" s="210"/>
      <c r="G8" s="210"/>
      <c r="H8" s="210"/>
      <c r="I8" s="210"/>
      <c r="J8" s="349"/>
      <c r="K8" s="349"/>
      <c r="L8" s="349"/>
      <c r="M8" s="303"/>
    </row>
    <row r="9" spans="1:13" ht="17.5" x14ac:dyDescent="0.35">
      <c r="A9" s="370"/>
      <c r="B9" s="371" t="s">
        <v>5</v>
      </c>
      <c r="C9" s="369">
        <f ca="1">NOW()</f>
        <v>43776.610914120371</v>
      </c>
      <c r="D9" s="369"/>
      <c r="E9" s="370"/>
      <c r="F9" s="370"/>
      <c r="G9" s="370"/>
      <c r="H9" s="370"/>
      <c r="I9" s="370"/>
      <c r="J9" s="353"/>
      <c r="K9" s="349"/>
      <c r="L9" s="349"/>
      <c r="M9" s="303"/>
    </row>
    <row r="10" spans="1:13" s="352" customFormat="1" ht="25.5" x14ac:dyDescent="0.7">
      <c r="A10" s="366" t="s">
        <v>6</v>
      </c>
      <c r="B10" s="210"/>
      <c r="C10" s="210"/>
      <c r="E10" s="356" t="s">
        <v>7</v>
      </c>
      <c r="F10" s="348"/>
      <c r="G10" s="348"/>
      <c r="H10" s="348"/>
      <c r="I10" s="348"/>
      <c r="J10" s="350"/>
      <c r="K10" s="350"/>
      <c r="L10" s="350"/>
      <c r="M10" s="351"/>
    </row>
    <row r="11" spans="1:13" s="361" customFormat="1" ht="17.5" x14ac:dyDescent="0.35">
      <c r="A11" s="363" t="s">
        <v>8</v>
      </c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9"/>
      <c r="M11" s="360"/>
    </row>
    <row r="12" spans="1:13" s="361" customFormat="1" ht="15.5" x14ac:dyDescent="0.35">
      <c r="A12" s="357"/>
      <c r="B12" s="357"/>
      <c r="C12" s="357"/>
      <c r="D12" s="357"/>
      <c r="E12" s="357"/>
      <c r="F12" s="358"/>
      <c r="G12" s="358"/>
      <c r="H12" s="358"/>
      <c r="I12" s="358"/>
      <c r="J12" s="359"/>
      <c r="K12" s="359"/>
      <c r="L12" s="359"/>
      <c r="M12" s="360"/>
    </row>
    <row r="13" spans="1:13" s="361" customFormat="1" ht="15.5" x14ac:dyDescent="0.35">
      <c r="A13" s="357"/>
      <c r="B13" s="357"/>
      <c r="C13" s="357"/>
      <c r="D13" s="357"/>
      <c r="E13" s="357"/>
      <c r="F13" s="358"/>
      <c r="G13" s="358"/>
      <c r="H13" s="358"/>
      <c r="I13" s="358"/>
      <c r="J13" s="359"/>
      <c r="K13" s="359"/>
      <c r="L13" s="359"/>
      <c r="M13" s="360"/>
    </row>
    <row r="14" spans="1:13" s="361" customFormat="1" ht="15.5" x14ac:dyDescent="0.35">
      <c r="A14" s="357"/>
      <c r="B14" s="357"/>
      <c r="C14" s="357"/>
      <c r="D14" s="357"/>
      <c r="E14" s="357"/>
      <c r="F14" s="358"/>
      <c r="G14" s="358"/>
      <c r="H14" s="358"/>
      <c r="I14" s="358"/>
      <c r="J14" s="359"/>
      <c r="K14" s="359"/>
      <c r="L14" s="359"/>
      <c r="M14" s="360"/>
    </row>
    <row r="15" spans="1:13" s="361" customFormat="1" ht="15.5" x14ac:dyDescent="0.35">
      <c r="A15" s="357"/>
      <c r="B15" s="357"/>
      <c r="C15" s="357"/>
      <c r="D15" s="357"/>
      <c r="E15" s="357"/>
      <c r="F15" s="358"/>
      <c r="G15" s="358"/>
      <c r="H15" s="358"/>
      <c r="I15" s="358"/>
      <c r="J15" s="359"/>
      <c r="K15" s="359"/>
      <c r="L15" s="359"/>
      <c r="M15" s="360"/>
    </row>
    <row r="16" spans="1:13" s="361" customFormat="1" ht="15.5" x14ac:dyDescent="0.35">
      <c r="A16" s="357"/>
      <c r="B16" s="357"/>
      <c r="C16" s="357"/>
      <c r="D16" s="357"/>
      <c r="E16" s="357"/>
      <c r="F16" s="358"/>
      <c r="G16" s="358"/>
      <c r="H16" s="358"/>
      <c r="I16" s="358"/>
      <c r="J16" s="359"/>
      <c r="K16" s="359"/>
      <c r="L16" s="359"/>
      <c r="M16" s="360"/>
    </row>
    <row r="17" spans="1:13" s="361" customFormat="1" ht="15.5" x14ac:dyDescent="0.35">
      <c r="A17" s="357"/>
      <c r="B17" s="357"/>
      <c r="C17" s="357"/>
      <c r="D17" s="357"/>
      <c r="E17" s="357"/>
      <c r="F17" s="358"/>
      <c r="G17" s="358"/>
      <c r="H17" s="358"/>
      <c r="I17" s="358"/>
      <c r="J17" s="359"/>
      <c r="K17" s="359"/>
      <c r="L17" s="359"/>
      <c r="M17" s="360"/>
    </row>
    <row r="18" spans="1:13" s="361" customFormat="1" ht="15.5" x14ac:dyDescent="0.35">
      <c r="A18" s="357"/>
      <c r="B18" s="357"/>
      <c r="C18" s="357"/>
      <c r="D18" s="357"/>
      <c r="E18" s="357"/>
      <c r="F18" s="358"/>
      <c r="G18" s="358"/>
      <c r="H18" s="358"/>
      <c r="I18" s="358"/>
      <c r="J18" s="359"/>
      <c r="K18" s="359"/>
      <c r="L18" s="359"/>
      <c r="M18" s="360"/>
    </row>
    <row r="19" spans="1:13" s="361" customFormat="1" ht="15.5" x14ac:dyDescent="0.35">
      <c r="A19" s="357"/>
      <c r="B19" s="357"/>
      <c r="C19" s="357"/>
      <c r="D19" s="357"/>
      <c r="E19" s="357"/>
      <c r="F19" s="358"/>
      <c r="G19" s="358"/>
      <c r="H19" s="358"/>
      <c r="I19" s="358"/>
      <c r="J19" s="359"/>
      <c r="K19" s="359"/>
      <c r="L19" s="359"/>
      <c r="M19" s="360"/>
    </row>
    <row r="20" spans="1:13" s="361" customFormat="1" ht="15.5" x14ac:dyDescent="0.35">
      <c r="A20" s="357"/>
      <c r="B20" s="357"/>
      <c r="C20" s="357"/>
      <c r="D20" s="357"/>
      <c r="E20" s="357"/>
      <c r="F20" s="358"/>
      <c r="G20" s="358"/>
      <c r="H20" s="358"/>
      <c r="I20" s="358"/>
      <c r="J20" s="359"/>
      <c r="K20" s="359"/>
      <c r="L20" s="359"/>
      <c r="M20" s="360"/>
    </row>
    <row r="21" spans="1:13" s="361" customFormat="1" ht="17.5" x14ac:dyDescent="0.35">
      <c r="A21" s="363" t="s">
        <v>9</v>
      </c>
      <c r="B21" s="357"/>
      <c r="C21" s="357"/>
      <c r="D21" s="357"/>
      <c r="E21" s="357"/>
      <c r="F21" s="358"/>
      <c r="G21" s="358"/>
      <c r="H21" s="358"/>
      <c r="I21" s="358"/>
      <c r="J21" s="359"/>
      <c r="K21" s="359"/>
      <c r="L21" s="359"/>
      <c r="M21" s="360"/>
    </row>
    <row r="22" spans="1:13" s="361" customFormat="1" ht="15.5" x14ac:dyDescent="0.35">
      <c r="A22" s="357"/>
      <c r="B22" s="357"/>
      <c r="C22" s="357"/>
      <c r="D22" s="357"/>
      <c r="E22" s="357"/>
      <c r="F22" s="358"/>
      <c r="G22" s="358"/>
      <c r="H22" s="358"/>
      <c r="I22" s="358"/>
      <c r="J22" s="359"/>
      <c r="K22" s="359"/>
      <c r="L22" s="359"/>
      <c r="M22" s="360"/>
    </row>
    <row r="23" spans="1:13" s="361" customFormat="1" ht="15.5" x14ac:dyDescent="0.35">
      <c r="A23" s="357"/>
      <c r="B23" s="357"/>
      <c r="C23" s="357"/>
      <c r="D23" s="357"/>
      <c r="E23" s="357"/>
      <c r="F23" s="358"/>
      <c r="G23" s="358"/>
      <c r="H23" s="358"/>
      <c r="I23" s="358"/>
      <c r="J23" s="359"/>
      <c r="K23" s="359"/>
      <c r="L23" s="359"/>
      <c r="M23" s="360"/>
    </row>
    <row r="24" spans="1:13" s="361" customFormat="1" ht="15.5" x14ac:dyDescent="0.35">
      <c r="A24" s="362"/>
      <c r="B24" s="362"/>
      <c r="C24" s="362"/>
      <c r="D24" s="362"/>
      <c r="E24" s="362"/>
      <c r="F24" s="362"/>
      <c r="G24" s="362"/>
      <c r="H24" s="362"/>
      <c r="I24" s="362"/>
      <c r="J24" s="362"/>
      <c r="K24" s="362"/>
      <c r="L24" s="362"/>
    </row>
    <row r="25" spans="1:13" s="361" customFormat="1" ht="15.5" x14ac:dyDescent="0.35">
      <c r="A25" s="362"/>
      <c r="B25" s="362"/>
      <c r="C25" s="362"/>
      <c r="D25" s="362"/>
      <c r="E25" s="362"/>
      <c r="F25" s="362"/>
      <c r="G25" s="362"/>
      <c r="H25" s="362"/>
      <c r="I25" s="362"/>
      <c r="J25" s="362"/>
      <c r="K25" s="362"/>
      <c r="L25" s="362"/>
    </row>
    <row r="26" spans="1:13" s="361" customFormat="1" ht="15.5" x14ac:dyDescent="0.35">
      <c r="A26" s="362"/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2"/>
    </row>
    <row r="27" spans="1:13" s="361" customFormat="1" ht="15.5" x14ac:dyDescent="0.35">
      <c r="A27" s="362"/>
      <c r="B27" s="362"/>
      <c r="C27" s="362"/>
      <c r="D27" s="362"/>
      <c r="E27" s="362"/>
      <c r="F27" s="362"/>
      <c r="G27" s="362"/>
      <c r="H27" s="362"/>
      <c r="I27" s="362"/>
      <c r="J27" s="362"/>
      <c r="K27" s="362"/>
      <c r="L27" s="362"/>
    </row>
    <row r="28" spans="1:13" s="361" customFormat="1" ht="15.5" x14ac:dyDescent="0.35">
      <c r="A28" s="362"/>
      <c r="B28" s="362"/>
      <c r="C28" s="362"/>
      <c r="D28" s="362"/>
      <c r="E28" s="362"/>
      <c r="F28" s="362"/>
      <c r="G28" s="362"/>
      <c r="H28" s="362"/>
      <c r="I28" s="362"/>
      <c r="J28" s="362"/>
      <c r="K28" s="362"/>
      <c r="L28" s="362"/>
    </row>
    <row r="29" spans="1:13" s="361" customFormat="1" ht="15.5" x14ac:dyDescent="0.35">
      <c r="A29" s="362"/>
      <c r="B29" s="362"/>
      <c r="C29" s="362"/>
      <c r="D29" s="362"/>
      <c r="E29" s="362"/>
      <c r="F29" s="362"/>
      <c r="G29" s="362"/>
      <c r="H29" s="362"/>
      <c r="I29" s="362"/>
      <c r="J29" s="362"/>
      <c r="K29" s="362"/>
      <c r="L29" s="362"/>
    </row>
    <row r="30" spans="1:13" s="361" customFormat="1" ht="15.5" x14ac:dyDescent="0.35">
      <c r="A30" s="362"/>
      <c r="B30" s="362"/>
      <c r="C30" s="362"/>
      <c r="D30" s="362"/>
      <c r="E30" s="362"/>
      <c r="F30" s="362"/>
      <c r="G30" s="362"/>
      <c r="H30" s="362"/>
      <c r="I30" s="362"/>
      <c r="J30" s="362"/>
      <c r="K30" s="362"/>
      <c r="L30" s="362"/>
    </row>
    <row r="31" spans="1:13" s="361" customFormat="1" ht="15.5" x14ac:dyDescent="0.35">
      <c r="A31" s="362"/>
      <c r="B31" s="362"/>
      <c r="C31" s="362"/>
      <c r="D31" s="362"/>
      <c r="E31" s="362"/>
      <c r="F31" s="362"/>
      <c r="G31" s="362"/>
      <c r="H31" s="362"/>
      <c r="I31" s="362"/>
      <c r="J31" s="362"/>
      <c r="K31" s="362"/>
      <c r="L31" s="362"/>
    </row>
    <row r="32" spans="1:13" s="361" customFormat="1" ht="15.5" x14ac:dyDescent="0.35">
      <c r="A32" s="362"/>
      <c r="B32" s="362"/>
      <c r="C32" s="362"/>
      <c r="D32" s="362"/>
      <c r="E32" s="362"/>
      <c r="F32" s="362"/>
      <c r="G32" s="362"/>
      <c r="H32" s="362"/>
      <c r="I32" s="362"/>
      <c r="J32" s="362"/>
      <c r="K32" s="362"/>
      <c r="L32" s="362"/>
    </row>
    <row r="33" spans="1:12" s="361" customFormat="1" ht="15.5" x14ac:dyDescent="0.35">
      <c r="A33" s="362"/>
      <c r="B33" s="362"/>
      <c r="C33" s="362"/>
      <c r="D33" s="362"/>
      <c r="E33" s="362"/>
      <c r="F33" s="362"/>
      <c r="G33" s="362"/>
      <c r="H33" s="362"/>
      <c r="I33" s="362"/>
      <c r="J33" s="362"/>
      <c r="K33" s="362"/>
      <c r="L33" s="362"/>
    </row>
    <row r="34" spans="1:12" s="361" customFormat="1" ht="15.5" x14ac:dyDescent="0.35">
      <c r="A34" s="362"/>
      <c r="B34" s="362"/>
      <c r="C34" s="362"/>
      <c r="D34" s="362"/>
      <c r="E34" s="362"/>
      <c r="F34" s="362"/>
      <c r="G34" s="362"/>
      <c r="H34" s="362"/>
      <c r="I34" s="362"/>
      <c r="J34" s="362"/>
      <c r="K34" s="362"/>
      <c r="L34" s="362"/>
    </row>
    <row r="35" spans="1:12" s="361" customFormat="1" ht="15.5" x14ac:dyDescent="0.35">
      <c r="A35" s="362"/>
      <c r="B35" s="362"/>
      <c r="C35" s="362"/>
      <c r="D35" s="362"/>
      <c r="E35" s="362"/>
      <c r="F35" s="362"/>
      <c r="G35" s="362"/>
      <c r="H35" s="362"/>
      <c r="I35" s="362"/>
      <c r="J35" s="362"/>
      <c r="K35" s="362"/>
      <c r="L35" s="362"/>
    </row>
    <row r="36" spans="1:12" s="361" customFormat="1" ht="15.5" x14ac:dyDescent="0.35">
      <c r="A36" s="362"/>
      <c r="B36" s="362"/>
      <c r="C36" s="362"/>
      <c r="D36" s="362"/>
      <c r="E36" s="362"/>
      <c r="F36" s="362"/>
      <c r="G36" s="362"/>
      <c r="H36" s="362"/>
      <c r="I36" s="362"/>
      <c r="J36" s="362"/>
      <c r="K36" s="362"/>
      <c r="L36" s="362"/>
    </row>
    <row r="37" spans="1:12" s="361" customFormat="1" ht="15.5" x14ac:dyDescent="0.35">
      <c r="A37" s="362"/>
      <c r="B37" s="362"/>
      <c r="C37" s="362"/>
      <c r="D37" s="362"/>
      <c r="E37" s="362"/>
      <c r="F37" s="362"/>
      <c r="G37" s="362"/>
      <c r="H37" s="362"/>
      <c r="I37" s="362"/>
      <c r="J37" s="362"/>
      <c r="K37" s="362"/>
      <c r="L37" s="362"/>
    </row>
    <row r="38" spans="1:12" s="361" customFormat="1" ht="15.5" x14ac:dyDescent="0.35">
      <c r="A38" s="362"/>
      <c r="B38" s="362"/>
      <c r="C38" s="362"/>
      <c r="D38" s="362"/>
      <c r="E38" s="362"/>
      <c r="F38" s="362"/>
      <c r="G38" s="362"/>
      <c r="H38" s="362"/>
      <c r="I38" s="362"/>
      <c r="J38" s="362"/>
      <c r="K38" s="362"/>
      <c r="L38" s="362"/>
    </row>
    <row r="39" spans="1:12" x14ac:dyDescent="0.3">
      <c r="A39" s="209"/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</row>
    <row r="40" spans="1:12" ht="13.5" thickBot="1" x14ac:dyDescent="0.35">
      <c r="A40" s="209"/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</row>
    <row r="41" spans="1:12" ht="20.5" thickBot="1" x14ac:dyDescent="0.45">
      <c r="A41" s="88" t="s">
        <v>10</v>
      </c>
      <c r="B41" s="89"/>
      <c r="C41" s="89"/>
      <c r="D41" s="89"/>
      <c r="E41" s="89"/>
      <c r="F41" s="89"/>
      <c r="G41" s="89"/>
      <c r="H41" s="89"/>
      <c r="I41" s="89"/>
      <c r="K41" s="234" t="s">
        <v>11</v>
      </c>
    </row>
    <row r="42" spans="1:12" x14ac:dyDescent="0.3">
      <c r="A42" s="87"/>
      <c r="B42" s="87"/>
      <c r="C42" s="87" t="s">
        <v>12</v>
      </c>
      <c r="D42" s="87" t="s">
        <v>13</v>
      </c>
      <c r="E42" s="87"/>
      <c r="F42" s="87"/>
      <c r="G42" s="87"/>
      <c r="H42" s="87"/>
      <c r="I42" s="87"/>
    </row>
    <row r="43" spans="1:12" ht="13.5" thickBot="1" x14ac:dyDescent="0.35">
      <c r="A43" s="35" t="s">
        <v>14</v>
      </c>
      <c r="B43" s="35" t="s">
        <v>15</v>
      </c>
      <c r="C43" s="35" t="s">
        <v>16</v>
      </c>
      <c r="D43" s="35" t="s">
        <v>17</v>
      </c>
      <c r="E43" s="35" t="s">
        <v>18</v>
      </c>
      <c r="F43" s="35" t="s">
        <v>19</v>
      </c>
      <c r="G43" s="35" t="s">
        <v>20</v>
      </c>
      <c r="H43" s="35" t="s">
        <v>21</v>
      </c>
      <c r="I43" s="35" t="s">
        <v>22</v>
      </c>
    </row>
    <row r="45" spans="1:12" x14ac:dyDescent="0.3">
      <c r="A45" s="1" t="s">
        <v>23</v>
      </c>
      <c r="B45" s="90" t="s">
        <v>24</v>
      </c>
      <c r="C45" s="139" t="s">
        <v>25</v>
      </c>
      <c r="D45" s="90">
        <v>1</v>
      </c>
      <c r="E45" s="95">
        <v>1</v>
      </c>
      <c r="F45" s="95">
        <v>2</v>
      </c>
      <c r="G45" s="95">
        <v>2</v>
      </c>
      <c r="H45" s="95">
        <v>2</v>
      </c>
      <c r="I45" s="95">
        <v>1</v>
      </c>
    </row>
    <row r="46" spans="1:12" x14ac:dyDescent="0.3">
      <c r="A46" s="1" t="s">
        <v>26</v>
      </c>
      <c r="D46" s="90"/>
      <c r="E46" s="90"/>
      <c r="F46" s="90"/>
      <c r="G46" s="90"/>
      <c r="H46" s="90"/>
      <c r="I46" s="90"/>
    </row>
    <row r="47" spans="1:12" hidden="1" x14ac:dyDescent="0.3">
      <c r="A47" s="1" t="s">
        <v>27</v>
      </c>
      <c r="B47" s="90" t="s">
        <v>24</v>
      </c>
      <c r="C47" s="139" t="s">
        <v>25</v>
      </c>
      <c r="D47" s="90">
        <v>1</v>
      </c>
      <c r="E47" s="95">
        <v>1</v>
      </c>
      <c r="F47" s="95">
        <v>1</v>
      </c>
      <c r="G47" s="95">
        <v>1</v>
      </c>
      <c r="H47" s="95">
        <v>1</v>
      </c>
      <c r="I47" s="95">
        <v>1</v>
      </c>
    </row>
    <row r="48" spans="1:12" hidden="1" x14ac:dyDescent="0.3">
      <c r="A48" s="1" t="s">
        <v>28</v>
      </c>
      <c r="D48" s="90"/>
      <c r="E48" s="90"/>
      <c r="F48" s="90"/>
      <c r="G48" s="90"/>
      <c r="H48" s="90"/>
      <c r="I48" s="90"/>
    </row>
    <row r="49" spans="1:11" hidden="1" x14ac:dyDescent="0.3">
      <c r="A49" s="1" t="s">
        <v>29</v>
      </c>
      <c r="B49" s="90" t="s">
        <v>24</v>
      </c>
      <c r="C49" s="92" t="s">
        <v>30</v>
      </c>
      <c r="D49" s="90">
        <v>1</v>
      </c>
      <c r="E49" s="95">
        <v>1</v>
      </c>
      <c r="F49" s="95">
        <v>1</v>
      </c>
      <c r="G49" s="95">
        <v>2</v>
      </c>
      <c r="H49" s="95">
        <v>2</v>
      </c>
      <c r="I49" s="95">
        <v>3</v>
      </c>
    </row>
    <row r="50" spans="1:11" hidden="1" x14ac:dyDescent="0.3">
      <c r="A50" s="1" t="s">
        <v>31</v>
      </c>
      <c r="B50" s="90"/>
      <c r="C50" s="139"/>
      <c r="D50" s="90"/>
      <c r="E50" s="90"/>
      <c r="F50" s="90"/>
      <c r="G50" s="90"/>
      <c r="H50" s="90"/>
      <c r="I50" s="90"/>
    </row>
    <row r="51" spans="1:11" ht="13.5" thickBot="1" x14ac:dyDescent="0.35">
      <c r="A51" s="138"/>
      <c r="B51" s="138"/>
      <c r="C51" s="138"/>
      <c r="D51" s="138"/>
      <c r="E51" s="138"/>
      <c r="F51" s="138"/>
      <c r="G51" s="138"/>
      <c r="H51" s="138"/>
      <c r="I51" s="138"/>
    </row>
    <row r="52" spans="1:11" ht="13.5" thickBot="1" x14ac:dyDescent="0.35"/>
    <row r="53" spans="1:11" ht="20.5" thickBot="1" x14ac:dyDescent="0.45">
      <c r="A53" s="88" t="s">
        <v>32</v>
      </c>
      <c r="B53" s="89"/>
      <c r="C53" s="89"/>
      <c r="D53" s="89"/>
      <c r="E53" s="89"/>
      <c r="F53" s="89"/>
      <c r="G53" s="89"/>
      <c r="H53" s="89"/>
      <c r="I53" s="89"/>
      <c r="K53" s="234" t="s">
        <v>11</v>
      </c>
    </row>
    <row r="54" spans="1:11" x14ac:dyDescent="0.3">
      <c r="A54" s="87"/>
      <c r="B54" s="87"/>
      <c r="C54" s="87"/>
      <c r="D54" s="87" t="s">
        <v>13</v>
      </c>
      <c r="E54" s="87"/>
      <c r="F54" s="87"/>
      <c r="G54" s="87"/>
      <c r="H54" s="87"/>
      <c r="I54" s="87"/>
    </row>
    <row r="55" spans="1:11" ht="13.5" thickBot="1" x14ac:dyDescent="0.35">
      <c r="A55" s="35" t="s">
        <v>14</v>
      </c>
      <c r="B55" s="35" t="s">
        <v>15</v>
      </c>
      <c r="C55" s="35" t="s">
        <v>16</v>
      </c>
      <c r="D55" s="35" t="s">
        <v>17</v>
      </c>
      <c r="E55" s="35" t="s">
        <v>18</v>
      </c>
      <c r="F55" s="35" t="s">
        <v>19</v>
      </c>
      <c r="G55" s="35" t="s">
        <v>20</v>
      </c>
      <c r="H55" s="35" t="s">
        <v>21</v>
      </c>
      <c r="I55" s="35" t="s">
        <v>22</v>
      </c>
    </row>
    <row r="57" spans="1:11" ht="15.5" x14ac:dyDescent="0.35">
      <c r="A57" s="238" t="s">
        <v>33</v>
      </c>
    </row>
    <row r="58" spans="1:11" x14ac:dyDescent="0.3">
      <c r="K58" s="378" t="s">
        <v>1170</v>
      </c>
    </row>
    <row r="59" spans="1:11" x14ac:dyDescent="0.3">
      <c r="A59" s="1" t="s">
        <v>34</v>
      </c>
      <c r="B59" s="90" t="s">
        <v>35</v>
      </c>
      <c r="C59" s="90" t="s">
        <v>36</v>
      </c>
      <c r="D59" s="90" t="s">
        <v>37</v>
      </c>
      <c r="E59" s="376" t="s">
        <v>1164</v>
      </c>
      <c r="F59" s="376" t="s">
        <v>1164</v>
      </c>
      <c r="G59" s="376" t="s">
        <v>1164</v>
      </c>
      <c r="H59" s="376" t="s">
        <v>1164</v>
      </c>
      <c r="I59" s="376" t="s">
        <v>1164</v>
      </c>
    </row>
    <row r="60" spans="1:11" ht="39" x14ac:dyDescent="0.3">
      <c r="A60" s="1" t="s">
        <v>38</v>
      </c>
      <c r="B60" s="90" t="s">
        <v>39</v>
      </c>
      <c r="C60" s="91" t="s">
        <v>40</v>
      </c>
      <c r="D60" s="90">
        <v>500</v>
      </c>
      <c r="E60" s="376">
        <v>150</v>
      </c>
      <c r="F60" s="376">
        <v>150</v>
      </c>
      <c r="G60" s="376">
        <v>79</v>
      </c>
      <c r="H60" s="376">
        <v>22</v>
      </c>
      <c r="I60" s="376">
        <v>22</v>
      </c>
      <c r="K60" s="382" t="s">
        <v>41</v>
      </c>
    </row>
    <row r="61" spans="1:11" x14ac:dyDescent="0.3">
      <c r="A61" s="1" t="s">
        <v>42</v>
      </c>
      <c r="B61" s="90" t="s">
        <v>43</v>
      </c>
      <c r="C61" s="90"/>
      <c r="D61" s="93">
        <v>10500</v>
      </c>
      <c r="E61" s="377">
        <v>11833</v>
      </c>
      <c r="F61" s="377">
        <v>11833</v>
      </c>
      <c r="G61" s="377">
        <v>11833</v>
      </c>
      <c r="H61" s="377">
        <v>11833</v>
      </c>
      <c r="I61" s="377">
        <v>11833</v>
      </c>
      <c r="K61" s="373" t="s">
        <v>1171</v>
      </c>
    </row>
    <row r="62" spans="1:11" x14ac:dyDescent="0.3">
      <c r="A62" s="1" t="s">
        <v>44</v>
      </c>
      <c r="B62" s="90" t="s">
        <v>45</v>
      </c>
      <c r="C62" s="90" t="s">
        <v>46</v>
      </c>
      <c r="D62" s="94">
        <v>0.65</v>
      </c>
      <c r="E62" s="96">
        <v>0.65</v>
      </c>
      <c r="F62" s="96">
        <v>0.65</v>
      </c>
      <c r="G62" s="96">
        <v>0.65</v>
      </c>
      <c r="H62" s="96">
        <v>0.65</v>
      </c>
      <c r="I62" s="96">
        <v>0.65</v>
      </c>
    </row>
    <row r="63" spans="1:11" x14ac:dyDescent="0.3">
      <c r="A63" s="1" t="s">
        <v>47</v>
      </c>
      <c r="B63" s="90" t="s">
        <v>45</v>
      </c>
      <c r="C63" s="90"/>
      <c r="D63" s="94">
        <v>1.2</v>
      </c>
      <c r="E63" s="96">
        <v>1.2</v>
      </c>
      <c r="F63" s="96">
        <v>1.2</v>
      </c>
      <c r="G63" s="96">
        <v>1.2</v>
      </c>
      <c r="H63" s="96">
        <v>1.2</v>
      </c>
      <c r="I63" s="96">
        <v>1.2</v>
      </c>
      <c r="K63" s="381" t="s">
        <v>48</v>
      </c>
    </row>
    <row r="64" spans="1:11" x14ac:dyDescent="0.3">
      <c r="A64" s="1" t="s">
        <v>49</v>
      </c>
      <c r="B64" s="90" t="s">
        <v>45</v>
      </c>
      <c r="C64" s="90"/>
      <c r="D64" s="94">
        <v>0.12</v>
      </c>
      <c r="E64" s="96">
        <v>0.12</v>
      </c>
      <c r="F64" s="96">
        <v>0.12</v>
      </c>
      <c r="G64" s="96">
        <v>0.12</v>
      </c>
      <c r="H64" s="96">
        <v>0.12</v>
      </c>
      <c r="I64" s="96">
        <v>0.12</v>
      </c>
    </row>
    <row r="65" spans="1:11" x14ac:dyDescent="0.3">
      <c r="A65" s="1" t="s">
        <v>50</v>
      </c>
      <c r="B65" s="19" t="s">
        <v>51</v>
      </c>
      <c r="C65" s="90"/>
      <c r="D65" s="90">
        <v>300</v>
      </c>
      <c r="E65" s="95">
        <v>300</v>
      </c>
      <c r="F65" s="95">
        <v>300</v>
      </c>
      <c r="G65" s="95">
        <v>300</v>
      </c>
      <c r="H65" s="95">
        <v>300</v>
      </c>
      <c r="I65" s="95">
        <v>300</v>
      </c>
    </row>
    <row r="66" spans="1:11" x14ac:dyDescent="0.3">
      <c r="A66" s="1" t="s">
        <v>52</v>
      </c>
      <c r="B66" s="19" t="s">
        <v>51</v>
      </c>
      <c r="C66" s="90"/>
      <c r="D66" s="90">
        <v>80</v>
      </c>
      <c r="E66" s="95">
        <v>80</v>
      </c>
      <c r="F66" s="95">
        <v>80</v>
      </c>
      <c r="G66" s="95">
        <v>80</v>
      </c>
      <c r="H66" s="95">
        <v>80</v>
      </c>
      <c r="I66" s="95">
        <v>80</v>
      </c>
    </row>
    <row r="67" spans="1:11" x14ac:dyDescent="0.3">
      <c r="A67" s="1" t="s">
        <v>53</v>
      </c>
      <c r="B67" s="90" t="s">
        <v>54</v>
      </c>
      <c r="C67" s="90"/>
      <c r="D67" s="90">
        <v>29.4</v>
      </c>
      <c r="E67" s="95">
        <v>29.4</v>
      </c>
      <c r="F67" s="95">
        <v>29.4</v>
      </c>
      <c r="G67" s="95">
        <v>29.4</v>
      </c>
      <c r="H67" s="95">
        <v>29.4</v>
      </c>
      <c r="I67" s="95">
        <v>29.4</v>
      </c>
    </row>
    <row r="68" spans="1:11" x14ac:dyDescent="0.3">
      <c r="A68" s="1" t="s">
        <v>55</v>
      </c>
      <c r="B68" s="90" t="s">
        <v>56</v>
      </c>
      <c r="C68" s="90"/>
      <c r="D68" s="90">
        <v>-12</v>
      </c>
      <c r="E68" s="95">
        <v>-12</v>
      </c>
      <c r="F68" s="95">
        <v>-12</v>
      </c>
      <c r="G68" s="95">
        <v>-12</v>
      </c>
      <c r="H68" s="95">
        <v>-12</v>
      </c>
      <c r="I68" s="95">
        <v>-12</v>
      </c>
    </row>
    <row r="69" spans="1:11" x14ac:dyDescent="0.3">
      <c r="A69" s="1" t="s">
        <v>57</v>
      </c>
      <c r="B69" s="90" t="s">
        <v>58</v>
      </c>
      <c r="C69" s="90"/>
      <c r="D69" s="90">
        <v>1.2999999999999999E-2</v>
      </c>
      <c r="E69" s="95">
        <v>1.2999999999999999E-2</v>
      </c>
      <c r="F69" s="95">
        <v>1.2999999999999999E-2</v>
      </c>
      <c r="G69" s="95">
        <v>1.2999999999999999E-2</v>
      </c>
      <c r="H69" s="95">
        <v>1.2999999999999999E-2</v>
      </c>
      <c r="I69" s="95">
        <v>1.2999999999999999E-2</v>
      </c>
    </row>
    <row r="70" spans="1:11" x14ac:dyDescent="0.3">
      <c r="A70" s="1" t="s">
        <v>59</v>
      </c>
      <c r="B70" s="90"/>
      <c r="C70" s="90"/>
      <c r="D70" s="90"/>
      <c r="E70" s="95"/>
      <c r="F70" s="95"/>
      <c r="G70" s="95"/>
      <c r="H70" s="95"/>
      <c r="I70" s="95"/>
    </row>
    <row r="71" spans="1:11" x14ac:dyDescent="0.3">
      <c r="A71" s="1" t="s">
        <v>60</v>
      </c>
      <c r="B71" s="90" t="s">
        <v>45</v>
      </c>
      <c r="C71" s="90"/>
      <c r="D71" s="94">
        <v>0.8</v>
      </c>
      <c r="E71" s="96">
        <v>0.8</v>
      </c>
      <c r="F71" s="96">
        <v>0.8</v>
      </c>
      <c r="G71" s="96">
        <v>0.8</v>
      </c>
      <c r="H71" s="96">
        <v>0.8</v>
      </c>
      <c r="I71" s="96">
        <v>0.8</v>
      </c>
    </row>
    <row r="72" spans="1:11" x14ac:dyDescent="0.3">
      <c r="A72" s="1" t="s">
        <v>61</v>
      </c>
      <c r="B72" s="90" t="s">
        <v>45</v>
      </c>
      <c r="C72" s="90"/>
      <c r="D72" s="94">
        <f t="shared" ref="D72" si="0">1-D71</f>
        <v>0.19999999999999996</v>
      </c>
      <c r="E72" s="97">
        <f>1-E71</f>
        <v>0.19999999999999996</v>
      </c>
      <c r="F72" s="97">
        <f>1-F71</f>
        <v>0.19999999999999996</v>
      </c>
      <c r="G72" s="97">
        <f>1-G71</f>
        <v>0.19999999999999996</v>
      </c>
      <c r="H72" s="97">
        <f>1-H71</f>
        <v>0.19999999999999996</v>
      </c>
      <c r="I72" s="97">
        <f>1-I71</f>
        <v>0.19999999999999996</v>
      </c>
    </row>
    <row r="73" spans="1:11" x14ac:dyDescent="0.3">
      <c r="A73" s="1" t="s">
        <v>62</v>
      </c>
      <c r="B73" s="90" t="s">
        <v>24</v>
      </c>
      <c r="C73" s="91" t="s">
        <v>63</v>
      </c>
      <c r="D73" s="90">
        <v>1</v>
      </c>
      <c r="E73" s="95">
        <v>1</v>
      </c>
      <c r="F73" s="95">
        <v>1</v>
      </c>
      <c r="G73" s="95">
        <v>1</v>
      </c>
      <c r="H73" s="95">
        <v>1</v>
      </c>
      <c r="I73" s="95">
        <v>1</v>
      </c>
      <c r="K73" s="381" t="s">
        <v>64</v>
      </c>
    </row>
    <row r="74" spans="1:11" x14ac:dyDescent="0.3">
      <c r="A74" s="1" t="s">
        <v>65</v>
      </c>
      <c r="B74" s="90" t="s">
        <v>24</v>
      </c>
      <c r="C74" s="91" t="s">
        <v>66</v>
      </c>
      <c r="D74" s="90">
        <v>1.3</v>
      </c>
      <c r="E74" s="376">
        <v>1.6</v>
      </c>
      <c r="F74" s="376">
        <v>1.6</v>
      </c>
      <c r="G74" s="376">
        <v>1.6</v>
      </c>
      <c r="H74" s="376">
        <v>1.6</v>
      </c>
      <c r="I74" s="376">
        <v>1.6</v>
      </c>
    </row>
    <row r="75" spans="1:11" x14ac:dyDescent="0.3">
      <c r="A75" s="1" t="s">
        <v>67</v>
      </c>
      <c r="B75" s="90"/>
      <c r="C75" s="90"/>
      <c r="D75" s="90"/>
      <c r="E75" s="95"/>
      <c r="F75" s="95"/>
      <c r="G75" s="95"/>
      <c r="H75" s="95"/>
      <c r="I75" s="95"/>
    </row>
    <row r="76" spans="1:11" x14ac:dyDescent="0.3">
      <c r="A76" s="1" t="s">
        <v>68</v>
      </c>
      <c r="B76" s="90" t="s">
        <v>24</v>
      </c>
      <c r="C76" s="91" t="s">
        <v>69</v>
      </c>
      <c r="D76" s="90">
        <v>1</v>
      </c>
      <c r="E76" s="376">
        <v>8</v>
      </c>
      <c r="F76" s="376">
        <v>8</v>
      </c>
      <c r="G76" s="376">
        <v>8</v>
      </c>
      <c r="H76" s="376">
        <v>8</v>
      </c>
      <c r="I76" s="376">
        <v>8</v>
      </c>
    </row>
    <row r="77" spans="1:11" ht="26" x14ac:dyDescent="0.3">
      <c r="A77" s="1" t="s">
        <v>70</v>
      </c>
      <c r="B77" s="90" t="s">
        <v>71</v>
      </c>
      <c r="C77" s="90" t="s">
        <v>72</v>
      </c>
      <c r="D77" s="94" t="s">
        <v>73</v>
      </c>
      <c r="E77" s="379" t="s">
        <v>74</v>
      </c>
      <c r="F77" s="379" t="s">
        <v>74</v>
      </c>
      <c r="G77" s="379" t="s">
        <v>74</v>
      </c>
      <c r="H77" s="379" t="s">
        <v>74</v>
      </c>
      <c r="I77" s="379" t="s">
        <v>74</v>
      </c>
      <c r="K77" s="382" t="s">
        <v>75</v>
      </c>
    </row>
    <row r="78" spans="1:11" ht="15.5" x14ac:dyDescent="0.35">
      <c r="B78" s="90"/>
      <c r="C78" s="107" t="s">
        <v>76</v>
      </c>
      <c r="D78" s="90"/>
      <c r="E78" s="95"/>
      <c r="F78" s="95"/>
      <c r="G78" s="95"/>
      <c r="H78" s="95"/>
      <c r="I78" s="95"/>
    </row>
    <row r="79" spans="1:11" x14ac:dyDescent="0.3">
      <c r="B79" s="90"/>
      <c r="C79" s="1" t="str">
        <f>Constants_CC!D9</f>
        <v>Coal 1, Wyoming PRB:  8,227 Btu, 0.37% S, 5.32% ash</v>
      </c>
      <c r="D79" s="90"/>
      <c r="E79" s="95"/>
      <c r="F79" s="95"/>
      <c r="G79" s="95"/>
      <c r="H79" s="95"/>
      <c r="I79" s="95"/>
    </row>
    <row r="80" spans="1:11" x14ac:dyDescent="0.3">
      <c r="B80" s="90"/>
      <c r="C80" s="1" t="str">
        <f>Constants_CC!E9</f>
        <v>Coal 2, Armstrong, PA:  13,100 Btu, 2.6% S, 9.1% ash</v>
      </c>
      <c r="D80" s="90"/>
      <c r="E80" s="95"/>
      <c r="F80" s="95"/>
      <c r="G80" s="95"/>
      <c r="H80" s="95"/>
      <c r="I80" s="95"/>
    </row>
    <row r="81" spans="1:18" x14ac:dyDescent="0.3">
      <c r="C81" s="1" t="str">
        <f>Constants_CC!F9</f>
        <v>Coal 3, Jefferson, OH:  11,922 Btu, 3.43% S, 13% ash</v>
      </c>
    </row>
    <row r="82" spans="1:18" x14ac:dyDescent="0.3">
      <c r="C82" s="1" t="str">
        <f>Constants_CC!G9</f>
        <v>Coal 4, Logan, WV:  12,058 Btu, 0.89% S, 16.6% ash</v>
      </c>
    </row>
    <row r="83" spans="1:18" x14ac:dyDescent="0.3">
      <c r="C83" s="1" t="str">
        <f>Constants_CC!H9</f>
        <v>Coal 5, No. 6 Illinois:  10,100 Btu, 4% S, 16% ash</v>
      </c>
    </row>
    <row r="84" spans="1:18" x14ac:dyDescent="0.3">
      <c r="C84" s="1" t="str">
        <f>Constants_CC!I9</f>
        <v>Coal 6, Rosebud, MT:  8,789 Btu, 0.56% S, 8.15% ash</v>
      </c>
    </row>
    <row r="85" spans="1:18" x14ac:dyDescent="0.3">
      <c r="C85" s="1" t="str">
        <f>Constants_CC!J9</f>
        <v>Coal 7, Lignite, ND:  7,500 Btu, 0.94% S, 5.9% ash</v>
      </c>
    </row>
    <row r="86" spans="1:18" x14ac:dyDescent="0.3">
      <c r="C86" s="373" t="str">
        <f>Constants_CC!K9</f>
        <v>Coal 8, "User Specified":  7,560 Btu, 0.3% S, 7% ash</v>
      </c>
      <c r="D86" s="373"/>
      <c r="E86" s="373"/>
      <c r="F86" s="373"/>
      <c r="G86" s="373"/>
      <c r="H86" s="373"/>
      <c r="I86" s="373"/>
      <c r="J86" s="373"/>
      <c r="K86" s="373"/>
    </row>
    <row r="87" spans="1:18" ht="15.5" x14ac:dyDescent="0.35">
      <c r="A87" s="238" t="s">
        <v>77</v>
      </c>
    </row>
    <row r="89" spans="1:18" x14ac:dyDescent="0.3">
      <c r="A89" s="1" t="s">
        <v>78</v>
      </c>
      <c r="B89" s="90" t="s">
        <v>79</v>
      </c>
      <c r="D89" s="90">
        <v>1998</v>
      </c>
      <c r="E89" s="376">
        <v>2015</v>
      </c>
      <c r="F89" s="376">
        <v>2015</v>
      </c>
      <c r="G89" s="376">
        <v>2015</v>
      </c>
      <c r="H89" s="376">
        <v>2015</v>
      </c>
      <c r="I89" s="376">
        <v>2015</v>
      </c>
      <c r="K89" s="381" t="s">
        <v>80</v>
      </c>
    </row>
    <row r="90" spans="1:18" x14ac:dyDescent="0.3">
      <c r="A90" s="1" t="s">
        <v>81</v>
      </c>
      <c r="B90" s="90" t="s">
        <v>82</v>
      </c>
      <c r="D90" s="90">
        <v>30</v>
      </c>
      <c r="E90" s="95">
        <v>30</v>
      </c>
      <c r="F90" s="95">
        <v>30</v>
      </c>
      <c r="G90" s="95">
        <v>30</v>
      </c>
      <c r="H90" s="95">
        <v>30</v>
      </c>
      <c r="I90" s="95">
        <v>30</v>
      </c>
    </row>
    <row r="91" spans="1:18" x14ac:dyDescent="0.3">
      <c r="A91" s="1" t="s">
        <v>83</v>
      </c>
      <c r="B91" s="90" t="s">
        <v>45</v>
      </c>
      <c r="D91" s="98">
        <v>0.03</v>
      </c>
      <c r="E91" s="99">
        <v>0.03</v>
      </c>
      <c r="F91" s="99">
        <v>0.03</v>
      </c>
      <c r="G91" s="99">
        <v>0.03</v>
      </c>
      <c r="H91" s="99">
        <v>0.03</v>
      </c>
      <c r="I91" s="99">
        <v>0.03</v>
      </c>
    </row>
    <row r="92" spans="1:18" x14ac:dyDescent="0.3">
      <c r="A92" s="1" t="s">
        <v>84</v>
      </c>
      <c r="B92" s="90" t="s">
        <v>45</v>
      </c>
      <c r="D92" s="98">
        <v>9.1999999999999998E-2</v>
      </c>
      <c r="E92" s="99">
        <v>9.1999999999999998E-2</v>
      </c>
      <c r="F92" s="99">
        <v>9.1999999999999998E-2</v>
      </c>
      <c r="G92" s="99">
        <v>9.1999999999999998E-2</v>
      </c>
      <c r="H92" s="99">
        <v>9.1999999999999998E-2</v>
      </c>
      <c r="I92" s="99">
        <v>9.1999999999999998E-2</v>
      </c>
      <c r="Q92" s="108"/>
      <c r="R92" s="108"/>
    </row>
    <row r="93" spans="1:18" x14ac:dyDescent="0.3">
      <c r="A93" s="1" t="s">
        <v>85</v>
      </c>
      <c r="B93" s="90" t="s">
        <v>45</v>
      </c>
      <c r="D93" s="98">
        <v>0.108</v>
      </c>
      <c r="E93" s="99">
        <v>0.108</v>
      </c>
      <c r="F93" s="99">
        <v>0.108</v>
      </c>
      <c r="G93" s="99">
        <v>0.108</v>
      </c>
      <c r="H93" s="99">
        <v>0.108</v>
      </c>
      <c r="I93" s="99">
        <v>0.108</v>
      </c>
      <c r="Q93" s="108"/>
      <c r="R93" s="108"/>
    </row>
    <row r="94" spans="1:18" x14ac:dyDescent="0.3">
      <c r="A94" s="1" t="s">
        <v>86</v>
      </c>
      <c r="B94" s="90" t="s">
        <v>45</v>
      </c>
      <c r="D94" s="98">
        <v>0.223</v>
      </c>
      <c r="E94" s="99">
        <v>0.223</v>
      </c>
      <c r="F94" s="99">
        <v>0.223</v>
      </c>
      <c r="G94" s="99">
        <v>0.223</v>
      </c>
      <c r="H94" s="99">
        <v>0.223</v>
      </c>
      <c r="I94" s="99">
        <v>0.223</v>
      </c>
      <c r="Q94" s="108"/>
      <c r="R94" s="108"/>
    </row>
    <row r="95" spans="1:18" x14ac:dyDescent="0.3">
      <c r="A95" s="1" t="s">
        <v>87</v>
      </c>
      <c r="B95" s="90" t="s">
        <v>45</v>
      </c>
      <c r="D95" s="98">
        <v>0.16900000000000001</v>
      </c>
      <c r="E95" s="99">
        <v>0.16900000000000001</v>
      </c>
      <c r="F95" s="99">
        <v>0.16900000000000001</v>
      </c>
      <c r="G95" s="99">
        <v>0.16900000000000001</v>
      </c>
      <c r="H95" s="99">
        <v>0.16900000000000001</v>
      </c>
      <c r="I95" s="99">
        <v>0.16900000000000001</v>
      </c>
      <c r="Q95" s="108"/>
      <c r="R95" s="108"/>
    </row>
    <row r="96" spans="1:18" x14ac:dyDescent="0.3">
      <c r="A96" s="1" t="s">
        <v>88</v>
      </c>
      <c r="B96" s="90" t="s">
        <v>45</v>
      </c>
      <c r="D96" s="98">
        <v>0.157</v>
      </c>
      <c r="E96" s="99">
        <v>0.157</v>
      </c>
      <c r="F96" s="99">
        <v>0.157</v>
      </c>
      <c r="G96" s="99">
        <v>0.157</v>
      </c>
      <c r="H96" s="99">
        <v>0.157</v>
      </c>
      <c r="I96" s="99">
        <v>0.157</v>
      </c>
      <c r="Q96" s="108"/>
      <c r="R96" s="108"/>
    </row>
    <row r="97" spans="1:18" x14ac:dyDescent="0.3">
      <c r="A97" s="1" t="s">
        <v>89</v>
      </c>
      <c r="B97" s="90" t="s">
        <v>45</v>
      </c>
      <c r="D97" s="98">
        <v>0.11700000000000001</v>
      </c>
      <c r="E97" s="99">
        <v>0.11700000000000001</v>
      </c>
      <c r="F97" s="99">
        <v>0.11700000000000001</v>
      </c>
      <c r="G97" s="99">
        <v>0.11700000000000001</v>
      </c>
      <c r="H97" s="99">
        <v>0.11700000000000001</v>
      </c>
      <c r="I97" s="99">
        <v>0.11700000000000001</v>
      </c>
      <c r="Q97" s="108"/>
      <c r="R97" s="108"/>
    </row>
    <row r="98" spans="1:18" x14ac:dyDescent="0.3">
      <c r="A98" s="1" t="s">
        <v>90</v>
      </c>
      <c r="B98" s="90" t="s">
        <v>45</v>
      </c>
      <c r="D98" s="94">
        <v>0.06</v>
      </c>
      <c r="E98" s="96">
        <v>0.06</v>
      </c>
      <c r="F98" s="96">
        <v>0.06</v>
      </c>
      <c r="G98" s="96">
        <v>0.06</v>
      </c>
      <c r="H98" s="96">
        <v>0.06</v>
      </c>
      <c r="I98" s="96">
        <v>0.06</v>
      </c>
    </row>
    <row r="99" spans="1:18" x14ac:dyDescent="0.3">
      <c r="A99" s="1" t="s">
        <v>91</v>
      </c>
      <c r="B99" s="90"/>
      <c r="D99" s="90"/>
      <c r="E99" s="95"/>
      <c r="F99" s="95"/>
      <c r="G99" s="95"/>
      <c r="H99" s="95"/>
      <c r="I99" s="95"/>
    </row>
    <row r="100" spans="1:18" x14ac:dyDescent="0.3">
      <c r="A100" s="1" t="s">
        <v>92</v>
      </c>
      <c r="B100" s="90" t="s">
        <v>45</v>
      </c>
      <c r="D100" s="94">
        <v>0.03</v>
      </c>
      <c r="E100" s="96">
        <v>0.03</v>
      </c>
      <c r="F100" s="96">
        <v>0.03</v>
      </c>
      <c r="G100" s="96">
        <v>0.03</v>
      </c>
      <c r="H100" s="96">
        <v>0.03</v>
      </c>
      <c r="I100" s="96">
        <v>0.03</v>
      </c>
    </row>
    <row r="101" spans="1:18" x14ac:dyDescent="0.3">
      <c r="A101" s="1" t="s">
        <v>93</v>
      </c>
      <c r="B101" s="90"/>
      <c r="D101" s="94"/>
      <c r="E101" s="96"/>
      <c r="F101" s="96"/>
      <c r="G101" s="96"/>
      <c r="H101" s="96"/>
      <c r="I101" s="96"/>
    </row>
    <row r="102" spans="1:18" x14ac:dyDescent="0.3">
      <c r="A102" s="1" t="s">
        <v>94</v>
      </c>
      <c r="B102" s="90" t="s">
        <v>71</v>
      </c>
      <c r="D102" s="94" t="s">
        <v>73</v>
      </c>
      <c r="E102" s="379" t="s">
        <v>73</v>
      </c>
      <c r="F102" s="379" t="s">
        <v>73</v>
      </c>
      <c r="G102" s="379" t="s">
        <v>73</v>
      </c>
      <c r="H102" s="379" t="s">
        <v>73</v>
      </c>
      <c r="I102" s="379" t="s">
        <v>73</v>
      </c>
    </row>
    <row r="103" spans="1:18" ht="26" x14ac:dyDescent="0.3">
      <c r="A103" s="1" t="s">
        <v>95</v>
      </c>
      <c r="B103" s="90" t="s">
        <v>24</v>
      </c>
      <c r="D103" s="295">
        <v>388</v>
      </c>
      <c r="E103" s="380">
        <v>578.4</v>
      </c>
      <c r="F103" s="380">
        <v>578.4</v>
      </c>
      <c r="G103" s="380">
        <v>578.4</v>
      </c>
      <c r="H103" s="380">
        <v>578.4</v>
      </c>
      <c r="I103" s="380">
        <v>578.4</v>
      </c>
      <c r="K103" s="382" t="s">
        <v>96</v>
      </c>
    </row>
    <row r="104" spans="1:18" x14ac:dyDescent="0.3">
      <c r="A104" s="1" t="s">
        <v>97</v>
      </c>
      <c r="B104" s="90" t="s">
        <v>45</v>
      </c>
      <c r="D104" s="94">
        <v>0.03</v>
      </c>
      <c r="E104" s="96">
        <v>0.03</v>
      </c>
      <c r="F104" s="96">
        <v>0.03</v>
      </c>
      <c r="G104" s="96">
        <v>0.03</v>
      </c>
      <c r="H104" s="96">
        <v>0.03</v>
      </c>
      <c r="I104" s="96">
        <v>0.03</v>
      </c>
      <c r="K104" s="301"/>
    </row>
    <row r="105" spans="1:18" x14ac:dyDescent="0.3">
      <c r="A105" s="1" t="s">
        <v>98</v>
      </c>
      <c r="B105" s="90" t="s">
        <v>99</v>
      </c>
      <c r="D105" s="101">
        <v>35</v>
      </c>
      <c r="E105" s="102">
        <v>60</v>
      </c>
      <c r="F105" s="102">
        <v>60</v>
      </c>
      <c r="G105" s="102">
        <v>60</v>
      </c>
      <c r="H105" s="102">
        <v>60</v>
      </c>
      <c r="I105" s="102">
        <v>60</v>
      </c>
      <c r="K105" s="301"/>
    </row>
    <row r="106" spans="1:18" ht="26" x14ac:dyDescent="0.3">
      <c r="A106" s="1" t="s">
        <v>100</v>
      </c>
      <c r="B106" s="90" t="s">
        <v>45</v>
      </c>
      <c r="D106" s="94">
        <v>0.03</v>
      </c>
      <c r="E106" s="96">
        <v>0.03</v>
      </c>
      <c r="F106" s="96">
        <v>0.03</v>
      </c>
      <c r="G106" s="96">
        <v>0.03</v>
      </c>
      <c r="H106" s="96">
        <v>0.03</v>
      </c>
      <c r="I106" s="96">
        <v>0.03</v>
      </c>
      <c r="K106" s="382" t="s">
        <v>101</v>
      </c>
    </row>
    <row r="107" spans="1:18" x14ac:dyDescent="0.3">
      <c r="A107" s="1" t="s">
        <v>102</v>
      </c>
      <c r="B107" s="90" t="s">
        <v>99</v>
      </c>
      <c r="D107" s="101">
        <v>30</v>
      </c>
      <c r="E107" s="102">
        <v>63</v>
      </c>
      <c r="F107" s="102">
        <v>63</v>
      </c>
      <c r="G107" s="102">
        <v>63</v>
      </c>
      <c r="H107" s="102">
        <v>63</v>
      </c>
      <c r="I107" s="102">
        <v>63</v>
      </c>
    </row>
    <row r="108" spans="1:18" x14ac:dyDescent="0.3">
      <c r="A108" s="1" t="s">
        <v>103</v>
      </c>
      <c r="B108" s="90" t="s">
        <v>104</v>
      </c>
      <c r="D108" s="90">
        <v>25</v>
      </c>
      <c r="E108" s="95">
        <v>25</v>
      </c>
      <c r="F108" s="95">
        <v>25</v>
      </c>
      <c r="G108" s="95">
        <v>25</v>
      </c>
      <c r="H108" s="95">
        <v>25</v>
      </c>
      <c r="I108" s="95">
        <v>25</v>
      </c>
    </row>
    <row r="109" spans="1:18" x14ac:dyDescent="0.3">
      <c r="A109" s="1" t="s">
        <v>105</v>
      </c>
      <c r="B109" s="90" t="s">
        <v>106</v>
      </c>
      <c r="D109" s="90">
        <v>3.5</v>
      </c>
      <c r="E109" s="95">
        <v>3.5</v>
      </c>
      <c r="F109" s="95">
        <v>3.5</v>
      </c>
      <c r="G109" s="95">
        <v>3.5</v>
      </c>
      <c r="H109" s="95">
        <v>3.5</v>
      </c>
      <c r="I109" s="95">
        <v>3.5</v>
      </c>
    </row>
    <row r="111" spans="1:18" ht="15.5" x14ac:dyDescent="0.35">
      <c r="A111" s="238" t="s">
        <v>107</v>
      </c>
    </row>
    <row r="112" spans="1:18" x14ac:dyDescent="0.3">
      <c r="B112" s="90"/>
      <c r="C112" s="90"/>
      <c r="D112" s="90"/>
    </row>
    <row r="113" spans="1:9" x14ac:dyDescent="0.3">
      <c r="A113" s="1" t="s">
        <v>108</v>
      </c>
      <c r="B113" s="90" t="s">
        <v>45</v>
      </c>
      <c r="C113" s="90" t="s">
        <v>109</v>
      </c>
      <c r="D113" s="94">
        <v>0.95</v>
      </c>
      <c r="E113" s="379">
        <v>0.5</v>
      </c>
      <c r="F113" s="96">
        <v>0.95</v>
      </c>
      <c r="G113" s="96">
        <v>0.95</v>
      </c>
      <c r="H113" s="96">
        <v>0.95</v>
      </c>
      <c r="I113" s="96">
        <v>0.95</v>
      </c>
    </row>
    <row r="114" spans="1:9" x14ac:dyDescent="0.3">
      <c r="A114" s="1" t="s">
        <v>110</v>
      </c>
      <c r="B114" s="90" t="s">
        <v>111</v>
      </c>
      <c r="C114" s="90" t="s">
        <v>112</v>
      </c>
      <c r="D114" s="90">
        <v>125</v>
      </c>
      <c r="E114" s="95">
        <v>125</v>
      </c>
      <c r="F114" s="95">
        <v>125</v>
      </c>
      <c r="G114" s="95">
        <v>125</v>
      </c>
      <c r="H114" s="95">
        <v>125</v>
      </c>
      <c r="I114" s="95">
        <v>125</v>
      </c>
    </row>
    <row r="115" spans="1:9" x14ac:dyDescent="0.3">
      <c r="A115" s="1" t="s">
        <v>113</v>
      </c>
      <c r="B115" s="90" t="s">
        <v>24</v>
      </c>
      <c r="C115" s="90" t="s">
        <v>25</v>
      </c>
      <c r="D115" s="90">
        <v>2</v>
      </c>
      <c r="E115" s="95">
        <v>2</v>
      </c>
      <c r="F115" s="95">
        <v>1</v>
      </c>
      <c r="G115" s="95">
        <v>1</v>
      </c>
      <c r="H115" s="95">
        <v>1</v>
      </c>
      <c r="I115" s="95">
        <v>1</v>
      </c>
    </row>
    <row r="116" spans="1:9" x14ac:dyDescent="0.3">
      <c r="A116" s="1" t="s">
        <v>114</v>
      </c>
      <c r="B116" s="90"/>
      <c r="C116" s="90"/>
      <c r="D116" s="90"/>
      <c r="E116" s="95"/>
      <c r="F116" s="95"/>
      <c r="G116" s="95"/>
      <c r="H116" s="95"/>
      <c r="I116" s="95"/>
    </row>
    <row r="117" spans="1:9" x14ac:dyDescent="0.3">
      <c r="A117" s="1" t="s">
        <v>115</v>
      </c>
      <c r="B117" s="19" t="s">
        <v>51</v>
      </c>
      <c r="C117" s="90" t="s">
        <v>116</v>
      </c>
      <c r="D117" s="90">
        <v>127</v>
      </c>
      <c r="E117" s="95">
        <v>127</v>
      </c>
      <c r="F117" s="95">
        <v>127</v>
      </c>
      <c r="G117" s="95">
        <v>127</v>
      </c>
      <c r="H117" s="95">
        <v>127</v>
      </c>
      <c r="I117" s="95">
        <v>127</v>
      </c>
    </row>
    <row r="118" spans="1:9" x14ac:dyDescent="0.3">
      <c r="A118" s="1" t="s">
        <v>117</v>
      </c>
      <c r="B118" s="90" t="s">
        <v>118</v>
      </c>
      <c r="C118" s="90" t="s">
        <v>119</v>
      </c>
      <c r="D118" s="90">
        <v>1.05</v>
      </c>
      <c r="E118" s="95">
        <v>1.05</v>
      </c>
      <c r="F118" s="95">
        <v>1.05</v>
      </c>
      <c r="G118" s="95">
        <v>1.05</v>
      </c>
      <c r="H118" s="95">
        <v>1.05</v>
      </c>
      <c r="I118" s="95">
        <v>1.05</v>
      </c>
    </row>
    <row r="119" spans="1:9" x14ac:dyDescent="0.3">
      <c r="A119" s="1" t="s">
        <v>120</v>
      </c>
      <c r="B119" s="90"/>
      <c r="C119" s="90"/>
      <c r="D119" s="90"/>
      <c r="E119" s="95"/>
      <c r="F119" s="95"/>
      <c r="G119" s="95"/>
      <c r="H119" s="95"/>
      <c r="I119" s="95"/>
    </row>
    <row r="120" spans="1:9" x14ac:dyDescent="0.3">
      <c r="A120" s="1" t="s">
        <v>121</v>
      </c>
      <c r="B120" s="90" t="s">
        <v>122</v>
      </c>
      <c r="C120" s="90"/>
      <c r="D120" s="94">
        <v>0.15</v>
      </c>
      <c r="E120" s="96">
        <v>0.15</v>
      </c>
      <c r="F120" s="96">
        <v>0.15</v>
      </c>
      <c r="G120" s="96">
        <v>0.15</v>
      </c>
      <c r="H120" s="96">
        <v>0.15</v>
      </c>
      <c r="I120" s="96">
        <v>0.15</v>
      </c>
    </row>
    <row r="121" spans="1:9" x14ac:dyDescent="0.3">
      <c r="A121" s="1" t="s">
        <v>123</v>
      </c>
      <c r="B121" s="90" t="s">
        <v>24</v>
      </c>
      <c r="C121" s="90" t="s">
        <v>124</v>
      </c>
      <c r="D121" s="90">
        <v>1</v>
      </c>
      <c r="E121" s="95">
        <v>1</v>
      </c>
      <c r="F121" s="95">
        <v>1</v>
      </c>
      <c r="G121" s="95">
        <v>1</v>
      </c>
      <c r="H121" s="95">
        <v>1</v>
      </c>
      <c r="I121" s="95">
        <v>1</v>
      </c>
    </row>
    <row r="122" spans="1:9" x14ac:dyDescent="0.3">
      <c r="A122" s="1" t="s">
        <v>125</v>
      </c>
      <c r="B122" s="90"/>
      <c r="C122" s="90"/>
      <c r="D122" s="90"/>
      <c r="E122" s="95"/>
      <c r="F122" s="95"/>
      <c r="G122" s="95"/>
      <c r="H122" s="95"/>
      <c r="I122" s="95"/>
    </row>
    <row r="123" spans="1:9" x14ac:dyDescent="0.3">
      <c r="A123" s="1" t="s">
        <v>126</v>
      </c>
      <c r="B123" s="90" t="s">
        <v>24</v>
      </c>
      <c r="C123" s="92" t="s">
        <v>127</v>
      </c>
      <c r="D123" s="90">
        <v>1</v>
      </c>
      <c r="E123" s="95">
        <v>1</v>
      </c>
      <c r="F123" s="95">
        <v>1</v>
      </c>
      <c r="G123" s="95">
        <v>1</v>
      </c>
      <c r="H123" s="95">
        <v>1</v>
      </c>
      <c r="I123" s="95">
        <v>1</v>
      </c>
    </row>
    <row r="124" spans="1:9" x14ac:dyDescent="0.3">
      <c r="A124" s="1" t="s">
        <v>128</v>
      </c>
      <c r="B124" s="90"/>
      <c r="C124" s="90"/>
      <c r="D124" s="90"/>
      <c r="E124" s="95"/>
      <c r="F124" s="95"/>
      <c r="G124" s="95"/>
      <c r="H124" s="95"/>
      <c r="I124" s="95"/>
    </row>
    <row r="125" spans="1:9" x14ac:dyDescent="0.3">
      <c r="A125" s="1" t="s">
        <v>129</v>
      </c>
      <c r="B125" s="90" t="s">
        <v>24</v>
      </c>
      <c r="C125" s="90" t="s">
        <v>25</v>
      </c>
      <c r="D125" s="90">
        <v>1</v>
      </c>
      <c r="E125" s="95">
        <v>1</v>
      </c>
      <c r="F125" s="95">
        <v>1</v>
      </c>
      <c r="G125" s="95">
        <v>1</v>
      </c>
      <c r="H125" s="95">
        <v>1</v>
      </c>
      <c r="I125" s="95">
        <v>1</v>
      </c>
    </row>
    <row r="126" spans="1:9" x14ac:dyDescent="0.3">
      <c r="A126" s="1" t="s">
        <v>130</v>
      </c>
      <c r="B126" s="90"/>
      <c r="C126" s="90"/>
      <c r="D126" s="90"/>
      <c r="E126" s="95"/>
      <c r="F126" s="95"/>
      <c r="G126" s="95"/>
      <c r="H126" s="95"/>
      <c r="I126" s="95"/>
    </row>
    <row r="127" spans="1:9" x14ac:dyDescent="0.3">
      <c r="A127" s="1" t="s">
        <v>131</v>
      </c>
      <c r="B127" s="90" t="s">
        <v>132</v>
      </c>
      <c r="C127" s="90"/>
      <c r="D127" s="90">
        <v>6</v>
      </c>
      <c r="E127" s="95">
        <v>6</v>
      </c>
      <c r="F127" s="95">
        <v>6</v>
      </c>
      <c r="G127" s="95">
        <v>6</v>
      </c>
      <c r="H127" s="95">
        <v>6</v>
      </c>
      <c r="I127" s="95">
        <v>6</v>
      </c>
    </row>
    <row r="128" spans="1:9" x14ac:dyDescent="0.3">
      <c r="A128" s="1" t="s">
        <v>133</v>
      </c>
      <c r="B128" s="90" t="s">
        <v>24</v>
      </c>
      <c r="C128" s="90" t="s">
        <v>25</v>
      </c>
      <c r="D128" s="90">
        <v>1</v>
      </c>
      <c r="E128" s="95">
        <v>1</v>
      </c>
      <c r="F128" s="95">
        <v>1</v>
      </c>
      <c r="G128" s="95">
        <v>1</v>
      </c>
      <c r="H128" s="95">
        <v>1</v>
      </c>
      <c r="I128" s="95">
        <v>1</v>
      </c>
    </row>
    <row r="129" spans="1:9" x14ac:dyDescent="0.3">
      <c r="A129" s="1" t="s">
        <v>114</v>
      </c>
      <c r="B129" s="90"/>
      <c r="C129" s="90"/>
      <c r="D129" s="90"/>
      <c r="E129" s="95"/>
      <c r="F129" s="95"/>
      <c r="G129" s="95"/>
      <c r="H129" s="95"/>
      <c r="I129" s="95"/>
    </row>
    <row r="130" spans="1:9" x14ac:dyDescent="0.3">
      <c r="A130" s="1" t="s">
        <v>134</v>
      </c>
      <c r="B130" s="19" t="s">
        <v>51</v>
      </c>
      <c r="C130" s="90" t="s">
        <v>135</v>
      </c>
      <c r="D130" s="90">
        <v>25</v>
      </c>
      <c r="E130" s="95">
        <v>25</v>
      </c>
      <c r="F130" s="95">
        <v>25</v>
      </c>
      <c r="G130" s="95">
        <v>25</v>
      </c>
      <c r="H130" s="95">
        <v>25</v>
      </c>
      <c r="I130" s="95">
        <v>25</v>
      </c>
    </row>
    <row r="131" spans="1:9" x14ac:dyDescent="0.3">
      <c r="A131" s="1" t="s">
        <v>136</v>
      </c>
      <c r="B131" s="90" t="s">
        <v>137</v>
      </c>
      <c r="C131" s="90"/>
      <c r="D131" s="90">
        <v>60</v>
      </c>
      <c r="E131" s="95">
        <v>60</v>
      </c>
      <c r="F131" s="95">
        <v>60</v>
      </c>
      <c r="G131" s="95">
        <v>60</v>
      </c>
      <c r="H131" s="95">
        <v>60</v>
      </c>
      <c r="I131" s="95">
        <v>60</v>
      </c>
    </row>
    <row r="132" spans="1:9" x14ac:dyDescent="0.3">
      <c r="A132" s="1" t="s">
        <v>138</v>
      </c>
      <c r="B132" s="90" t="s">
        <v>139</v>
      </c>
      <c r="C132" s="90"/>
      <c r="D132" s="101">
        <v>15</v>
      </c>
      <c r="E132" s="102">
        <v>15</v>
      </c>
      <c r="F132" s="102">
        <v>15</v>
      </c>
      <c r="G132" s="102">
        <v>15</v>
      </c>
      <c r="H132" s="102">
        <v>15</v>
      </c>
      <c r="I132" s="102">
        <v>15</v>
      </c>
    </row>
    <row r="133" spans="1:9" x14ac:dyDescent="0.3">
      <c r="A133" s="1" t="s">
        <v>140</v>
      </c>
      <c r="B133" s="90" t="s">
        <v>139</v>
      </c>
      <c r="C133" s="90"/>
      <c r="D133" s="101">
        <v>30</v>
      </c>
      <c r="E133" s="102">
        <v>30</v>
      </c>
      <c r="F133" s="102">
        <v>30</v>
      </c>
      <c r="G133" s="102">
        <v>30</v>
      </c>
      <c r="H133" s="102">
        <v>30</v>
      </c>
      <c r="I133" s="102">
        <v>30</v>
      </c>
    </row>
    <row r="134" spans="1:9" x14ac:dyDescent="0.3">
      <c r="A134" s="1" t="s">
        <v>141</v>
      </c>
      <c r="B134" s="90" t="s">
        <v>139</v>
      </c>
      <c r="C134" s="90"/>
      <c r="D134" s="101">
        <v>6</v>
      </c>
      <c r="E134" s="102">
        <v>6</v>
      </c>
      <c r="F134" s="102">
        <v>6</v>
      </c>
      <c r="G134" s="102">
        <v>6</v>
      </c>
      <c r="H134" s="102">
        <v>6</v>
      </c>
      <c r="I134" s="102">
        <v>6</v>
      </c>
    </row>
    <row r="135" spans="1:9" x14ac:dyDescent="0.3">
      <c r="A135" s="1" t="s">
        <v>142</v>
      </c>
      <c r="B135" s="90" t="s">
        <v>139</v>
      </c>
      <c r="C135" s="90"/>
      <c r="D135" s="101">
        <v>2</v>
      </c>
      <c r="E135" s="102">
        <v>2</v>
      </c>
      <c r="F135" s="102">
        <v>2</v>
      </c>
      <c r="G135" s="102">
        <v>2</v>
      </c>
      <c r="H135" s="102">
        <v>2</v>
      </c>
      <c r="I135" s="102">
        <v>2</v>
      </c>
    </row>
    <row r="136" spans="1:9" x14ac:dyDescent="0.3">
      <c r="A136" s="1" t="s">
        <v>143</v>
      </c>
      <c r="B136" s="90"/>
      <c r="C136" s="90"/>
      <c r="D136" s="90"/>
      <c r="E136" s="90"/>
      <c r="F136" s="90"/>
      <c r="G136" s="90"/>
      <c r="H136" s="90"/>
      <c r="I136" s="90"/>
    </row>
    <row r="137" spans="1:9" x14ac:dyDescent="0.3">
      <c r="A137" s="1" t="s">
        <v>144</v>
      </c>
      <c r="B137" s="90" t="s">
        <v>45</v>
      </c>
      <c r="C137" s="90"/>
      <c r="D137" s="94">
        <v>0.05</v>
      </c>
      <c r="E137" s="96">
        <v>0.05</v>
      </c>
      <c r="F137" s="96">
        <v>0.05</v>
      </c>
      <c r="G137" s="96">
        <v>0.05</v>
      </c>
      <c r="H137" s="96">
        <v>0.05</v>
      </c>
      <c r="I137" s="96">
        <v>0.05</v>
      </c>
    </row>
    <row r="138" spans="1:9" x14ac:dyDescent="0.3">
      <c r="A138" s="1" t="s">
        <v>145</v>
      </c>
      <c r="B138" s="90" t="s">
        <v>45</v>
      </c>
      <c r="C138" s="90"/>
      <c r="D138" s="94">
        <v>0.05</v>
      </c>
      <c r="E138" s="96">
        <v>0.05</v>
      </c>
      <c r="F138" s="96">
        <v>0.05</v>
      </c>
      <c r="G138" s="96">
        <v>0.05</v>
      </c>
      <c r="H138" s="96">
        <v>0.05</v>
      </c>
      <c r="I138" s="96">
        <v>0.05</v>
      </c>
    </row>
    <row r="139" spans="1:9" x14ac:dyDescent="0.3">
      <c r="A139" s="1" t="s">
        <v>146</v>
      </c>
      <c r="B139" s="90" t="s">
        <v>45</v>
      </c>
      <c r="C139" s="90"/>
      <c r="D139" s="94">
        <v>0.05</v>
      </c>
      <c r="E139" s="96">
        <v>0.05</v>
      </c>
      <c r="F139" s="96">
        <v>0.05</v>
      </c>
      <c r="G139" s="96">
        <v>0.05</v>
      </c>
      <c r="H139" s="96">
        <v>0.05</v>
      </c>
      <c r="I139" s="96">
        <v>0.05</v>
      </c>
    </row>
    <row r="140" spans="1:9" x14ac:dyDescent="0.3">
      <c r="A140" s="1" t="s">
        <v>147</v>
      </c>
      <c r="B140" s="90" t="s">
        <v>45</v>
      </c>
      <c r="C140" s="90"/>
      <c r="D140" s="94">
        <v>0.05</v>
      </c>
      <c r="E140" s="96">
        <v>0.05</v>
      </c>
      <c r="F140" s="96">
        <v>0.05</v>
      </c>
      <c r="G140" s="96">
        <v>0.05</v>
      </c>
      <c r="H140" s="96">
        <v>0.05</v>
      </c>
      <c r="I140" s="96">
        <v>0.05</v>
      </c>
    </row>
    <row r="141" spans="1:9" x14ac:dyDescent="0.3">
      <c r="A141" s="1" t="s">
        <v>148</v>
      </c>
      <c r="B141" s="90" t="s">
        <v>45</v>
      </c>
      <c r="C141" s="90"/>
      <c r="D141" s="94">
        <v>0.05</v>
      </c>
      <c r="E141" s="96">
        <v>0.05</v>
      </c>
      <c r="F141" s="96">
        <v>0.05</v>
      </c>
      <c r="G141" s="96">
        <v>0.05</v>
      </c>
      <c r="H141" s="96">
        <v>0.05</v>
      </c>
      <c r="I141" s="96">
        <v>0.05</v>
      </c>
    </row>
    <row r="142" spans="1:9" x14ac:dyDescent="0.3">
      <c r="A142" s="1" t="s">
        <v>149</v>
      </c>
      <c r="B142" s="90"/>
      <c r="C142" s="90"/>
      <c r="D142" s="90"/>
      <c r="E142" s="95"/>
      <c r="F142" s="95"/>
      <c r="G142" s="95"/>
      <c r="H142" s="95"/>
      <c r="I142" s="95"/>
    </row>
    <row r="143" spans="1:9" x14ac:dyDescent="0.3">
      <c r="A143" s="1" t="s">
        <v>144</v>
      </c>
      <c r="B143" s="90" t="s">
        <v>45</v>
      </c>
      <c r="C143" s="90"/>
      <c r="D143" s="94">
        <v>0.2</v>
      </c>
      <c r="E143" s="96">
        <v>0.2</v>
      </c>
      <c r="F143" s="96">
        <v>0.2</v>
      </c>
      <c r="G143" s="96">
        <v>0.2</v>
      </c>
      <c r="H143" s="96">
        <v>0.2</v>
      </c>
      <c r="I143" s="96">
        <v>0.2</v>
      </c>
    </row>
    <row r="144" spans="1:9" x14ac:dyDescent="0.3">
      <c r="A144" s="1" t="s">
        <v>145</v>
      </c>
      <c r="B144" s="90" t="s">
        <v>45</v>
      </c>
      <c r="C144" s="90"/>
      <c r="D144" s="94">
        <v>0.2</v>
      </c>
      <c r="E144" s="96">
        <v>0.2</v>
      </c>
      <c r="F144" s="96">
        <v>0.2</v>
      </c>
      <c r="G144" s="96">
        <v>0.2</v>
      </c>
      <c r="H144" s="96">
        <v>0.2</v>
      </c>
      <c r="I144" s="96">
        <v>0.2</v>
      </c>
    </row>
    <row r="145" spans="1:9" x14ac:dyDescent="0.3">
      <c r="A145" s="1" t="s">
        <v>146</v>
      </c>
      <c r="B145" s="90" t="s">
        <v>45</v>
      </c>
      <c r="C145" s="90"/>
      <c r="D145" s="94">
        <v>0.2</v>
      </c>
      <c r="E145" s="96">
        <v>0.2</v>
      </c>
      <c r="F145" s="96">
        <v>0.2</v>
      </c>
      <c r="G145" s="96">
        <v>0.2</v>
      </c>
      <c r="H145" s="96">
        <v>0.2</v>
      </c>
      <c r="I145" s="96">
        <v>0.2</v>
      </c>
    </row>
    <row r="146" spans="1:9" x14ac:dyDescent="0.3">
      <c r="A146" s="1" t="s">
        <v>147</v>
      </c>
      <c r="B146" s="90" t="s">
        <v>45</v>
      </c>
      <c r="C146" s="90"/>
      <c r="D146" s="94">
        <v>0.2</v>
      </c>
      <c r="E146" s="96">
        <v>0.2</v>
      </c>
      <c r="F146" s="96">
        <v>0.2</v>
      </c>
      <c r="G146" s="96">
        <v>0.2</v>
      </c>
      <c r="H146" s="96">
        <v>0.2</v>
      </c>
      <c r="I146" s="96">
        <v>0.2</v>
      </c>
    </row>
    <row r="147" spans="1:9" x14ac:dyDescent="0.3">
      <c r="A147" s="1" t="s">
        <v>148</v>
      </c>
      <c r="B147" s="90" t="s">
        <v>45</v>
      </c>
      <c r="C147" s="90"/>
      <c r="D147" s="94">
        <v>0.2</v>
      </c>
      <c r="E147" s="96">
        <v>0.2</v>
      </c>
      <c r="F147" s="96">
        <v>0.2</v>
      </c>
      <c r="G147" s="96">
        <v>0.2</v>
      </c>
      <c r="H147" s="96">
        <v>0.2</v>
      </c>
      <c r="I147" s="96">
        <v>0.2</v>
      </c>
    </row>
    <row r="148" spans="1:9" x14ac:dyDescent="0.3">
      <c r="A148" s="1" t="s">
        <v>150</v>
      </c>
      <c r="B148" s="90"/>
      <c r="C148" s="90"/>
      <c r="D148" s="90"/>
      <c r="E148" s="95"/>
      <c r="F148" s="95"/>
      <c r="G148" s="95"/>
      <c r="H148" s="95"/>
      <c r="I148" s="95"/>
    </row>
    <row r="149" spans="1:9" x14ac:dyDescent="0.3">
      <c r="A149" s="1" t="s">
        <v>144</v>
      </c>
      <c r="B149" s="90" t="s">
        <v>45</v>
      </c>
      <c r="C149" s="90"/>
      <c r="D149" s="94">
        <v>0.1</v>
      </c>
      <c r="E149" s="96">
        <v>0.1</v>
      </c>
      <c r="F149" s="96">
        <v>0.1</v>
      </c>
      <c r="G149" s="96">
        <v>0.1</v>
      </c>
      <c r="H149" s="96">
        <v>0.1</v>
      </c>
      <c r="I149" s="96">
        <v>0.1</v>
      </c>
    </row>
    <row r="150" spans="1:9" x14ac:dyDescent="0.3">
      <c r="A150" s="1" t="s">
        <v>145</v>
      </c>
      <c r="B150" s="90" t="s">
        <v>45</v>
      </c>
      <c r="C150" s="90"/>
      <c r="D150" s="94">
        <v>0.1</v>
      </c>
      <c r="E150" s="96">
        <v>0.1</v>
      </c>
      <c r="F150" s="96">
        <v>0.1</v>
      </c>
      <c r="G150" s="96">
        <v>0.1</v>
      </c>
      <c r="H150" s="96">
        <v>0.1</v>
      </c>
      <c r="I150" s="96">
        <v>0.1</v>
      </c>
    </row>
    <row r="151" spans="1:9" x14ac:dyDescent="0.3">
      <c r="A151" s="1" t="s">
        <v>146</v>
      </c>
      <c r="B151" s="90" t="s">
        <v>45</v>
      </c>
      <c r="C151" s="90"/>
      <c r="D151" s="94">
        <v>0.1</v>
      </c>
      <c r="E151" s="96">
        <v>0.1</v>
      </c>
      <c r="F151" s="96">
        <v>0.1</v>
      </c>
      <c r="G151" s="96">
        <v>0.1</v>
      </c>
      <c r="H151" s="96">
        <v>0.1</v>
      </c>
      <c r="I151" s="96">
        <v>0.1</v>
      </c>
    </row>
    <row r="152" spans="1:9" x14ac:dyDescent="0.3">
      <c r="A152" s="1" t="s">
        <v>147</v>
      </c>
      <c r="B152" s="90" t="s">
        <v>45</v>
      </c>
      <c r="C152" s="90"/>
      <c r="D152" s="94">
        <v>0.1</v>
      </c>
      <c r="E152" s="96">
        <v>0.1</v>
      </c>
      <c r="F152" s="96">
        <v>0.1</v>
      </c>
      <c r="G152" s="96">
        <v>0.1</v>
      </c>
      <c r="H152" s="96">
        <v>0.1</v>
      </c>
      <c r="I152" s="96">
        <v>0.1</v>
      </c>
    </row>
    <row r="153" spans="1:9" x14ac:dyDescent="0.3">
      <c r="A153" s="1" t="s">
        <v>148</v>
      </c>
      <c r="B153" s="90" t="s">
        <v>45</v>
      </c>
      <c r="C153" s="90"/>
      <c r="D153" s="94">
        <v>0.1</v>
      </c>
      <c r="E153" s="96">
        <v>0.1</v>
      </c>
      <c r="F153" s="96">
        <v>0.1</v>
      </c>
      <c r="G153" s="96">
        <v>0.1</v>
      </c>
      <c r="H153" s="96">
        <v>0.1</v>
      </c>
      <c r="I153" s="96">
        <v>0.1</v>
      </c>
    </row>
    <row r="154" spans="1:9" x14ac:dyDescent="0.3">
      <c r="A154" s="1" t="s">
        <v>151</v>
      </c>
      <c r="B154" s="90"/>
      <c r="C154" s="90"/>
      <c r="D154" s="90"/>
      <c r="E154" s="95"/>
      <c r="F154" s="95"/>
      <c r="G154" s="95"/>
      <c r="H154" s="95"/>
      <c r="I154" s="95"/>
    </row>
    <row r="155" spans="1:9" x14ac:dyDescent="0.3">
      <c r="A155" s="1" t="s">
        <v>144</v>
      </c>
      <c r="B155" s="90" t="s">
        <v>45</v>
      </c>
      <c r="C155" s="90"/>
      <c r="D155" s="94">
        <v>0.1</v>
      </c>
      <c r="E155" s="96">
        <v>0.1</v>
      </c>
      <c r="F155" s="96">
        <v>0.1</v>
      </c>
      <c r="G155" s="96">
        <v>0.1</v>
      </c>
      <c r="H155" s="96">
        <v>0.1</v>
      </c>
      <c r="I155" s="96">
        <v>0.1</v>
      </c>
    </row>
    <row r="156" spans="1:9" x14ac:dyDescent="0.3">
      <c r="A156" s="1" t="s">
        <v>145</v>
      </c>
      <c r="B156" s="90" t="s">
        <v>45</v>
      </c>
      <c r="C156" s="90"/>
      <c r="D156" s="94">
        <v>0.1</v>
      </c>
      <c r="E156" s="96">
        <v>0.1</v>
      </c>
      <c r="F156" s="96">
        <v>0.1</v>
      </c>
      <c r="G156" s="96">
        <v>0.1</v>
      </c>
      <c r="H156" s="96">
        <v>0.1</v>
      </c>
      <c r="I156" s="96">
        <v>0.1</v>
      </c>
    </row>
    <row r="157" spans="1:9" x14ac:dyDescent="0.3">
      <c r="A157" s="1" t="s">
        <v>146</v>
      </c>
      <c r="B157" s="90" t="s">
        <v>45</v>
      </c>
      <c r="C157" s="90"/>
      <c r="D157" s="94">
        <v>0.1</v>
      </c>
      <c r="E157" s="96">
        <v>0.1</v>
      </c>
      <c r="F157" s="96">
        <v>0.1</v>
      </c>
      <c r="G157" s="96">
        <v>0.1</v>
      </c>
      <c r="H157" s="96">
        <v>0.1</v>
      </c>
      <c r="I157" s="96">
        <v>0.1</v>
      </c>
    </row>
    <row r="158" spans="1:9" x14ac:dyDescent="0.3">
      <c r="A158" s="1" t="s">
        <v>147</v>
      </c>
      <c r="B158" s="90" t="s">
        <v>45</v>
      </c>
      <c r="C158" s="90"/>
      <c r="D158" s="94">
        <v>0.1</v>
      </c>
      <c r="E158" s="96">
        <v>0.1</v>
      </c>
      <c r="F158" s="96">
        <v>0.1</v>
      </c>
      <c r="G158" s="96">
        <v>0.1</v>
      </c>
      <c r="H158" s="96">
        <v>0.1</v>
      </c>
      <c r="I158" s="96">
        <v>0.1</v>
      </c>
    </row>
    <row r="159" spans="1:9" x14ac:dyDescent="0.3">
      <c r="A159" s="1" t="s">
        <v>148</v>
      </c>
      <c r="B159" s="90" t="s">
        <v>45</v>
      </c>
      <c r="C159" s="90"/>
      <c r="D159" s="94">
        <v>0.1</v>
      </c>
      <c r="E159" s="96">
        <v>0.1</v>
      </c>
      <c r="F159" s="96">
        <v>0.1</v>
      </c>
      <c r="G159" s="96">
        <v>0.1</v>
      </c>
      <c r="H159" s="96">
        <v>0.1</v>
      </c>
      <c r="I159" s="96">
        <v>0.1</v>
      </c>
    </row>
    <row r="160" spans="1:9" x14ac:dyDescent="0.3">
      <c r="B160" s="90"/>
      <c r="C160" s="90"/>
      <c r="D160" s="94"/>
      <c r="E160" s="96"/>
      <c r="F160" s="96"/>
      <c r="G160" s="96"/>
      <c r="H160" s="96"/>
      <c r="I160" s="96"/>
    </row>
    <row r="161" spans="1:9" x14ac:dyDescent="0.3">
      <c r="A161" s="373" t="s">
        <v>1174</v>
      </c>
    </row>
    <row r="162" spans="1:9" ht="15.5" hidden="1" x14ac:dyDescent="0.35">
      <c r="A162" s="238" t="s">
        <v>152</v>
      </c>
    </row>
    <row r="163" spans="1:9" hidden="1" x14ac:dyDescent="0.3">
      <c r="B163" s="90"/>
      <c r="C163" s="90"/>
      <c r="D163" s="90"/>
    </row>
    <row r="164" spans="1:9" hidden="1" x14ac:dyDescent="0.3">
      <c r="A164" s="1" t="s">
        <v>108</v>
      </c>
      <c r="B164" s="90" t="s">
        <v>45</v>
      </c>
      <c r="C164" s="90" t="s">
        <v>153</v>
      </c>
      <c r="D164" s="94">
        <v>0.9</v>
      </c>
      <c r="E164" s="96">
        <v>0.9</v>
      </c>
      <c r="F164" s="96">
        <v>0.9</v>
      </c>
      <c r="G164" s="96">
        <v>0.9</v>
      </c>
      <c r="H164" s="96">
        <v>0.9</v>
      </c>
      <c r="I164" s="96">
        <v>0.9</v>
      </c>
    </row>
    <row r="165" spans="1:9" hidden="1" x14ac:dyDescent="0.3">
      <c r="A165" s="1" t="s">
        <v>115</v>
      </c>
      <c r="B165" s="19" t="s">
        <v>51</v>
      </c>
      <c r="C165" s="90" t="s">
        <v>116</v>
      </c>
      <c r="D165" s="90">
        <v>127</v>
      </c>
      <c r="E165" s="95">
        <v>127</v>
      </c>
      <c r="F165" s="95">
        <v>127</v>
      </c>
      <c r="G165" s="95">
        <v>127</v>
      </c>
      <c r="H165" s="95">
        <v>127</v>
      </c>
      <c r="I165" s="95">
        <v>127</v>
      </c>
    </row>
    <row r="166" spans="1:9" hidden="1" x14ac:dyDescent="0.3">
      <c r="A166" s="1" t="s">
        <v>154</v>
      </c>
      <c r="B166" s="19" t="s">
        <v>51</v>
      </c>
      <c r="C166" s="213" t="s">
        <v>155</v>
      </c>
      <c r="D166" s="90">
        <v>20</v>
      </c>
      <c r="E166" s="95">
        <v>20</v>
      </c>
      <c r="F166" s="95">
        <v>20</v>
      </c>
      <c r="G166" s="95">
        <v>20</v>
      </c>
      <c r="H166" s="95">
        <v>20</v>
      </c>
      <c r="I166" s="95">
        <v>20</v>
      </c>
    </row>
    <row r="167" spans="1:9" hidden="1" x14ac:dyDescent="0.3">
      <c r="A167" s="1" t="s">
        <v>156</v>
      </c>
      <c r="B167" s="19" t="s">
        <v>51</v>
      </c>
      <c r="C167" s="90" t="s">
        <v>157</v>
      </c>
      <c r="D167" s="90">
        <f>LSD_AdSat+LSD_ApptoSat</f>
        <v>147</v>
      </c>
      <c r="E167" s="90">
        <f>E165+E166</f>
        <v>147</v>
      </c>
      <c r="F167" s="90">
        <f>F165+F166</f>
        <v>147</v>
      </c>
      <c r="G167" s="90">
        <f t="shared" ref="G167:I167" si="1">G165+G166</f>
        <v>147</v>
      </c>
      <c r="H167" s="90">
        <f t="shared" si="1"/>
        <v>147</v>
      </c>
      <c r="I167" s="90">
        <f t="shared" si="1"/>
        <v>147</v>
      </c>
    </row>
    <row r="168" spans="1:9" hidden="1" x14ac:dyDescent="0.3">
      <c r="A168" s="1" t="s">
        <v>117</v>
      </c>
      <c r="B168" s="90" t="s">
        <v>118</v>
      </c>
      <c r="C168" s="90" t="s">
        <v>158</v>
      </c>
      <c r="D168" s="100">
        <f>IF(Constants_CC!D28&lt;=0.48,0.9*D164/0.9,(0.774325+0.2579105*Constants_CC!D28+0.00815199*(Constants_CC!D28)^2)*D164/0.9)</f>
        <v>0.9</v>
      </c>
      <c r="E168" s="100">
        <f>IF(Constants_CC!E324&lt;=0.48,E164/0.98,(0.774325+0.2579105*Constants_CC!E324+0.00815199*(Constants_CC!E324)^2)*E164/0.9)</f>
        <v>0.91836734693877553</v>
      </c>
      <c r="F168" s="100">
        <f>IF(Constants_CC!F324&lt;=0.48,F164/0.98,(0.774325+0.2579105*Constants_CC!F324+0.00815199*(Constants_CC!F324)^2)*F164/0.9)</f>
        <v>0.91836734693877553</v>
      </c>
      <c r="G168" s="100">
        <f>IF(Constants_CC!G324&lt;=0.48,G164/0.98,(0.774325+0.2579105*Constants_CC!G324+0.00815199*(Constants_CC!G324)^2)*G164/0.9)</f>
        <v>0.91836734693877553</v>
      </c>
      <c r="H168" s="100">
        <f>IF(Constants_CC!H324&lt;=0.48,H164/0.98,(0.774325+0.2579105*Constants_CC!H324+0.00815199*(Constants_CC!H324)^2)*H164/0.9)</f>
        <v>0.91836734693877553</v>
      </c>
      <c r="I168" s="100">
        <f>IF(Constants_CC!I324&lt;=0.48,I164/0.98,(0.774325+0.2579105*Constants_CC!I324+0.00815199*(Constants_CC!I324)^2)*I164/0.9)</f>
        <v>0.91836734693877553</v>
      </c>
    </row>
    <row r="169" spans="1:9" hidden="1" x14ac:dyDescent="0.3">
      <c r="A169" s="1" t="s">
        <v>159</v>
      </c>
      <c r="B169" s="90"/>
      <c r="C169" s="90"/>
      <c r="D169" s="90"/>
      <c r="E169" s="95"/>
      <c r="F169" s="95"/>
      <c r="G169" s="95"/>
      <c r="H169" s="95"/>
      <c r="I169" s="95"/>
    </row>
    <row r="170" spans="1:9" hidden="1" x14ac:dyDescent="0.3">
      <c r="A170" s="1" t="s">
        <v>160</v>
      </c>
      <c r="B170" s="90" t="s">
        <v>118</v>
      </c>
      <c r="C170" s="139" t="s">
        <v>161</v>
      </c>
      <c r="D170" s="90">
        <f>VLOOKUP(Constants_CC!D28,Constants_CC!$C$102:$D$127,2)</f>
        <v>30</v>
      </c>
      <c r="E170" s="90">
        <f>VLOOKUP(Constants_CC!E324,Constants_CC!$C$102:$D$127,2)</f>
        <v>30</v>
      </c>
      <c r="F170" s="90">
        <f>VLOOKUP(Constants_CC!F324,Constants_CC!$C$102:$D$127,2)</f>
        <v>30</v>
      </c>
      <c r="G170" s="90">
        <f>VLOOKUP(Constants_CC!G324,Constants_CC!$C$102:$D$127,2)</f>
        <v>30</v>
      </c>
      <c r="H170" s="90">
        <f>VLOOKUP(Constants_CC!H324,Constants_CC!$C$102:$D$127,2)</f>
        <v>30</v>
      </c>
      <c r="I170" s="90">
        <f>VLOOKUP(Constants_CC!I324,Constants_CC!$C$102:$D$127,2)</f>
        <v>30</v>
      </c>
    </row>
    <row r="171" spans="1:9" hidden="1" x14ac:dyDescent="0.3">
      <c r="A171" s="1" t="s">
        <v>162</v>
      </c>
      <c r="B171" s="90"/>
      <c r="C171" s="90"/>
      <c r="D171" s="90"/>
      <c r="E171" s="95"/>
      <c r="F171" s="95"/>
      <c r="G171" s="95"/>
      <c r="H171" s="95"/>
      <c r="I171" s="95"/>
    </row>
    <row r="172" spans="1:9" hidden="1" x14ac:dyDescent="0.3">
      <c r="A172" s="1" t="s">
        <v>163</v>
      </c>
      <c r="B172" s="90" t="s">
        <v>122</v>
      </c>
      <c r="C172" s="103" t="s">
        <v>164</v>
      </c>
      <c r="D172" s="94">
        <v>0.35</v>
      </c>
      <c r="E172" s="96">
        <v>0.35</v>
      </c>
      <c r="F172" s="96">
        <v>0.35</v>
      </c>
      <c r="G172" s="96">
        <v>0.35</v>
      </c>
      <c r="H172" s="96">
        <v>0.35</v>
      </c>
      <c r="I172" s="96">
        <v>0.35</v>
      </c>
    </row>
    <row r="173" spans="1:9" hidden="1" x14ac:dyDescent="0.3">
      <c r="A173" s="1" t="s">
        <v>126</v>
      </c>
      <c r="B173" s="90" t="s">
        <v>24</v>
      </c>
      <c r="C173" s="92" t="s">
        <v>165</v>
      </c>
      <c r="D173" s="90">
        <v>2</v>
      </c>
      <c r="E173" s="376">
        <v>1</v>
      </c>
      <c r="F173" s="376">
        <v>1</v>
      </c>
      <c r="G173" s="376">
        <v>1</v>
      </c>
      <c r="H173" s="376">
        <v>1</v>
      </c>
      <c r="I173" s="376">
        <v>1</v>
      </c>
    </row>
    <row r="174" spans="1:9" hidden="1" x14ac:dyDescent="0.3">
      <c r="A174" s="1" t="s">
        <v>166</v>
      </c>
      <c r="B174" s="90"/>
      <c r="C174" s="90"/>
      <c r="D174" s="90"/>
      <c r="E174" s="95"/>
      <c r="F174" s="95"/>
      <c r="G174" s="95"/>
      <c r="H174" s="95"/>
      <c r="I174" s="95"/>
    </row>
    <row r="175" spans="1:9" hidden="1" x14ac:dyDescent="0.3">
      <c r="A175" s="1" t="s">
        <v>129</v>
      </c>
      <c r="B175" s="90" t="s">
        <v>24</v>
      </c>
      <c r="C175" s="90" t="s">
        <v>25</v>
      </c>
      <c r="D175" s="90">
        <v>1</v>
      </c>
      <c r="E175" s="95">
        <v>1</v>
      </c>
      <c r="F175" s="95">
        <v>1</v>
      </c>
      <c r="G175" s="95">
        <v>1</v>
      </c>
      <c r="H175" s="95">
        <v>1</v>
      </c>
      <c r="I175" s="95">
        <v>1</v>
      </c>
    </row>
    <row r="176" spans="1:9" hidden="1" x14ac:dyDescent="0.3">
      <c r="A176" s="1" t="s">
        <v>130</v>
      </c>
      <c r="B176" s="90"/>
      <c r="C176" s="90"/>
      <c r="D176" s="90"/>
      <c r="E176" s="95"/>
      <c r="F176" s="95"/>
      <c r="G176" s="95"/>
      <c r="H176" s="95"/>
      <c r="I176" s="95"/>
    </row>
    <row r="177" spans="1:9" hidden="1" x14ac:dyDescent="0.3">
      <c r="A177" s="1" t="s">
        <v>167</v>
      </c>
      <c r="B177" s="90" t="s">
        <v>132</v>
      </c>
      <c r="C177" s="90"/>
      <c r="D177" s="90">
        <v>5</v>
      </c>
      <c r="E177" s="95">
        <v>5</v>
      </c>
      <c r="F177" s="95">
        <v>5</v>
      </c>
      <c r="G177" s="95">
        <v>5</v>
      </c>
      <c r="H177" s="95">
        <v>5</v>
      </c>
      <c r="I177" s="95">
        <v>5</v>
      </c>
    </row>
    <row r="178" spans="1:9" hidden="1" x14ac:dyDescent="0.3">
      <c r="A178" s="1" t="s">
        <v>136</v>
      </c>
      <c r="B178" s="90" t="s">
        <v>137</v>
      </c>
      <c r="C178" s="90"/>
      <c r="D178" s="90">
        <v>60</v>
      </c>
      <c r="E178" s="95">
        <v>60</v>
      </c>
      <c r="F178" s="95">
        <v>60</v>
      </c>
      <c r="G178" s="95">
        <v>60</v>
      </c>
      <c r="H178" s="95">
        <v>60</v>
      </c>
      <c r="I178" s="95">
        <v>60</v>
      </c>
    </row>
    <row r="179" spans="1:9" hidden="1" x14ac:dyDescent="0.3">
      <c r="A179" s="1" t="s">
        <v>138</v>
      </c>
      <c r="B179" s="90" t="s">
        <v>139</v>
      </c>
      <c r="C179" s="90"/>
      <c r="D179" s="101">
        <v>65</v>
      </c>
      <c r="E179" s="102">
        <v>65</v>
      </c>
      <c r="F179" s="102">
        <v>65</v>
      </c>
      <c r="G179" s="102">
        <v>65</v>
      </c>
      <c r="H179" s="102">
        <v>65</v>
      </c>
      <c r="I179" s="102">
        <v>65</v>
      </c>
    </row>
    <row r="180" spans="1:9" hidden="1" x14ac:dyDescent="0.3">
      <c r="A180" s="1" t="s">
        <v>168</v>
      </c>
      <c r="B180" s="90" t="s">
        <v>139</v>
      </c>
      <c r="C180" s="90"/>
      <c r="D180" s="101">
        <v>30</v>
      </c>
      <c r="E180" s="102">
        <v>30</v>
      </c>
      <c r="F180" s="102">
        <v>30</v>
      </c>
      <c r="G180" s="102">
        <v>30</v>
      </c>
      <c r="H180" s="102">
        <v>30</v>
      </c>
      <c r="I180" s="102">
        <v>30</v>
      </c>
    </row>
    <row r="181" spans="1:9" hidden="1" x14ac:dyDescent="0.3">
      <c r="A181" s="1" t="s">
        <v>143</v>
      </c>
      <c r="B181" s="90"/>
      <c r="C181" s="90"/>
      <c r="D181" s="90"/>
      <c r="E181" s="90"/>
      <c r="F181" s="90"/>
      <c r="G181" s="90"/>
      <c r="H181" s="90"/>
      <c r="I181" s="90"/>
    </row>
    <row r="182" spans="1:9" hidden="1" x14ac:dyDescent="0.3">
      <c r="A182" s="1" t="s">
        <v>144</v>
      </c>
      <c r="B182" s="90" t="s">
        <v>45</v>
      </c>
      <c r="C182" s="90"/>
      <c r="D182" s="94">
        <v>0.05</v>
      </c>
      <c r="E182" s="96">
        <v>0.05</v>
      </c>
      <c r="F182" s="96">
        <v>0.05</v>
      </c>
      <c r="G182" s="96">
        <v>0.05</v>
      </c>
      <c r="H182" s="96">
        <v>0.05</v>
      </c>
      <c r="I182" s="96">
        <v>0.05</v>
      </c>
    </row>
    <row r="183" spans="1:9" hidden="1" x14ac:dyDescent="0.3">
      <c r="A183" s="1" t="s">
        <v>145</v>
      </c>
      <c r="B183" s="90" t="s">
        <v>45</v>
      </c>
      <c r="C183" s="90"/>
      <c r="D183" s="94">
        <v>0.05</v>
      </c>
      <c r="E183" s="96">
        <v>0.05</v>
      </c>
      <c r="F183" s="96">
        <v>0.05</v>
      </c>
      <c r="G183" s="96">
        <v>0.05</v>
      </c>
      <c r="H183" s="96">
        <v>0.05</v>
      </c>
      <c r="I183" s="96">
        <v>0.05</v>
      </c>
    </row>
    <row r="184" spans="1:9" hidden="1" x14ac:dyDescent="0.3">
      <c r="A184" s="1" t="s">
        <v>146</v>
      </c>
      <c r="B184" s="90" t="s">
        <v>45</v>
      </c>
      <c r="C184" s="90"/>
      <c r="D184" s="94">
        <v>0.05</v>
      </c>
      <c r="E184" s="96">
        <v>0.05</v>
      </c>
      <c r="F184" s="96">
        <v>0.05</v>
      </c>
      <c r="G184" s="96">
        <v>0.05</v>
      </c>
      <c r="H184" s="96">
        <v>0.05</v>
      </c>
      <c r="I184" s="96">
        <v>0.05</v>
      </c>
    </row>
    <row r="185" spans="1:9" hidden="1" x14ac:dyDescent="0.3">
      <c r="A185" s="1" t="s">
        <v>147</v>
      </c>
      <c r="B185" s="90" t="s">
        <v>45</v>
      </c>
      <c r="C185" s="90"/>
      <c r="D185" s="94">
        <v>0.05</v>
      </c>
      <c r="E185" s="96">
        <v>0.05</v>
      </c>
      <c r="F185" s="96">
        <v>0.05</v>
      </c>
      <c r="G185" s="96">
        <v>0.05</v>
      </c>
      <c r="H185" s="96">
        <v>0.05</v>
      </c>
      <c r="I185" s="96">
        <v>0.05</v>
      </c>
    </row>
    <row r="186" spans="1:9" hidden="1" x14ac:dyDescent="0.3">
      <c r="A186" s="1" t="s">
        <v>148</v>
      </c>
      <c r="B186" s="90" t="s">
        <v>45</v>
      </c>
      <c r="C186" s="90"/>
      <c r="D186" s="94">
        <v>0.05</v>
      </c>
      <c r="E186" s="96">
        <v>0.05</v>
      </c>
      <c r="F186" s="96">
        <v>0.05</v>
      </c>
      <c r="G186" s="96">
        <v>0.05</v>
      </c>
      <c r="H186" s="96">
        <v>0.05</v>
      </c>
      <c r="I186" s="96">
        <v>0.05</v>
      </c>
    </row>
    <row r="187" spans="1:9" hidden="1" x14ac:dyDescent="0.3">
      <c r="A187" s="1" t="s">
        <v>149</v>
      </c>
      <c r="B187" s="90"/>
      <c r="C187" s="90"/>
      <c r="D187" s="90"/>
      <c r="E187" s="95"/>
      <c r="F187" s="95"/>
      <c r="G187" s="95"/>
      <c r="H187" s="95"/>
      <c r="I187" s="95"/>
    </row>
    <row r="188" spans="1:9" hidden="1" x14ac:dyDescent="0.3">
      <c r="A188" s="1" t="s">
        <v>144</v>
      </c>
      <c r="B188" s="90" t="s">
        <v>45</v>
      </c>
      <c r="C188" s="90"/>
      <c r="D188" s="94">
        <v>0.2</v>
      </c>
      <c r="E188" s="96">
        <v>0.2</v>
      </c>
      <c r="F188" s="96">
        <v>0.2</v>
      </c>
      <c r="G188" s="96">
        <v>0.2</v>
      </c>
      <c r="H188" s="96">
        <v>0.2</v>
      </c>
      <c r="I188" s="96">
        <v>0.2</v>
      </c>
    </row>
    <row r="189" spans="1:9" hidden="1" x14ac:dyDescent="0.3">
      <c r="A189" s="1" t="s">
        <v>145</v>
      </c>
      <c r="B189" s="90" t="s">
        <v>45</v>
      </c>
      <c r="C189" s="90"/>
      <c r="D189" s="94">
        <v>0.2</v>
      </c>
      <c r="E189" s="96">
        <v>0.2</v>
      </c>
      <c r="F189" s="96">
        <v>0.2</v>
      </c>
      <c r="G189" s="96">
        <v>0.2</v>
      </c>
      <c r="H189" s="96">
        <v>0.2</v>
      </c>
      <c r="I189" s="96">
        <v>0.2</v>
      </c>
    </row>
    <row r="190" spans="1:9" hidden="1" x14ac:dyDescent="0.3">
      <c r="A190" s="1" t="s">
        <v>146</v>
      </c>
      <c r="B190" s="90" t="s">
        <v>45</v>
      </c>
      <c r="C190" s="90"/>
      <c r="D190" s="94">
        <v>0.2</v>
      </c>
      <c r="E190" s="96">
        <v>0.2</v>
      </c>
      <c r="F190" s="96">
        <v>0.2</v>
      </c>
      <c r="G190" s="96">
        <v>0.2</v>
      </c>
      <c r="H190" s="96">
        <v>0.2</v>
      </c>
      <c r="I190" s="96">
        <v>0.2</v>
      </c>
    </row>
    <row r="191" spans="1:9" hidden="1" x14ac:dyDescent="0.3">
      <c r="A191" s="1" t="s">
        <v>147</v>
      </c>
      <c r="B191" s="90" t="s">
        <v>45</v>
      </c>
      <c r="C191" s="90"/>
      <c r="D191" s="94">
        <v>0.2</v>
      </c>
      <c r="E191" s="96">
        <v>0.2</v>
      </c>
      <c r="F191" s="96">
        <v>0.2</v>
      </c>
      <c r="G191" s="96">
        <v>0.2</v>
      </c>
      <c r="H191" s="96">
        <v>0.2</v>
      </c>
      <c r="I191" s="96">
        <v>0.2</v>
      </c>
    </row>
    <row r="192" spans="1:9" hidden="1" x14ac:dyDescent="0.3">
      <c r="A192" s="1" t="s">
        <v>148</v>
      </c>
      <c r="B192" s="90" t="s">
        <v>45</v>
      </c>
      <c r="C192" s="90"/>
      <c r="D192" s="94">
        <v>0.2</v>
      </c>
      <c r="E192" s="96">
        <v>0.2</v>
      </c>
      <c r="F192" s="96">
        <v>0.2</v>
      </c>
      <c r="G192" s="96">
        <v>0.2</v>
      </c>
      <c r="H192" s="96">
        <v>0.2</v>
      </c>
      <c r="I192" s="96">
        <v>0.2</v>
      </c>
    </row>
    <row r="193" spans="1:10" hidden="1" x14ac:dyDescent="0.3">
      <c r="A193" s="1" t="s">
        <v>150</v>
      </c>
      <c r="B193" s="90"/>
      <c r="C193" s="90"/>
      <c r="D193" s="90"/>
      <c r="E193" s="95"/>
      <c r="F193" s="95"/>
      <c r="G193" s="95"/>
      <c r="H193" s="95"/>
      <c r="I193" s="95"/>
    </row>
    <row r="194" spans="1:10" hidden="1" x14ac:dyDescent="0.3">
      <c r="A194" s="1" t="s">
        <v>144</v>
      </c>
      <c r="B194" s="90" t="s">
        <v>45</v>
      </c>
      <c r="C194" s="90"/>
      <c r="D194" s="94">
        <v>0.1</v>
      </c>
      <c r="E194" s="96">
        <v>0.1</v>
      </c>
      <c r="F194" s="96">
        <v>0.1</v>
      </c>
      <c r="G194" s="96">
        <v>0.1</v>
      </c>
      <c r="H194" s="96">
        <v>0.1</v>
      </c>
      <c r="I194" s="96">
        <v>0.1</v>
      </c>
    </row>
    <row r="195" spans="1:10" hidden="1" x14ac:dyDescent="0.3">
      <c r="A195" s="1" t="s">
        <v>145</v>
      </c>
      <c r="B195" s="90" t="s">
        <v>45</v>
      </c>
      <c r="C195" s="90"/>
      <c r="D195" s="94">
        <v>0.1</v>
      </c>
      <c r="E195" s="96">
        <v>0.1</v>
      </c>
      <c r="F195" s="96">
        <v>0.1</v>
      </c>
      <c r="G195" s="96">
        <v>0.1</v>
      </c>
      <c r="H195" s="96">
        <v>0.1</v>
      </c>
      <c r="I195" s="96">
        <v>0.1</v>
      </c>
    </row>
    <row r="196" spans="1:10" hidden="1" x14ac:dyDescent="0.3">
      <c r="A196" s="1" t="s">
        <v>146</v>
      </c>
      <c r="B196" s="90" t="s">
        <v>45</v>
      </c>
      <c r="C196" s="90"/>
      <c r="D196" s="94">
        <v>0.1</v>
      </c>
      <c r="E196" s="96">
        <v>0.1</v>
      </c>
      <c r="F196" s="96">
        <v>0.1</v>
      </c>
      <c r="G196" s="96">
        <v>0.1</v>
      </c>
      <c r="H196" s="96">
        <v>0.1</v>
      </c>
      <c r="I196" s="96">
        <v>0.1</v>
      </c>
    </row>
    <row r="197" spans="1:10" hidden="1" x14ac:dyDescent="0.3">
      <c r="A197" s="1" t="s">
        <v>147</v>
      </c>
      <c r="B197" s="90" t="s">
        <v>45</v>
      </c>
      <c r="C197" s="90"/>
      <c r="D197" s="94">
        <v>0.1</v>
      </c>
      <c r="E197" s="96">
        <v>0.1</v>
      </c>
      <c r="F197" s="96">
        <v>0.1</v>
      </c>
      <c r="G197" s="96">
        <v>0.1</v>
      </c>
      <c r="H197" s="96">
        <v>0.1</v>
      </c>
      <c r="I197" s="96">
        <v>0.1</v>
      </c>
    </row>
    <row r="198" spans="1:10" hidden="1" x14ac:dyDescent="0.3">
      <c r="A198" s="1" t="s">
        <v>148</v>
      </c>
      <c r="B198" s="90" t="s">
        <v>45</v>
      </c>
      <c r="C198" s="90"/>
      <c r="D198" s="94">
        <v>0.1</v>
      </c>
      <c r="E198" s="96">
        <v>0.1</v>
      </c>
      <c r="F198" s="96">
        <v>0.1</v>
      </c>
      <c r="G198" s="96">
        <v>0.1</v>
      </c>
      <c r="H198" s="96">
        <v>0.1</v>
      </c>
      <c r="I198" s="96">
        <v>0.1</v>
      </c>
    </row>
    <row r="199" spans="1:10" hidden="1" x14ac:dyDescent="0.3">
      <c r="A199" s="1" t="s">
        <v>151</v>
      </c>
      <c r="B199" s="90"/>
      <c r="C199" s="90"/>
      <c r="D199" s="90"/>
      <c r="E199" s="95"/>
      <c r="F199" s="95"/>
      <c r="G199" s="95"/>
      <c r="H199" s="95"/>
      <c r="I199" s="95"/>
    </row>
    <row r="200" spans="1:10" hidden="1" x14ac:dyDescent="0.3">
      <c r="A200" s="1" t="s">
        <v>144</v>
      </c>
      <c r="B200" s="90" t="s">
        <v>45</v>
      </c>
      <c r="C200" s="90"/>
      <c r="D200" s="94">
        <v>0.1</v>
      </c>
      <c r="E200" s="96">
        <v>0.1</v>
      </c>
      <c r="F200" s="96">
        <v>0.1</v>
      </c>
      <c r="G200" s="96">
        <v>0.1</v>
      </c>
      <c r="H200" s="96">
        <v>0.1</v>
      </c>
      <c r="I200" s="96">
        <v>0.1</v>
      </c>
    </row>
    <row r="201" spans="1:10" hidden="1" x14ac:dyDescent="0.3">
      <c r="A201" s="1" t="s">
        <v>145</v>
      </c>
      <c r="B201" s="90" t="s">
        <v>45</v>
      </c>
      <c r="C201" s="90"/>
      <c r="D201" s="94">
        <v>0.1</v>
      </c>
      <c r="E201" s="96">
        <v>0.1</v>
      </c>
      <c r="F201" s="96">
        <v>0.1</v>
      </c>
      <c r="G201" s="96">
        <v>0.1</v>
      </c>
      <c r="H201" s="96">
        <v>0.1</v>
      </c>
      <c r="I201" s="96">
        <v>0.1</v>
      </c>
    </row>
    <row r="202" spans="1:10" hidden="1" x14ac:dyDescent="0.3">
      <c r="A202" s="1" t="s">
        <v>146</v>
      </c>
      <c r="B202" s="90" t="s">
        <v>45</v>
      </c>
      <c r="C202" s="90"/>
      <c r="D202" s="94">
        <v>0.1</v>
      </c>
      <c r="E202" s="96">
        <v>0.1</v>
      </c>
      <c r="F202" s="96">
        <v>0.1</v>
      </c>
      <c r="G202" s="96">
        <v>0.1</v>
      </c>
      <c r="H202" s="96">
        <v>0.1</v>
      </c>
      <c r="I202" s="96">
        <v>0.1</v>
      </c>
    </row>
    <row r="203" spans="1:10" hidden="1" x14ac:dyDescent="0.3">
      <c r="A203" s="1" t="s">
        <v>147</v>
      </c>
      <c r="B203" s="90" t="s">
        <v>45</v>
      </c>
      <c r="C203" s="90"/>
      <c r="D203" s="94">
        <v>0.1</v>
      </c>
      <c r="E203" s="96">
        <v>0.1</v>
      </c>
      <c r="F203" s="96">
        <v>0.1</v>
      </c>
      <c r="G203" s="96">
        <v>0.1</v>
      </c>
      <c r="H203" s="96">
        <v>0.1</v>
      </c>
      <c r="I203" s="96">
        <v>0.1</v>
      </c>
    </row>
    <row r="204" spans="1:10" hidden="1" x14ac:dyDescent="0.3">
      <c r="A204" s="1" t="s">
        <v>148</v>
      </c>
      <c r="B204" s="90" t="s">
        <v>45</v>
      </c>
      <c r="C204" s="90"/>
      <c r="D204" s="94">
        <v>0.1</v>
      </c>
      <c r="E204" s="96">
        <v>0.1</v>
      </c>
      <c r="F204" s="96">
        <v>0.1</v>
      </c>
      <c r="G204" s="96">
        <v>0.1</v>
      </c>
      <c r="H204" s="96">
        <v>0.1</v>
      </c>
      <c r="I204" s="96">
        <v>0.1</v>
      </c>
    </row>
    <row r="205" spans="1:10" hidden="1" x14ac:dyDescent="0.3">
      <c r="B205" s="90"/>
      <c r="C205" s="90"/>
      <c r="D205" s="90"/>
      <c r="E205" s="90"/>
      <c r="F205" s="90"/>
      <c r="G205" s="90"/>
      <c r="H205" s="90"/>
      <c r="I205" s="90"/>
      <c r="J205" s="90"/>
    </row>
    <row r="206" spans="1:10" ht="15.5" hidden="1" x14ac:dyDescent="0.35">
      <c r="A206" s="238" t="s">
        <v>169</v>
      </c>
      <c r="B206" s="90"/>
      <c r="C206" s="90"/>
      <c r="D206" s="90"/>
      <c r="E206" s="90"/>
      <c r="F206" s="90"/>
      <c r="G206" s="90"/>
      <c r="H206" s="90"/>
      <c r="I206" s="90"/>
      <c r="J206" s="90"/>
    </row>
    <row r="207" spans="1:10" hidden="1" x14ac:dyDescent="0.3">
      <c r="B207" s="90"/>
      <c r="C207" s="90"/>
      <c r="D207" s="90"/>
      <c r="E207" s="90"/>
      <c r="F207" s="90"/>
      <c r="G207" s="90"/>
      <c r="H207" s="90"/>
      <c r="I207" s="90"/>
      <c r="J207" s="90"/>
    </row>
    <row r="208" spans="1:10" hidden="1" x14ac:dyDescent="0.3">
      <c r="A208" s="237" t="s">
        <v>170</v>
      </c>
      <c r="B208" s="90" t="s">
        <v>171</v>
      </c>
      <c r="C208" s="90"/>
      <c r="D208" s="90">
        <v>0.03</v>
      </c>
      <c r="E208" s="95">
        <v>0.03</v>
      </c>
      <c r="F208" s="95">
        <v>0.03</v>
      </c>
      <c r="G208" s="95">
        <v>0.03</v>
      </c>
      <c r="H208" s="95">
        <v>0.03</v>
      </c>
      <c r="I208" s="95">
        <v>0.03</v>
      </c>
      <c r="J208" s="90"/>
    </row>
    <row r="209" spans="1:10" hidden="1" x14ac:dyDescent="0.3">
      <c r="A209" s="237" t="s">
        <v>172</v>
      </c>
      <c r="B209" s="90"/>
      <c r="C209" s="90"/>
      <c r="D209" s="90"/>
      <c r="E209" s="95"/>
      <c r="F209" s="95"/>
      <c r="G209" s="95"/>
      <c r="H209" s="95"/>
      <c r="I209" s="95"/>
      <c r="J209" s="90"/>
    </row>
    <row r="210" spans="1:10" hidden="1" x14ac:dyDescent="0.3">
      <c r="A210" s="1" t="s">
        <v>173</v>
      </c>
      <c r="B210" s="90" t="s">
        <v>132</v>
      </c>
      <c r="C210" s="90"/>
      <c r="D210" s="90">
        <v>6</v>
      </c>
      <c r="E210" s="95">
        <v>6</v>
      </c>
      <c r="F210" s="95">
        <v>6</v>
      </c>
      <c r="G210" s="95">
        <v>6</v>
      </c>
      <c r="H210" s="95">
        <v>6</v>
      </c>
      <c r="I210" s="95">
        <v>6</v>
      </c>
      <c r="J210" s="90"/>
    </row>
    <row r="211" spans="1:10" hidden="1" x14ac:dyDescent="0.3">
      <c r="A211" s="1" t="s">
        <v>174</v>
      </c>
      <c r="B211" s="90" t="s">
        <v>24</v>
      </c>
      <c r="C211" s="90"/>
      <c r="D211" s="90">
        <v>2</v>
      </c>
      <c r="E211" s="95">
        <v>2</v>
      </c>
      <c r="F211" s="95">
        <v>2</v>
      </c>
      <c r="G211" s="95">
        <v>2</v>
      </c>
      <c r="H211" s="95">
        <v>2</v>
      </c>
      <c r="I211" s="95">
        <v>2</v>
      </c>
      <c r="J211" s="90"/>
    </row>
    <row r="212" spans="1:10" ht="15.5" hidden="1" x14ac:dyDescent="0.3">
      <c r="A212" s="1" t="s">
        <v>175</v>
      </c>
      <c r="B212" s="90" t="s">
        <v>176</v>
      </c>
      <c r="C212" s="90"/>
      <c r="D212" s="90">
        <v>3.5</v>
      </c>
      <c r="E212" s="95">
        <v>3.5</v>
      </c>
      <c r="F212" s="95">
        <v>3.5</v>
      </c>
      <c r="G212" s="95">
        <v>3.5</v>
      </c>
      <c r="H212" s="95">
        <v>3.5</v>
      </c>
      <c r="I212" s="95">
        <v>3.5</v>
      </c>
      <c r="J212" s="90"/>
    </row>
    <row r="213" spans="1:10" hidden="1" x14ac:dyDescent="0.3">
      <c r="A213" s="1" t="s">
        <v>177</v>
      </c>
      <c r="B213" s="90" t="s">
        <v>24</v>
      </c>
      <c r="C213" s="90"/>
      <c r="D213" s="90">
        <v>2</v>
      </c>
      <c r="E213" s="95">
        <v>2</v>
      </c>
      <c r="F213" s="95">
        <v>2</v>
      </c>
      <c r="G213" s="95">
        <v>2</v>
      </c>
      <c r="H213" s="95">
        <v>2</v>
      </c>
      <c r="I213" s="95">
        <v>2</v>
      </c>
      <c r="J213" s="90"/>
    </row>
    <row r="214" spans="1:10" hidden="1" x14ac:dyDescent="0.3">
      <c r="A214" s="1" t="s">
        <v>178</v>
      </c>
      <c r="B214" s="90"/>
      <c r="C214" s="90"/>
      <c r="D214" s="90"/>
      <c r="E214" s="95"/>
      <c r="F214" s="95"/>
      <c r="G214" s="95"/>
      <c r="H214" s="95"/>
      <c r="I214" s="95"/>
      <c r="J214" s="90"/>
    </row>
    <row r="215" spans="1:10" hidden="1" x14ac:dyDescent="0.3">
      <c r="A215" s="1" t="s">
        <v>179</v>
      </c>
      <c r="B215" s="90" t="s">
        <v>180</v>
      </c>
      <c r="C215" s="92" t="s">
        <v>181</v>
      </c>
      <c r="D215" s="90">
        <v>6</v>
      </c>
      <c r="E215" s="95">
        <v>6</v>
      </c>
      <c r="F215" s="95">
        <v>6</v>
      </c>
      <c r="G215" s="95">
        <v>6</v>
      </c>
      <c r="H215" s="95">
        <v>6</v>
      </c>
      <c r="I215" s="95">
        <v>6</v>
      </c>
      <c r="J215" s="90"/>
    </row>
    <row r="216" spans="1:10" hidden="1" x14ac:dyDescent="0.3">
      <c r="A216" s="1" t="s">
        <v>182</v>
      </c>
      <c r="B216" s="90" t="s">
        <v>183</v>
      </c>
      <c r="C216" s="90" t="s">
        <v>184</v>
      </c>
      <c r="D216" s="90">
        <v>20</v>
      </c>
      <c r="E216" s="95">
        <v>20</v>
      </c>
      <c r="F216" s="95">
        <v>20</v>
      </c>
      <c r="G216" s="95">
        <v>20</v>
      </c>
      <c r="H216" s="95">
        <v>20</v>
      </c>
      <c r="I216" s="95">
        <v>20</v>
      </c>
      <c r="J216" s="90"/>
    </row>
    <row r="217" spans="1:10" hidden="1" x14ac:dyDescent="0.3">
      <c r="A217" s="1" t="s">
        <v>185</v>
      </c>
      <c r="B217" s="90"/>
      <c r="C217" s="90"/>
      <c r="D217" s="90">
        <v>3</v>
      </c>
      <c r="E217" s="95">
        <v>3</v>
      </c>
      <c r="F217" s="95">
        <v>3</v>
      </c>
      <c r="G217" s="95">
        <v>3</v>
      </c>
      <c r="H217" s="95">
        <v>3</v>
      </c>
      <c r="I217" s="95">
        <v>3</v>
      </c>
      <c r="J217" s="90"/>
    </row>
    <row r="218" spans="1:10" hidden="1" x14ac:dyDescent="0.3">
      <c r="A218" s="1" t="s">
        <v>186</v>
      </c>
      <c r="B218" s="90" t="s">
        <v>45</v>
      </c>
      <c r="C218" s="90"/>
      <c r="D218" s="94">
        <v>0.1</v>
      </c>
      <c r="E218" s="96">
        <v>0.1</v>
      </c>
      <c r="F218" s="96">
        <v>0.1</v>
      </c>
      <c r="G218" s="96">
        <v>0.1</v>
      </c>
      <c r="H218" s="96">
        <v>0.1</v>
      </c>
      <c r="I218" s="96">
        <v>0.1</v>
      </c>
      <c r="J218" s="90"/>
    </row>
    <row r="219" spans="1:10" hidden="1" x14ac:dyDescent="0.3">
      <c r="A219" s="1" t="s">
        <v>187</v>
      </c>
      <c r="B219" s="90" t="s">
        <v>82</v>
      </c>
      <c r="C219" s="92" t="s">
        <v>188</v>
      </c>
      <c r="D219" s="90">
        <v>5</v>
      </c>
      <c r="E219" s="95">
        <v>5</v>
      </c>
      <c r="F219" s="95">
        <v>5</v>
      </c>
      <c r="G219" s="95">
        <v>5</v>
      </c>
      <c r="H219" s="95">
        <v>5</v>
      </c>
      <c r="I219" s="95">
        <v>5</v>
      </c>
      <c r="J219" s="90"/>
    </row>
    <row r="220" spans="1:10" hidden="1" x14ac:dyDescent="0.3">
      <c r="A220" s="1" t="s">
        <v>189</v>
      </c>
      <c r="B220" s="90" t="s">
        <v>45</v>
      </c>
      <c r="C220" s="92"/>
      <c r="D220" s="94">
        <v>0.05</v>
      </c>
      <c r="E220" s="96">
        <v>0.05</v>
      </c>
      <c r="F220" s="96">
        <v>0.05</v>
      </c>
      <c r="G220" s="96">
        <v>0.05</v>
      </c>
      <c r="H220" s="96">
        <v>0.05</v>
      </c>
      <c r="I220" s="96">
        <v>0.05</v>
      </c>
      <c r="J220" s="90"/>
    </row>
    <row r="221" spans="1:10" hidden="1" x14ac:dyDescent="0.3">
      <c r="A221" s="1" t="s">
        <v>190</v>
      </c>
      <c r="B221" s="90" t="s">
        <v>45</v>
      </c>
      <c r="C221" s="92"/>
      <c r="D221" s="94">
        <v>0.2</v>
      </c>
      <c r="E221" s="96">
        <v>0.2</v>
      </c>
      <c r="F221" s="96">
        <v>0.2</v>
      </c>
      <c r="G221" s="96">
        <v>0.2</v>
      </c>
      <c r="H221" s="96">
        <v>0.2</v>
      </c>
      <c r="I221" s="96">
        <v>0.2</v>
      </c>
      <c r="J221" s="90"/>
    </row>
    <row r="222" spans="1:10" hidden="1" x14ac:dyDescent="0.3">
      <c r="A222" s="1" t="s">
        <v>191</v>
      </c>
      <c r="B222" s="90" t="s">
        <v>45</v>
      </c>
      <c r="C222" s="92"/>
      <c r="D222" s="94">
        <v>0.1</v>
      </c>
      <c r="E222" s="96">
        <v>0.1</v>
      </c>
      <c r="F222" s="96">
        <v>0.1</v>
      </c>
      <c r="G222" s="96">
        <v>0.1</v>
      </c>
      <c r="H222" s="96">
        <v>0.1</v>
      </c>
      <c r="I222" s="96">
        <v>0.1</v>
      </c>
      <c r="J222" s="90"/>
    </row>
    <row r="223" spans="1:10" hidden="1" x14ac:dyDescent="0.3">
      <c r="A223" s="1" t="s">
        <v>192</v>
      </c>
      <c r="B223" s="90" t="s">
        <v>45</v>
      </c>
      <c r="C223" s="92"/>
      <c r="D223" s="94">
        <v>0.1</v>
      </c>
      <c r="E223" s="96">
        <v>0.1</v>
      </c>
      <c r="F223" s="96">
        <v>0.1</v>
      </c>
      <c r="G223" s="96">
        <v>0.1</v>
      </c>
      <c r="H223" s="96">
        <v>0.1</v>
      </c>
      <c r="I223" s="96">
        <v>0.1</v>
      </c>
      <c r="J223" s="90"/>
    </row>
    <row r="224" spans="1:10" hidden="1" x14ac:dyDescent="0.3">
      <c r="A224" s="237" t="s">
        <v>193</v>
      </c>
      <c r="B224" s="90"/>
      <c r="C224" s="90"/>
      <c r="D224" s="90"/>
      <c r="E224" s="95"/>
      <c r="F224" s="95"/>
      <c r="G224" s="95"/>
      <c r="H224" s="95"/>
      <c r="I224" s="95"/>
      <c r="J224" s="90"/>
    </row>
    <row r="225" spans="1:14" hidden="1" x14ac:dyDescent="0.3">
      <c r="A225" s="1" t="s">
        <v>194</v>
      </c>
      <c r="B225" s="90" t="s">
        <v>195</v>
      </c>
      <c r="C225" s="90"/>
      <c r="D225" s="140">
        <v>10</v>
      </c>
      <c r="E225" s="283">
        <v>10</v>
      </c>
      <c r="F225" s="283">
        <v>10</v>
      </c>
      <c r="G225" s="283">
        <v>10</v>
      </c>
      <c r="H225" s="283">
        <v>10</v>
      </c>
      <c r="I225" s="283">
        <v>10</v>
      </c>
      <c r="J225" s="90"/>
      <c r="K225" s="235"/>
    </row>
    <row r="226" spans="1:14" hidden="1" x14ac:dyDescent="0.3">
      <c r="A226" s="1" t="s">
        <v>196</v>
      </c>
      <c r="B226" s="90" t="s">
        <v>197</v>
      </c>
      <c r="C226" s="90"/>
      <c r="D226" s="90">
        <v>12</v>
      </c>
      <c r="E226" s="95">
        <v>12</v>
      </c>
      <c r="F226" s="95">
        <v>12</v>
      </c>
      <c r="G226" s="95">
        <v>12</v>
      </c>
      <c r="H226" s="95">
        <v>12</v>
      </c>
      <c r="I226" s="95">
        <v>12</v>
      </c>
      <c r="J226" s="90"/>
      <c r="K226" s="235"/>
    </row>
    <row r="227" spans="1:14" hidden="1" x14ac:dyDescent="0.3">
      <c r="A227" s="1" t="s">
        <v>198</v>
      </c>
      <c r="B227" s="90" t="s">
        <v>199</v>
      </c>
      <c r="C227" s="90"/>
      <c r="D227" s="90">
        <v>36</v>
      </c>
      <c r="E227" s="95">
        <v>36</v>
      </c>
      <c r="F227" s="95">
        <v>36</v>
      </c>
      <c r="G227" s="95">
        <v>36</v>
      </c>
      <c r="H227" s="95">
        <v>36</v>
      </c>
      <c r="I227" s="95">
        <v>36</v>
      </c>
      <c r="J227" s="90"/>
      <c r="K227" s="235"/>
    </row>
    <row r="228" spans="1:14" hidden="1" x14ac:dyDescent="0.3">
      <c r="A228" s="1" t="s">
        <v>173</v>
      </c>
      <c r="B228" s="90" t="s">
        <v>132</v>
      </c>
      <c r="C228" s="90"/>
      <c r="D228" s="90">
        <v>3</v>
      </c>
      <c r="E228" s="95">
        <v>3</v>
      </c>
      <c r="F228" s="95">
        <v>3</v>
      </c>
      <c r="G228" s="95">
        <v>3</v>
      </c>
      <c r="H228" s="95">
        <v>3</v>
      </c>
      <c r="I228" s="95">
        <v>3</v>
      </c>
      <c r="J228" s="90"/>
    </row>
    <row r="229" spans="1:14" hidden="1" x14ac:dyDescent="0.3">
      <c r="A229" s="1" t="s">
        <v>189</v>
      </c>
      <c r="B229" s="90" t="s">
        <v>45</v>
      </c>
      <c r="C229" s="92"/>
      <c r="D229" s="94">
        <v>0.05</v>
      </c>
      <c r="E229" s="96">
        <v>0.05</v>
      </c>
      <c r="F229" s="96">
        <v>0.05</v>
      </c>
      <c r="G229" s="96">
        <v>0.05</v>
      </c>
      <c r="H229" s="96">
        <v>0.05</v>
      </c>
      <c r="I229" s="96">
        <v>0.05</v>
      </c>
      <c r="J229" s="90"/>
    </row>
    <row r="230" spans="1:14" hidden="1" x14ac:dyDescent="0.3">
      <c r="A230" s="1" t="s">
        <v>190</v>
      </c>
      <c r="B230" s="90" t="s">
        <v>45</v>
      </c>
      <c r="C230" s="92"/>
      <c r="D230" s="94">
        <v>0.2</v>
      </c>
      <c r="E230" s="96">
        <v>0.2</v>
      </c>
      <c r="F230" s="96">
        <v>0.2</v>
      </c>
      <c r="G230" s="96">
        <v>0.2</v>
      </c>
      <c r="H230" s="96">
        <v>0.2</v>
      </c>
      <c r="I230" s="96">
        <v>0.2</v>
      </c>
      <c r="J230" s="90"/>
    </row>
    <row r="231" spans="1:14" hidden="1" x14ac:dyDescent="0.3">
      <c r="A231" s="1" t="s">
        <v>191</v>
      </c>
      <c r="B231" s="90" t="s">
        <v>45</v>
      </c>
      <c r="C231" s="92"/>
      <c r="D231" s="94">
        <v>0.1</v>
      </c>
      <c r="E231" s="96">
        <v>0.1</v>
      </c>
      <c r="F231" s="96">
        <v>0.1</v>
      </c>
      <c r="G231" s="96">
        <v>0.1</v>
      </c>
      <c r="H231" s="96">
        <v>0.1</v>
      </c>
      <c r="I231" s="96">
        <v>0.1</v>
      </c>
    </row>
    <row r="232" spans="1:14" hidden="1" x14ac:dyDescent="0.3">
      <c r="A232" s="1" t="s">
        <v>192</v>
      </c>
      <c r="B232" s="90" t="s">
        <v>45</v>
      </c>
      <c r="C232" s="92"/>
      <c r="D232" s="94">
        <v>0.1</v>
      </c>
      <c r="E232" s="96">
        <v>0.1</v>
      </c>
      <c r="F232" s="96">
        <v>0.1</v>
      </c>
      <c r="G232" s="96">
        <v>0.1</v>
      </c>
      <c r="H232" s="96">
        <v>0.1</v>
      </c>
      <c r="I232" s="96">
        <v>0.1</v>
      </c>
    </row>
    <row r="233" spans="1:14" hidden="1" x14ac:dyDescent="0.3"/>
    <row r="234" spans="1:14" ht="15.5" hidden="1" x14ac:dyDescent="0.35">
      <c r="A234" s="238" t="s">
        <v>200</v>
      </c>
    </row>
    <row r="235" spans="1:14" ht="13.5" hidden="1" x14ac:dyDescent="0.35">
      <c r="M235" s="339" t="s">
        <v>201</v>
      </c>
      <c r="N235" s="339"/>
    </row>
    <row r="236" spans="1:14" ht="13.5" hidden="1" x14ac:dyDescent="0.35">
      <c r="A236" s="304" t="s">
        <v>202</v>
      </c>
      <c r="B236" s="90"/>
      <c r="C236" s="90"/>
      <c r="D236" s="90"/>
      <c r="L236" s="60"/>
      <c r="M236" s="339" t="s">
        <v>203</v>
      </c>
      <c r="N236" s="340"/>
    </row>
    <row r="237" spans="1:14" ht="13.5" hidden="1" thickBot="1" x14ac:dyDescent="0.35">
      <c r="B237" s="90"/>
      <c r="C237" s="90"/>
      <c r="D237" s="90"/>
      <c r="L237" s="338" t="s">
        <v>204</v>
      </c>
      <c r="M237" s="338" t="s">
        <v>205</v>
      </c>
      <c r="N237" s="338" t="s">
        <v>206</v>
      </c>
    </row>
    <row r="238" spans="1:14" ht="13.5" hidden="1" thickTop="1" x14ac:dyDescent="0.3">
      <c r="A238" s="1" t="s">
        <v>207</v>
      </c>
      <c r="B238" s="90" t="s">
        <v>208</v>
      </c>
      <c r="C238" s="90" t="s">
        <v>209</v>
      </c>
      <c r="D238" s="90">
        <v>0.9</v>
      </c>
      <c r="E238" s="95" t="s">
        <v>210</v>
      </c>
      <c r="F238" s="95" t="s">
        <v>210</v>
      </c>
      <c r="G238" s="95" t="s">
        <v>210</v>
      </c>
      <c r="H238" s="95" t="s">
        <v>210</v>
      </c>
      <c r="I238" s="95" t="s">
        <v>210</v>
      </c>
      <c r="K238" s="235" t="s">
        <v>211</v>
      </c>
      <c r="L238" s="90" t="s">
        <v>212</v>
      </c>
      <c r="M238" s="90"/>
      <c r="N238" s="90"/>
    </row>
    <row r="239" spans="1:14" hidden="1" x14ac:dyDescent="0.3">
      <c r="A239" s="1" t="s">
        <v>213</v>
      </c>
      <c r="B239" s="90" t="s">
        <v>214</v>
      </c>
      <c r="C239" s="90" t="s">
        <v>215</v>
      </c>
      <c r="D239" s="281">
        <v>0.7</v>
      </c>
      <c r="E239" s="95" t="s">
        <v>210</v>
      </c>
      <c r="F239" s="95" t="s">
        <v>210</v>
      </c>
      <c r="G239" s="95" t="s">
        <v>210</v>
      </c>
      <c r="H239" s="95" t="s">
        <v>210</v>
      </c>
      <c r="I239" s="95" t="s">
        <v>210</v>
      </c>
      <c r="K239" s="341" t="s">
        <v>216</v>
      </c>
      <c r="L239" s="90" t="s">
        <v>217</v>
      </c>
      <c r="M239" s="90" t="s">
        <v>218</v>
      </c>
      <c r="N239" s="90" t="s">
        <v>219</v>
      </c>
    </row>
    <row r="240" spans="1:14" hidden="1" x14ac:dyDescent="0.3">
      <c r="A240" s="1" t="s">
        <v>220</v>
      </c>
      <c r="B240" s="19" t="s">
        <v>171</v>
      </c>
      <c r="C240" s="91"/>
      <c r="D240" s="90">
        <v>0.9</v>
      </c>
      <c r="E240" s="376">
        <v>0.36</v>
      </c>
      <c r="F240" s="376">
        <v>0.36</v>
      </c>
      <c r="G240" s="376">
        <v>0.28999999999999998</v>
      </c>
      <c r="H240" s="376">
        <v>0.44</v>
      </c>
      <c r="I240" s="376">
        <v>0.44</v>
      </c>
      <c r="K240" s="341" t="s">
        <v>216</v>
      </c>
      <c r="L240" s="90" t="s">
        <v>221</v>
      </c>
      <c r="M240" s="90"/>
      <c r="N240" s="90"/>
    </row>
    <row r="241" spans="1:14" hidden="1" x14ac:dyDescent="0.3">
      <c r="A241" s="1" t="s">
        <v>222</v>
      </c>
      <c r="B241" s="90" t="s">
        <v>223</v>
      </c>
      <c r="C241" s="91"/>
      <c r="D241" s="90">
        <v>0</v>
      </c>
      <c r="E241" s="95" t="s">
        <v>210</v>
      </c>
      <c r="F241" s="95" t="s">
        <v>210</v>
      </c>
      <c r="G241" s="95" t="s">
        <v>210</v>
      </c>
      <c r="H241" s="95" t="s">
        <v>210</v>
      </c>
      <c r="I241" s="95" t="s">
        <v>210</v>
      </c>
      <c r="K241" s="341" t="s">
        <v>216</v>
      </c>
      <c r="L241" s="90" t="s">
        <v>224</v>
      </c>
      <c r="M241" s="90" t="s">
        <v>225</v>
      </c>
      <c r="N241" s="90" t="s">
        <v>225</v>
      </c>
    </row>
    <row r="242" spans="1:14" hidden="1" x14ac:dyDescent="0.3">
      <c r="A242" s="1" t="s">
        <v>226</v>
      </c>
      <c r="B242" s="90" t="s">
        <v>227</v>
      </c>
      <c r="C242" s="91" t="s">
        <v>228</v>
      </c>
      <c r="D242" s="90">
        <v>3</v>
      </c>
      <c r="E242" s="95" t="s">
        <v>210</v>
      </c>
      <c r="F242" s="95" t="s">
        <v>210</v>
      </c>
      <c r="G242" s="95" t="s">
        <v>210</v>
      </c>
      <c r="H242" s="95" t="s">
        <v>210</v>
      </c>
      <c r="I242" s="95" t="s">
        <v>210</v>
      </c>
      <c r="K242" s="341" t="s">
        <v>216</v>
      </c>
      <c r="L242" s="90" t="s">
        <v>229</v>
      </c>
      <c r="M242" s="90" t="s">
        <v>230</v>
      </c>
      <c r="N242" s="90" t="s">
        <v>219</v>
      </c>
    </row>
    <row r="243" spans="1:14" hidden="1" x14ac:dyDescent="0.3">
      <c r="A243" s="1" t="s">
        <v>231</v>
      </c>
      <c r="B243" s="90" t="s">
        <v>139</v>
      </c>
      <c r="C243" s="91"/>
      <c r="D243" s="208">
        <v>205.66</v>
      </c>
      <c r="E243" s="95" t="s">
        <v>210</v>
      </c>
      <c r="F243" s="95" t="s">
        <v>210</v>
      </c>
      <c r="G243" s="95" t="s">
        <v>210</v>
      </c>
      <c r="H243" s="95" t="s">
        <v>210</v>
      </c>
      <c r="I243" s="95" t="s">
        <v>210</v>
      </c>
      <c r="K243" s="341" t="s">
        <v>216</v>
      </c>
      <c r="L243" s="90" t="s">
        <v>232</v>
      </c>
      <c r="M243" s="90" t="s">
        <v>230</v>
      </c>
      <c r="N243" s="90" t="s">
        <v>233</v>
      </c>
    </row>
    <row r="244" spans="1:14" hidden="1" x14ac:dyDescent="0.3">
      <c r="A244" s="303" t="s">
        <v>234</v>
      </c>
      <c r="B244" s="90" t="s">
        <v>235</v>
      </c>
      <c r="C244" s="91"/>
      <c r="D244" s="208">
        <v>356.34</v>
      </c>
      <c r="E244" s="95" t="s">
        <v>210</v>
      </c>
      <c r="F244" s="95" t="s">
        <v>210</v>
      </c>
      <c r="G244" s="95" t="s">
        <v>210</v>
      </c>
      <c r="H244" s="95" t="s">
        <v>210</v>
      </c>
      <c r="I244" s="95" t="s">
        <v>210</v>
      </c>
      <c r="K244" s="341" t="s">
        <v>216</v>
      </c>
      <c r="L244" s="90" t="s">
        <v>236</v>
      </c>
      <c r="M244" s="90" t="s">
        <v>230</v>
      </c>
      <c r="N244" s="90" t="s">
        <v>233</v>
      </c>
    </row>
    <row r="245" spans="1:14" hidden="1" x14ac:dyDescent="0.3">
      <c r="A245" s="303" t="s">
        <v>237</v>
      </c>
      <c r="B245" s="90" t="s">
        <v>139</v>
      </c>
      <c r="C245" s="90"/>
      <c r="D245" s="100">
        <v>11.48</v>
      </c>
      <c r="E245" s="95" t="s">
        <v>210</v>
      </c>
      <c r="F245" s="95" t="s">
        <v>210</v>
      </c>
      <c r="G245" s="95" t="s">
        <v>210</v>
      </c>
      <c r="H245" s="95" t="s">
        <v>210</v>
      </c>
      <c r="I245" s="95" t="s">
        <v>210</v>
      </c>
      <c r="K245" s="341" t="s">
        <v>216</v>
      </c>
      <c r="L245" s="90" t="s">
        <v>238</v>
      </c>
      <c r="M245" s="90"/>
      <c r="N245" s="90" t="s">
        <v>233</v>
      </c>
    </row>
    <row r="246" spans="1:14" hidden="1" x14ac:dyDescent="0.3">
      <c r="A246" s="1" t="s">
        <v>239</v>
      </c>
      <c r="B246" s="90" t="s">
        <v>45</v>
      </c>
      <c r="C246" s="90"/>
      <c r="D246" s="215">
        <v>1.4999999999999999E-2</v>
      </c>
      <c r="E246" s="95" t="s">
        <v>210</v>
      </c>
      <c r="F246" s="95" t="s">
        <v>210</v>
      </c>
      <c r="G246" s="95" t="s">
        <v>210</v>
      </c>
      <c r="H246" s="95" t="s">
        <v>210</v>
      </c>
      <c r="I246" s="95" t="s">
        <v>210</v>
      </c>
      <c r="K246" s="341" t="s">
        <v>216</v>
      </c>
      <c r="L246" s="90"/>
      <c r="M246" s="90"/>
      <c r="N246" s="90" t="s">
        <v>233</v>
      </c>
    </row>
    <row r="247" spans="1:14" hidden="1" x14ac:dyDescent="0.3">
      <c r="A247" s="1" t="s">
        <v>240</v>
      </c>
      <c r="B247" s="90" t="s">
        <v>45</v>
      </c>
      <c r="C247" s="90"/>
      <c r="D247" s="94">
        <v>0.2</v>
      </c>
      <c r="E247" s="95" t="s">
        <v>210</v>
      </c>
      <c r="F247" s="95" t="s">
        <v>210</v>
      </c>
      <c r="G247" s="95" t="s">
        <v>210</v>
      </c>
      <c r="H247" s="95" t="s">
        <v>210</v>
      </c>
      <c r="I247" s="95" t="s">
        <v>210</v>
      </c>
      <c r="K247" s="341" t="s">
        <v>216</v>
      </c>
      <c r="L247" s="90"/>
      <c r="M247" s="90"/>
      <c r="N247" s="90" t="s">
        <v>241</v>
      </c>
    </row>
    <row r="248" spans="1:14" hidden="1" x14ac:dyDescent="0.3">
      <c r="A248" s="1" t="s">
        <v>242</v>
      </c>
      <c r="B248" s="90" t="s">
        <v>45</v>
      </c>
      <c r="C248" s="90"/>
      <c r="D248" s="94">
        <v>0.05</v>
      </c>
      <c r="E248" s="95" t="s">
        <v>210</v>
      </c>
      <c r="F248" s="95" t="s">
        <v>210</v>
      </c>
      <c r="G248" s="95" t="s">
        <v>210</v>
      </c>
      <c r="H248" s="95" t="s">
        <v>210</v>
      </c>
      <c r="I248" s="95" t="s">
        <v>210</v>
      </c>
      <c r="K248" s="341" t="s">
        <v>216</v>
      </c>
      <c r="L248" s="90"/>
      <c r="M248" s="90"/>
      <c r="N248" s="90" t="s">
        <v>241</v>
      </c>
    </row>
    <row r="249" spans="1:14" hidden="1" x14ac:dyDescent="0.3">
      <c r="A249" s="1" t="s">
        <v>243</v>
      </c>
      <c r="B249" s="90" t="s">
        <v>45</v>
      </c>
      <c r="C249" s="90"/>
      <c r="D249" s="94">
        <v>0.1</v>
      </c>
      <c r="E249" s="95" t="s">
        <v>210</v>
      </c>
      <c r="F249" s="95" t="s">
        <v>210</v>
      </c>
      <c r="G249" s="95" t="s">
        <v>210</v>
      </c>
      <c r="H249" s="95" t="s">
        <v>210</v>
      </c>
      <c r="I249" s="95" t="s">
        <v>210</v>
      </c>
      <c r="K249" s="341" t="s">
        <v>216</v>
      </c>
      <c r="L249" s="90"/>
      <c r="M249" s="90"/>
      <c r="N249" s="90" t="s">
        <v>241</v>
      </c>
    </row>
    <row r="250" spans="1:14" hidden="1" x14ac:dyDescent="0.3">
      <c r="A250" s="1" t="s">
        <v>244</v>
      </c>
      <c r="B250" s="90" t="s">
        <v>245</v>
      </c>
      <c r="C250" s="94"/>
      <c r="D250" s="90">
        <v>2</v>
      </c>
      <c r="E250" s="376">
        <v>1</v>
      </c>
      <c r="F250" s="376">
        <v>1</v>
      </c>
      <c r="G250" s="376">
        <v>1</v>
      </c>
      <c r="H250" s="376">
        <v>1</v>
      </c>
      <c r="I250" s="376">
        <v>1</v>
      </c>
      <c r="K250" s="341" t="s">
        <v>216</v>
      </c>
      <c r="L250" s="90" t="s">
        <v>246</v>
      </c>
      <c r="M250" s="90"/>
      <c r="N250" s="90"/>
    </row>
    <row r="251" spans="1:14" hidden="1" x14ac:dyDescent="0.3">
      <c r="A251" s="1" t="s">
        <v>247</v>
      </c>
      <c r="B251" s="90" t="s">
        <v>245</v>
      </c>
      <c r="C251" s="90"/>
      <c r="D251" s="90">
        <v>1</v>
      </c>
      <c r="E251" s="95" t="s">
        <v>210</v>
      </c>
      <c r="F251" s="95" t="s">
        <v>210</v>
      </c>
      <c r="G251" s="95" t="s">
        <v>210</v>
      </c>
      <c r="H251" s="95" t="s">
        <v>210</v>
      </c>
      <c r="I251" s="95" t="s">
        <v>210</v>
      </c>
      <c r="K251" s="341" t="s">
        <v>216</v>
      </c>
      <c r="L251" s="90" t="s">
        <v>248</v>
      </c>
      <c r="M251" s="90"/>
      <c r="N251" s="90"/>
    </row>
    <row r="252" spans="1:14" hidden="1" x14ac:dyDescent="0.3">
      <c r="B252" s="90"/>
      <c r="C252" s="90"/>
      <c r="D252" s="90"/>
      <c r="E252" s="95"/>
      <c r="F252" s="95"/>
      <c r="G252" s="95"/>
      <c r="H252" s="95"/>
      <c r="I252" s="95"/>
      <c r="L252" s="90"/>
      <c r="M252" s="90"/>
      <c r="N252" s="90"/>
    </row>
    <row r="253" spans="1:14" ht="13.5" hidden="1" x14ac:dyDescent="0.35">
      <c r="A253" s="304" t="s">
        <v>249</v>
      </c>
      <c r="B253" s="90"/>
      <c r="C253" s="90"/>
      <c r="D253" s="90"/>
      <c r="E253" s="95"/>
      <c r="F253" s="95"/>
      <c r="G253" s="95"/>
      <c r="H253" s="95"/>
      <c r="I253" s="95"/>
      <c r="L253" s="90"/>
      <c r="M253" s="90"/>
      <c r="N253" s="90"/>
    </row>
    <row r="254" spans="1:14" hidden="1" x14ac:dyDescent="0.3">
      <c r="B254" s="90"/>
      <c r="C254" s="90"/>
      <c r="D254" s="90"/>
      <c r="E254" s="95"/>
      <c r="F254" s="95"/>
      <c r="G254" s="95"/>
      <c r="H254" s="95"/>
      <c r="I254" s="95"/>
      <c r="L254" s="90"/>
      <c r="M254" s="90"/>
      <c r="N254" s="90"/>
    </row>
    <row r="255" spans="1:14" hidden="1" x14ac:dyDescent="0.3">
      <c r="A255" s="1" t="s">
        <v>250</v>
      </c>
      <c r="B255" s="90" t="s">
        <v>245</v>
      </c>
      <c r="C255" s="90" t="s">
        <v>251</v>
      </c>
      <c r="D255" s="90">
        <v>1</v>
      </c>
      <c r="E255" s="95" t="s">
        <v>210</v>
      </c>
      <c r="F255" s="95" t="s">
        <v>210</v>
      </c>
      <c r="G255" s="95" t="s">
        <v>210</v>
      </c>
      <c r="H255" s="95" t="s">
        <v>210</v>
      </c>
      <c r="I255" s="95" t="s">
        <v>210</v>
      </c>
      <c r="K255" s="341" t="s">
        <v>216</v>
      </c>
      <c r="L255" s="90"/>
      <c r="M255" s="91" t="s">
        <v>252</v>
      </c>
      <c r="N255" s="91" t="s">
        <v>252</v>
      </c>
    </row>
    <row r="256" spans="1:14" hidden="1" x14ac:dyDescent="0.3">
      <c r="A256" s="1" t="s">
        <v>253</v>
      </c>
      <c r="B256" s="90" t="s">
        <v>245</v>
      </c>
      <c r="C256" s="90"/>
      <c r="D256" s="90">
        <v>3</v>
      </c>
      <c r="E256" s="95" t="s">
        <v>210</v>
      </c>
      <c r="F256" s="95" t="s">
        <v>210</v>
      </c>
      <c r="G256" s="95" t="s">
        <v>210</v>
      </c>
      <c r="H256" s="95" t="s">
        <v>210</v>
      </c>
      <c r="I256" s="95" t="s">
        <v>210</v>
      </c>
      <c r="K256" s="341" t="s">
        <v>216</v>
      </c>
      <c r="L256" s="90" t="s">
        <v>254</v>
      </c>
      <c r="M256" s="90"/>
      <c r="N256" s="90" t="s">
        <v>241</v>
      </c>
    </row>
    <row r="257" spans="1:14" hidden="1" x14ac:dyDescent="0.3">
      <c r="A257" s="1" t="s">
        <v>255</v>
      </c>
      <c r="B257" s="90" t="s">
        <v>245</v>
      </c>
      <c r="C257" s="90"/>
      <c r="D257" s="90">
        <v>18</v>
      </c>
      <c r="E257" s="95" t="s">
        <v>210</v>
      </c>
      <c r="F257" s="95" t="s">
        <v>210</v>
      </c>
      <c r="G257" s="95" t="s">
        <v>210</v>
      </c>
      <c r="H257" s="95" t="s">
        <v>210</v>
      </c>
      <c r="I257" s="95" t="s">
        <v>210</v>
      </c>
      <c r="K257" s="341"/>
      <c r="L257" s="90"/>
      <c r="M257" s="90"/>
      <c r="N257" s="90"/>
    </row>
    <row r="258" spans="1:14" hidden="1" x14ac:dyDescent="0.3">
      <c r="A258" s="1" t="s">
        <v>256</v>
      </c>
      <c r="B258" s="90" t="s">
        <v>245</v>
      </c>
      <c r="C258" s="90"/>
      <c r="D258" s="90">
        <v>0</v>
      </c>
      <c r="E258" s="95" t="s">
        <v>210</v>
      </c>
      <c r="F258" s="95" t="s">
        <v>210</v>
      </c>
      <c r="G258" s="95" t="s">
        <v>210</v>
      </c>
      <c r="H258" s="95" t="s">
        <v>210</v>
      </c>
      <c r="I258" s="95" t="s">
        <v>210</v>
      </c>
      <c r="K258" s="341" t="s">
        <v>216</v>
      </c>
      <c r="L258" s="90" t="s">
        <v>257</v>
      </c>
      <c r="M258" s="90"/>
      <c r="N258" s="90" t="s">
        <v>241</v>
      </c>
    </row>
    <row r="259" spans="1:14" hidden="1" x14ac:dyDescent="0.3">
      <c r="A259" s="1" t="s">
        <v>258</v>
      </c>
      <c r="B259" s="90" t="s">
        <v>245</v>
      </c>
      <c r="C259" s="90"/>
      <c r="D259" s="90">
        <v>0</v>
      </c>
      <c r="E259" s="95" t="s">
        <v>210</v>
      </c>
      <c r="F259" s="95" t="s">
        <v>210</v>
      </c>
      <c r="G259" s="95" t="s">
        <v>210</v>
      </c>
      <c r="H259" s="95" t="s">
        <v>210</v>
      </c>
      <c r="I259" s="95" t="s">
        <v>210</v>
      </c>
      <c r="K259" s="341"/>
      <c r="L259" s="90"/>
      <c r="M259" s="90"/>
      <c r="N259" s="90"/>
    </row>
    <row r="260" spans="1:14" hidden="1" x14ac:dyDescent="0.3">
      <c r="A260" s="1" t="s">
        <v>259</v>
      </c>
      <c r="B260" s="90" t="s">
        <v>245</v>
      </c>
      <c r="C260" s="90" t="s">
        <v>260</v>
      </c>
      <c r="D260" s="90">
        <v>1</v>
      </c>
      <c r="E260" s="95" t="s">
        <v>210</v>
      </c>
      <c r="F260" s="95" t="s">
        <v>210</v>
      </c>
      <c r="G260" s="95" t="s">
        <v>210</v>
      </c>
      <c r="H260" s="95" t="s">
        <v>210</v>
      </c>
      <c r="I260" s="95" t="s">
        <v>210</v>
      </c>
      <c r="K260" s="341" t="s">
        <v>216</v>
      </c>
      <c r="L260" s="90"/>
      <c r="M260" s="90"/>
      <c r="N260" s="91" t="s">
        <v>252</v>
      </c>
    </row>
    <row r="261" spans="1:14" hidden="1" x14ac:dyDescent="0.3">
      <c r="A261" s="1" t="s">
        <v>213</v>
      </c>
      <c r="B261" s="90" t="s">
        <v>261</v>
      </c>
      <c r="C261" s="90" t="s">
        <v>262</v>
      </c>
      <c r="D261" s="281">
        <v>0.5</v>
      </c>
      <c r="E261" s="95" t="s">
        <v>210</v>
      </c>
      <c r="F261" s="95" t="s">
        <v>210</v>
      </c>
      <c r="G261" s="95" t="s">
        <v>210</v>
      </c>
      <c r="H261" s="95" t="s">
        <v>210</v>
      </c>
      <c r="I261" s="95" t="s">
        <v>210</v>
      </c>
      <c r="K261" s="341" t="s">
        <v>216</v>
      </c>
      <c r="L261" s="90" t="s">
        <v>217</v>
      </c>
      <c r="M261" s="90" t="s">
        <v>218</v>
      </c>
      <c r="N261" s="90" t="s">
        <v>219</v>
      </c>
    </row>
    <row r="262" spans="1:14" hidden="1" x14ac:dyDescent="0.3">
      <c r="A262" s="1" t="s">
        <v>220</v>
      </c>
      <c r="B262" s="19" t="s">
        <v>171</v>
      </c>
      <c r="C262" s="91"/>
      <c r="D262" s="90">
        <v>0.9</v>
      </c>
      <c r="E262" s="376">
        <v>0.36</v>
      </c>
      <c r="F262" s="376">
        <v>0.36</v>
      </c>
      <c r="G262" s="376">
        <v>0.28999999999999998</v>
      </c>
      <c r="H262" s="376">
        <v>0.44</v>
      </c>
      <c r="I262" s="376">
        <v>0.44</v>
      </c>
      <c r="K262" s="341" t="s">
        <v>216</v>
      </c>
      <c r="L262" s="90" t="s">
        <v>221</v>
      </c>
      <c r="M262" s="90"/>
      <c r="N262" s="90"/>
    </row>
    <row r="263" spans="1:14" hidden="1" x14ac:dyDescent="0.3">
      <c r="A263" s="1" t="s">
        <v>207</v>
      </c>
      <c r="B263" s="90" t="s">
        <v>208</v>
      </c>
      <c r="C263" s="91" t="s">
        <v>263</v>
      </c>
      <c r="D263" s="90">
        <v>1.2</v>
      </c>
      <c r="E263" s="95" t="s">
        <v>210</v>
      </c>
      <c r="F263" s="95" t="s">
        <v>210</v>
      </c>
      <c r="G263" s="95" t="s">
        <v>210</v>
      </c>
      <c r="H263" s="95" t="s">
        <v>210</v>
      </c>
      <c r="I263" s="95" t="s">
        <v>210</v>
      </c>
      <c r="K263" s="341" t="s">
        <v>216</v>
      </c>
      <c r="L263" s="90" t="s">
        <v>212</v>
      </c>
      <c r="M263" s="90"/>
      <c r="N263" s="90"/>
    </row>
    <row r="264" spans="1:14" hidden="1" x14ac:dyDescent="0.3">
      <c r="A264" s="1" t="s">
        <v>264</v>
      </c>
      <c r="B264" s="90" t="s">
        <v>265</v>
      </c>
      <c r="C264" s="91" t="s">
        <v>263</v>
      </c>
      <c r="D264" s="90">
        <v>1.2</v>
      </c>
      <c r="E264" s="95" t="s">
        <v>210</v>
      </c>
      <c r="F264" s="95" t="s">
        <v>210</v>
      </c>
      <c r="G264" s="95" t="s">
        <v>210</v>
      </c>
      <c r="H264" s="95" t="s">
        <v>210</v>
      </c>
      <c r="I264" s="95" t="s">
        <v>210</v>
      </c>
      <c r="K264" s="372" t="s">
        <v>266</v>
      </c>
      <c r="L264" s="90" t="s">
        <v>267</v>
      </c>
      <c r="M264" s="90" t="s">
        <v>241</v>
      </c>
      <c r="N264" s="90" t="s">
        <v>219</v>
      </c>
    </row>
    <row r="265" spans="1:14" hidden="1" x14ac:dyDescent="0.3">
      <c r="A265" s="1" t="s">
        <v>268</v>
      </c>
      <c r="B265" s="90" t="s">
        <v>139</v>
      </c>
      <c r="C265" s="90"/>
      <c r="D265" s="208">
        <v>224.95</v>
      </c>
      <c r="E265" s="95" t="s">
        <v>210</v>
      </c>
      <c r="F265" s="95" t="s">
        <v>210</v>
      </c>
      <c r="G265" s="95" t="s">
        <v>210</v>
      </c>
      <c r="H265" s="95" t="s">
        <v>210</v>
      </c>
      <c r="I265" s="95" t="s">
        <v>210</v>
      </c>
      <c r="K265" s="341" t="s">
        <v>216</v>
      </c>
      <c r="L265" s="90" t="s">
        <v>269</v>
      </c>
      <c r="M265" s="90"/>
      <c r="N265" s="90" t="s">
        <v>270</v>
      </c>
    </row>
    <row r="266" spans="1:14" hidden="1" x14ac:dyDescent="0.3">
      <c r="A266" s="1" t="s">
        <v>231</v>
      </c>
      <c r="B266" s="90" t="s">
        <v>139</v>
      </c>
      <c r="C266" s="90"/>
      <c r="D266" s="208">
        <v>205.66</v>
      </c>
      <c r="E266" s="95" t="s">
        <v>210</v>
      </c>
      <c r="F266" s="95" t="s">
        <v>210</v>
      </c>
      <c r="G266" s="95" t="s">
        <v>210</v>
      </c>
      <c r="H266" s="95" t="s">
        <v>210</v>
      </c>
      <c r="I266" s="95" t="s">
        <v>210</v>
      </c>
      <c r="K266" s="341" t="s">
        <v>216</v>
      </c>
      <c r="L266" s="90" t="s">
        <v>232</v>
      </c>
      <c r="M266" s="90"/>
      <c r="N266" s="90" t="s">
        <v>233</v>
      </c>
    </row>
    <row r="267" spans="1:14" hidden="1" x14ac:dyDescent="0.3">
      <c r="A267" s="303" t="s">
        <v>271</v>
      </c>
      <c r="B267" s="90" t="s">
        <v>272</v>
      </c>
      <c r="C267" s="90"/>
      <c r="D267" s="140">
        <v>0.40699999999999997</v>
      </c>
      <c r="E267" s="95" t="s">
        <v>210</v>
      </c>
      <c r="F267" s="95" t="s">
        <v>210</v>
      </c>
      <c r="G267" s="95" t="s">
        <v>210</v>
      </c>
      <c r="H267" s="95" t="s">
        <v>210</v>
      </c>
      <c r="I267" s="95" t="s">
        <v>210</v>
      </c>
      <c r="K267" s="341" t="s">
        <v>216</v>
      </c>
      <c r="L267" s="90" t="s">
        <v>273</v>
      </c>
      <c r="M267" s="90"/>
      <c r="N267" s="90" t="s">
        <v>233</v>
      </c>
    </row>
    <row r="268" spans="1:14" hidden="1" x14ac:dyDescent="0.3">
      <c r="A268" s="1" t="s">
        <v>239</v>
      </c>
      <c r="B268" s="90" t="s">
        <v>45</v>
      </c>
      <c r="C268" s="90"/>
      <c r="D268" s="215">
        <v>1.4999999999999999E-2</v>
      </c>
      <c r="E268" s="95" t="s">
        <v>210</v>
      </c>
      <c r="F268" s="95" t="s">
        <v>210</v>
      </c>
      <c r="G268" s="95" t="s">
        <v>210</v>
      </c>
      <c r="H268" s="95" t="s">
        <v>210</v>
      </c>
      <c r="I268" s="95" t="s">
        <v>210</v>
      </c>
      <c r="K268" s="341" t="s">
        <v>216</v>
      </c>
      <c r="L268" s="90"/>
      <c r="M268" s="90"/>
      <c r="N268" s="90" t="s">
        <v>233</v>
      </c>
    </row>
    <row r="269" spans="1:14" hidden="1" x14ac:dyDescent="0.3">
      <c r="A269" s="1" t="s">
        <v>240</v>
      </c>
      <c r="B269" s="90" t="s">
        <v>45</v>
      </c>
      <c r="C269" s="90"/>
      <c r="D269" s="94">
        <v>0.2</v>
      </c>
      <c r="E269" s="95" t="s">
        <v>210</v>
      </c>
      <c r="F269" s="95" t="s">
        <v>210</v>
      </c>
      <c r="G269" s="95" t="s">
        <v>210</v>
      </c>
      <c r="H269" s="95" t="s">
        <v>210</v>
      </c>
      <c r="I269" s="95" t="s">
        <v>210</v>
      </c>
      <c r="K269" s="341" t="s">
        <v>216</v>
      </c>
      <c r="L269" s="90"/>
      <c r="M269" s="90"/>
      <c r="N269" s="90" t="s">
        <v>274</v>
      </c>
    </row>
    <row r="270" spans="1:14" hidden="1" x14ac:dyDescent="0.3">
      <c r="A270" s="1" t="s">
        <v>242</v>
      </c>
      <c r="B270" s="90" t="s">
        <v>45</v>
      </c>
      <c r="C270" s="90"/>
      <c r="D270" s="94">
        <v>0.05</v>
      </c>
      <c r="E270" s="95" t="s">
        <v>210</v>
      </c>
      <c r="F270" s="95" t="s">
        <v>210</v>
      </c>
      <c r="G270" s="95" t="s">
        <v>210</v>
      </c>
      <c r="H270" s="95" t="s">
        <v>210</v>
      </c>
      <c r="I270" s="95" t="s">
        <v>210</v>
      </c>
      <c r="K270" s="341" t="s">
        <v>216</v>
      </c>
      <c r="L270" s="90"/>
      <c r="M270" s="90"/>
      <c r="N270" s="90" t="s">
        <v>274</v>
      </c>
    </row>
    <row r="271" spans="1:14" hidden="1" x14ac:dyDescent="0.3">
      <c r="A271" s="1" t="s">
        <v>243</v>
      </c>
      <c r="B271" s="90" t="s">
        <v>45</v>
      </c>
      <c r="C271" s="90"/>
      <c r="D271" s="94">
        <v>0.1</v>
      </c>
      <c r="E271" s="95" t="s">
        <v>210</v>
      </c>
      <c r="F271" s="95" t="s">
        <v>210</v>
      </c>
      <c r="G271" s="95" t="s">
        <v>210</v>
      </c>
      <c r="H271" s="95" t="s">
        <v>210</v>
      </c>
      <c r="I271" s="95" t="s">
        <v>210</v>
      </c>
      <c r="K271" s="341" t="s">
        <v>216</v>
      </c>
      <c r="L271" s="90"/>
      <c r="M271" s="90"/>
      <c r="N271" s="90" t="s">
        <v>274</v>
      </c>
    </row>
    <row r="272" spans="1:14" hidden="1" x14ac:dyDescent="0.3">
      <c r="B272" s="90"/>
      <c r="C272" s="90"/>
      <c r="D272" s="90"/>
      <c r="E272" s="95"/>
      <c r="F272" s="95"/>
      <c r="G272" s="95"/>
      <c r="H272" s="95"/>
      <c r="I272" s="95"/>
      <c r="L272" s="90"/>
      <c r="M272" s="90"/>
      <c r="N272" s="90"/>
    </row>
    <row r="273" spans="1:14" ht="13.5" hidden="1" x14ac:dyDescent="0.35">
      <c r="A273" s="304" t="s">
        <v>275</v>
      </c>
      <c r="B273" s="90"/>
      <c r="C273" s="90"/>
      <c r="D273" s="90"/>
      <c r="E273" s="95"/>
      <c r="F273" s="95"/>
      <c r="G273" s="95"/>
      <c r="H273" s="95"/>
      <c r="I273" s="95"/>
      <c r="L273" s="90"/>
      <c r="M273" s="90"/>
      <c r="N273" s="90"/>
    </row>
    <row r="274" spans="1:14" hidden="1" x14ac:dyDescent="0.3">
      <c r="B274" s="90"/>
      <c r="C274" s="90"/>
      <c r="D274" s="90"/>
      <c r="E274" s="95"/>
      <c r="F274" s="95"/>
      <c r="G274" s="95"/>
      <c r="H274" s="95"/>
      <c r="I274" s="95"/>
      <c r="L274" s="90"/>
      <c r="M274" s="90"/>
      <c r="N274" s="90"/>
    </row>
    <row r="275" spans="1:14" hidden="1" x14ac:dyDescent="0.3">
      <c r="A275" s="1" t="s">
        <v>213</v>
      </c>
      <c r="B275" s="90" t="s">
        <v>261</v>
      </c>
      <c r="C275" s="90" t="s">
        <v>276</v>
      </c>
      <c r="D275" s="281">
        <v>0.35</v>
      </c>
      <c r="E275" s="95" t="s">
        <v>210</v>
      </c>
      <c r="F275" s="95" t="s">
        <v>210</v>
      </c>
      <c r="G275" s="95" t="s">
        <v>210</v>
      </c>
      <c r="H275" s="95" t="s">
        <v>210</v>
      </c>
      <c r="I275" s="95" t="s">
        <v>210</v>
      </c>
      <c r="K275" s="341" t="s">
        <v>216</v>
      </c>
      <c r="L275" s="90" t="s">
        <v>217</v>
      </c>
      <c r="M275" s="90" t="s">
        <v>277</v>
      </c>
      <c r="N275" s="90" t="s">
        <v>270</v>
      </c>
    </row>
    <row r="276" spans="1:14" hidden="1" x14ac:dyDescent="0.3">
      <c r="A276" s="1" t="s">
        <v>278</v>
      </c>
      <c r="B276" s="342" t="s">
        <v>279</v>
      </c>
      <c r="C276" s="90"/>
      <c r="D276" s="90" t="s">
        <v>280</v>
      </c>
      <c r="E276" s="95" t="s">
        <v>210</v>
      </c>
      <c r="F276" s="95" t="s">
        <v>210</v>
      </c>
      <c r="G276" s="95" t="s">
        <v>210</v>
      </c>
      <c r="H276" s="95" t="s">
        <v>210</v>
      </c>
      <c r="I276" s="95" t="s">
        <v>210</v>
      </c>
      <c r="K276" s="341" t="s">
        <v>216</v>
      </c>
      <c r="L276" s="90"/>
      <c r="M276" s="90"/>
      <c r="N276" s="90"/>
    </row>
    <row r="277" spans="1:14" ht="26" hidden="1" x14ac:dyDescent="0.3">
      <c r="A277" s="1" t="s">
        <v>281</v>
      </c>
      <c r="B277" s="342" t="s">
        <v>282</v>
      </c>
      <c r="C277" s="90"/>
      <c r="D277" s="90" t="s">
        <v>283</v>
      </c>
      <c r="E277" s="376" t="s">
        <v>1166</v>
      </c>
      <c r="F277" s="376" t="s">
        <v>1166</v>
      </c>
      <c r="G277" s="376" t="s">
        <v>1166</v>
      </c>
      <c r="H277" s="376" t="s">
        <v>1166</v>
      </c>
      <c r="I277" s="376" t="s">
        <v>283</v>
      </c>
      <c r="K277" s="341" t="s">
        <v>216</v>
      </c>
      <c r="L277" s="90"/>
      <c r="M277" s="90"/>
      <c r="N277" s="90"/>
    </row>
    <row r="278" spans="1:14" hidden="1" x14ac:dyDescent="0.3">
      <c r="A278" s="1" t="s">
        <v>284</v>
      </c>
      <c r="B278" s="90" t="s">
        <v>45</v>
      </c>
      <c r="C278" s="90"/>
      <c r="D278" s="215">
        <v>8.0000000000000002E-3</v>
      </c>
      <c r="E278" s="95" t="s">
        <v>210</v>
      </c>
      <c r="F278" s="95" t="s">
        <v>210</v>
      </c>
      <c r="G278" s="95" t="s">
        <v>210</v>
      </c>
      <c r="H278" s="95" t="s">
        <v>210</v>
      </c>
      <c r="I278" s="95" t="s">
        <v>210</v>
      </c>
      <c r="K278" s="341" t="s">
        <v>216</v>
      </c>
      <c r="L278" s="90"/>
      <c r="M278" s="90"/>
      <c r="N278" s="90" t="s">
        <v>270</v>
      </c>
    </row>
    <row r="279" spans="1:14" hidden="1" x14ac:dyDescent="0.3">
      <c r="A279" s="1" t="s">
        <v>285</v>
      </c>
      <c r="B279" s="90" t="s">
        <v>45</v>
      </c>
      <c r="C279" s="90"/>
      <c r="D279" s="215">
        <v>1.2E-2</v>
      </c>
      <c r="E279" s="95" t="s">
        <v>210</v>
      </c>
      <c r="F279" s="95" t="s">
        <v>210</v>
      </c>
      <c r="G279" s="95" t="s">
        <v>210</v>
      </c>
      <c r="H279" s="95" t="s">
        <v>210</v>
      </c>
      <c r="I279" s="95" t="s">
        <v>210</v>
      </c>
      <c r="K279" s="341" t="s">
        <v>216</v>
      </c>
      <c r="L279" s="90"/>
      <c r="M279" s="90"/>
      <c r="N279" s="90" t="s">
        <v>270</v>
      </c>
    </row>
    <row r="280" spans="1:14" hidden="1" x14ac:dyDescent="0.3">
      <c r="B280" s="90"/>
      <c r="C280" s="90"/>
      <c r="D280" s="90"/>
      <c r="E280" s="95"/>
      <c r="F280" s="95"/>
      <c r="G280" s="95"/>
      <c r="H280" s="95"/>
      <c r="I280" s="95"/>
      <c r="L280" s="90"/>
      <c r="M280" s="90"/>
      <c r="N280" s="90"/>
    </row>
    <row r="281" spans="1:14" ht="13.5" hidden="1" x14ac:dyDescent="0.35">
      <c r="A281" s="304" t="s">
        <v>286</v>
      </c>
      <c r="B281" s="90"/>
      <c r="C281" s="90"/>
      <c r="D281" s="90"/>
      <c r="E281" s="95"/>
      <c r="F281" s="95"/>
      <c r="G281" s="95"/>
      <c r="H281" s="95"/>
      <c r="I281" s="95"/>
      <c r="L281" s="90"/>
      <c r="M281" s="90"/>
      <c r="N281" s="90"/>
    </row>
    <row r="282" spans="1:14" hidden="1" x14ac:dyDescent="0.3">
      <c r="B282" s="90"/>
      <c r="C282" s="90"/>
      <c r="D282" s="90"/>
      <c r="E282" s="95"/>
      <c r="F282" s="95"/>
      <c r="G282" s="95"/>
      <c r="H282" s="95"/>
      <c r="I282" s="95"/>
      <c r="L282" s="90"/>
      <c r="M282" s="90"/>
      <c r="N282" s="90"/>
    </row>
    <row r="283" spans="1:14" hidden="1" x14ac:dyDescent="0.3">
      <c r="A283" s="1" t="s">
        <v>213</v>
      </c>
      <c r="B283" s="90" t="s">
        <v>261</v>
      </c>
      <c r="C283" s="90" t="s">
        <v>287</v>
      </c>
      <c r="D283" s="281">
        <v>0.61</v>
      </c>
      <c r="E283" s="96" t="s">
        <v>210</v>
      </c>
      <c r="F283" s="96" t="s">
        <v>210</v>
      </c>
      <c r="G283" s="96" t="s">
        <v>210</v>
      </c>
      <c r="H283" s="96" t="s">
        <v>210</v>
      </c>
      <c r="I283" s="96" t="s">
        <v>210</v>
      </c>
      <c r="K283" s="341" t="s">
        <v>216</v>
      </c>
      <c r="L283" s="90" t="s">
        <v>217</v>
      </c>
      <c r="M283" s="90" t="s">
        <v>277</v>
      </c>
      <c r="N283" s="90"/>
    </row>
    <row r="284" spans="1:14" hidden="1" x14ac:dyDescent="0.3">
      <c r="A284" s="1" t="s">
        <v>288</v>
      </c>
      <c r="B284" s="90" t="s">
        <v>261</v>
      </c>
      <c r="C284" s="90" t="s">
        <v>289</v>
      </c>
      <c r="D284" s="100">
        <v>0.15</v>
      </c>
      <c r="E284" s="95" t="s">
        <v>210</v>
      </c>
      <c r="F284" s="95" t="s">
        <v>210</v>
      </c>
      <c r="G284" s="95" t="s">
        <v>210</v>
      </c>
      <c r="H284" s="95" t="s">
        <v>210</v>
      </c>
      <c r="I284" s="95" t="s">
        <v>210</v>
      </c>
      <c r="K284" s="341" t="s">
        <v>216</v>
      </c>
      <c r="L284" s="90"/>
      <c r="M284" s="90"/>
      <c r="N284" s="90" t="s">
        <v>277</v>
      </c>
    </row>
    <row r="285" spans="1:14" hidden="1" x14ac:dyDescent="0.3">
      <c r="A285" s="1" t="s">
        <v>290</v>
      </c>
      <c r="B285" s="90" t="s">
        <v>139</v>
      </c>
      <c r="C285" s="90"/>
      <c r="D285" s="100">
        <v>11.48</v>
      </c>
      <c r="E285" s="95" t="s">
        <v>210</v>
      </c>
      <c r="F285" s="95" t="s">
        <v>210</v>
      </c>
      <c r="G285" s="95" t="s">
        <v>210</v>
      </c>
      <c r="H285" s="95" t="s">
        <v>210</v>
      </c>
      <c r="I285" s="95" t="s">
        <v>210</v>
      </c>
      <c r="K285" s="341" t="s">
        <v>216</v>
      </c>
      <c r="L285" s="90" t="s">
        <v>238</v>
      </c>
      <c r="M285" s="90"/>
      <c r="N285" s="90" t="s">
        <v>233</v>
      </c>
    </row>
    <row r="286" spans="1:14" hidden="1" x14ac:dyDescent="0.3">
      <c r="A286" s="1" t="s">
        <v>291</v>
      </c>
      <c r="B286" s="90" t="s">
        <v>292</v>
      </c>
      <c r="C286" s="90"/>
      <c r="D286" s="100">
        <v>2.31</v>
      </c>
      <c r="E286" s="95" t="s">
        <v>210</v>
      </c>
      <c r="F286" s="95" t="s">
        <v>210</v>
      </c>
      <c r="G286" s="95" t="s">
        <v>210</v>
      </c>
      <c r="H286" s="95" t="s">
        <v>210</v>
      </c>
      <c r="I286" s="95" t="s">
        <v>210</v>
      </c>
      <c r="K286" s="341" t="s">
        <v>216</v>
      </c>
      <c r="L286" s="90" t="s">
        <v>293</v>
      </c>
      <c r="M286" s="90"/>
      <c r="N286" s="90" t="s">
        <v>233</v>
      </c>
    </row>
    <row r="287" spans="1:14" hidden="1" x14ac:dyDescent="0.3">
      <c r="A287" s="1" t="s">
        <v>239</v>
      </c>
      <c r="B287" s="90" t="s">
        <v>45</v>
      </c>
      <c r="C287" s="90"/>
      <c r="D287" s="215">
        <v>1.4999999999999999E-2</v>
      </c>
      <c r="E287" s="95" t="s">
        <v>210</v>
      </c>
      <c r="F287" s="95" t="s">
        <v>210</v>
      </c>
      <c r="G287" s="95" t="s">
        <v>210</v>
      </c>
      <c r="H287" s="95" t="s">
        <v>210</v>
      </c>
      <c r="I287" s="95" t="s">
        <v>210</v>
      </c>
      <c r="K287" s="341" t="s">
        <v>216</v>
      </c>
      <c r="L287" s="90"/>
      <c r="M287" s="90"/>
      <c r="N287" s="90" t="s">
        <v>233</v>
      </c>
    </row>
    <row r="288" spans="1:14" hidden="1" x14ac:dyDescent="0.3">
      <c r="A288" s="1" t="s">
        <v>240</v>
      </c>
      <c r="B288" s="90" t="s">
        <v>45</v>
      </c>
      <c r="C288" s="90"/>
      <c r="D288" s="94">
        <v>0.2</v>
      </c>
      <c r="E288" s="95" t="s">
        <v>210</v>
      </c>
      <c r="F288" s="95" t="s">
        <v>210</v>
      </c>
      <c r="G288" s="95" t="s">
        <v>210</v>
      </c>
      <c r="H288" s="95" t="s">
        <v>210</v>
      </c>
      <c r="I288" s="95" t="s">
        <v>210</v>
      </c>
      <c r="K288" s="341" t="s">
        <v>216</v>
      </c>
      <c r="L288" s="90"/>
      <c r="M288" s="90"/>
      <c r="N288" s="90" t="s">
        <v>274</v>
      </c>
    </row>
    <row r="289" spans="1:14" hidden="1" x14ac:dyDescent="0.3">
      <c r="A289" s="1" t="s">
        <v>242</v>
      </c>
      <c r="B289" s="90" t="s">
        <v>45</v>
      </c>
      <c r="C289" s="90"/>
      <c r="D289" s="94">
        <v>0.02</v>
      </c>
      <c r="E289" s="95" t="s">
        <v>210</v>
      </c>
      <c r="F289" s="95" t="s">
        <v>210</v>
      </c>
      <c r="G289" s="95" t="s">
        <v>210</v>
      </c>
      <c r="H289" s="95" t="s">
        <v>210</v>
      </c>
      <c r="I289" s="95" t="s">
        <v>210</v>
      </c>
      <c r="K289" s="341" t="s">
        <v>216</v>
      </c>
      <c r="L289" s="90"/>
      <c r="M289" s="90"/>
      <c r="N289" s="90" t="s">
        <v>274</v>
      </c>
    </row>
    <row r="290" spans="1:14" hidden="1" x14ac:dyDescent="0.3">
      <c r="A290" s="1" t="s">
        <v>243</v>
      </c>
      <c r="B290" s="90" t="s">
        <v>45</v>
      </c>
      <c r="C290" s="90"/>
      <c r="D290" s="94">
        <v>0.1</v>
      </c>
      <c r="E290" s="95" t="s">
        <v>210</v>
      </c>
      <c r="F290" s="95" t="s">
        <v>210</v>
      </c>
      <c r="G290" s="95" t="s">
        <v>210</v>
      </c>
      <c r="H290" s="95" t="s">
        <v>210</v>
      </c>
      <c r="I290" s="95" t="s">
        <v>210</v>
      </c>
      <c r="K290" s="341" t="s">
        <v>216</v>
      </c>
      <c r="L290" s="90"/>
      <c r="M290" s="90"/>
      <c r="N290" s="90" t="s">
        <v>274</v>
      </c>
    </row>
    <row r="291" spans="1:14" hidden="1" x14ac:dyDescent="0.3"/>
    <row r="292" spans="1:14" hidden="1" x14ac:dyDescent="0.3"/>
    <row r="293" spans="1:14" hidden="1" x14ac:dyDescent="0.3"/>
    <row r="294" spans="1:14" hidden="1" x14ac:dyDescent="0.3"/>
    <row r="295" spans="1:14" hidden="1" x14ac:dyDescent="0.3"/>
    <row r="296" spans="1:14" hidden="1" x14ac:dyDescent="0.3"/>
    <row r="297" spans="1:14" hidden="1" x14ac:dyDescent="0.3"/>
    <row r="298" spans="1:14" hidden="1" x14ac:dyDescent="0.3"/>
    <row r="299" spans="1:14" hidden="1" x14ac:dyDescent="0.3"/>
    <row r="300" spans="1:14" hidden="1" x14ac:dyDescent="0.3"/>
    <row r="301" spans="1:14" hidden="1" x14ac:dyDescent="0.3"/>
    <row r="302" spans="1:14" hidden="1" x14ac:dyDescent="0.3"/>
    <row r="303" spans="1:14" hidden="1" x14ac:dyDescent="0.3"/>
    <row r="304" spans="1:14" hidden="1" x14ac:dyDescent="0.3"/>
    <row r="305" hidden="1" x14ac:dyDescent="0.3"/>
    <row r="306" hidden="1" x14ac:dyDescent="0.3"/>
    <row r="307" hidden="1" x14ac:dyDescent="0.3"/>
    <row r="308" hidden="1" x14ac:dyDescent="0.3"/>
    <row r="309" hidden="1" x14ac:dyDescent="0.3"/>
    <row r="310" hidden="1" x14ac:dyDescent="0.3"/>
    <row r="311" hidden="1" x14ac:dyDescent="0.3"/>
    <row r="312" hidden="1" x14ac:dyDescent="0.3"/>
    <row r="313" hidden="1" x14ac:dyDescent="0.3"/>
    <row r="314" hidden="1" x14ac:dyDescent="0.3"/>
    <row r="315" hidden="1" x14ac:dyDescent="0.3"/>
    <row r="316" hidden="1" x14ac:dyDescent="0.3"/>
    <row r="317" hidden="1" x14ac:dyDescent="0.3"/>
    <row r="318" hidden="1" x14ac:dyDescent="0.3"/>
    <row r="319" hidden="1" x14ac:dyDescent="0.3"/>
    <row r="320" hidden="1" x14ac:dyDescent="0.3"/>
    <row r="321" hidden="1" x14ac:dyDescent="0.3"/>
    <row r="322" hidden="1" x14ac:dyDescent="0.3"/>
    <row r="323" hidden="1" x14ac:dyDescent="0.3"/>
    <row r="324" hidden="1" x14ac:dyDescent="0.3"/>
    <row r="325" hidden="1" x14ac:dyDescent="0.3"/>
    <row r="326" hidden="1" x14ac:dyDescent="0.3"/>
    <row r="327" hidden="1" x14ac:dyDescent="0.3"/>
    <row r="328" hidden="1" x14ac:dyDescent="0.3"/>
    <row r="329" hidden="1" x14ac:dyDescent="0.3"/>
    <row r="330" hidden="1" x14ac:dyDescent="0.3"/>
    <row r="331" hidden="1" x14ac:dyDescent="0.3"/>
    <row r="332" hidden="1" x14ac:dyDescent="0.3"/>
    <row r="333" hidden="1" x14ac:dyDescent="0.3"/>
    <row r="334" hidden="1" x14ac:dyDescent="0.3"/>
    <row r="335" hidden="1" x14ac:dyDescent="0.3"/>
    <row r="336" hidden="1" x14ac:dyDescent="0.3"/>
    <row r="337" hidden="1" x14ac:dyDescent="0.3"/>
    <row r="338" hidden="1" x14ac:dyDescent="0.3"/>
    <row r="339" hidden="1" x14ac:dyDescent="0.3"/>
    <row r="340" hidden="1" x14ac:dyDescent="0.3"/>
    <row r="341" hidden="1" x14ac:dyDescent="0.3"/>
    <row r="342" hidden="1" x14ac:dyDescent="0.3"/>
    <row r="343" hidden="1" x14ac:dyDescent="0.3"/>
    <row r="344" hidden="1" x14ac:dyDescent="0.3"/>
    <row r="345" hidden="1" x14ac:dyDescent="0.3"/>
    <row r="346" hidden="1" x14ac:dyDescent="0.3"/>
    <row r="347" hidden="1" x14ac:dyDescent="0.3"/>
    <row r="348" hidden="1" x14ac:dyDescent="0.3"/>
    <row r="349" hidden="1" x14ac:dyDescent="0.3"/>
    <row r="350" hidden="1" x14ac:dyDescent="0.3"/>
    <row r="351" hidden="1" x14ac:dyDescent="0.3"/>
    <row r="352" hidden="1" x14ac:dyDescent="0.3"/>
    <row r="353" hidden="1" x14ac:dyDescent="0.3"/>
    <row r="354" hidden="1" x14ac:dyDescent="0.3"/>
    <row r="355" hidden="1" x14ac:dyDescent="0.3"/>
    <row r="356" hidden="1" x14ac:dyDescent="0.3"/>
    <row r="357" hidden="1" x14ac:dyDescent="0.3"/>
    <row r="358" hidden="1" x14ac:dyDescent="0.3"/>
    <row r="359" hidden="1" x14ac:dyDescent="0.3"/>
    <row r="360" hidden="1" x14ac:dyDescent="0.3"/>
    <row r="361" hidden="1" x14ac:dyDescent="0.3"/>
    <row r="362" hidden="1" x14ac:dyDescent="0.3"/>
    <row r="363" hidden="1" x14ac:dyDescent="0.3"/>
    <row r="364" hidden="1" x14ac:dyDescent="0.3"/>
    <row r="365" hidden="1" x14ac:dyDescent="0.3"/>
    <row r="366" hidden="1" x14ac:dyDescent="0.3"/>
    <row r="367" hidden="1" x14ac:dyDescent="0.3"/>
    <row r="368" hidden="1" x14ac:dyDescent="0.3"/>
    <row r="369" hidden="1" x14ac:dyDescent="0.3"/>
    <row r="370" hidden="1" x14ac:dyDescent="0.3"/>
    <row r="371" hidden="1" x14ac:dyDescent="0.3"/>
    <row r="372" hidden="1" x14ac:dyDescent="0.3"/>
    <row r="373" hidden="1" x14ac:dyDescent="0.3"/>
    <row r="374" hidden="1" x14ac:dyDescent="0.3"/>
    <row r="375" hidden="1" x14ac:dyDescent="0.3"/>
    <row r="376" hidden="1" x14ac:dyDescent="0.3"/>
    <row r="377" hidden="1" x14ac:dyDescent="0.3"/>
    <row r="378" hidden="1" x14ac:dyDescent="0.3"/>
    <row r="379" hidden="1" x14ac:dyDescent="0.3"/>
    <row r="380" hidden="1" x14ac:dyDescent="0.3"/>
    <row r="381" hidden="1" x14ac:dyDescent="0.3"/>
    <row r="382" hidden="1" x14ac:dyDescent="0.3"/>
    <row r="383" hidden="1" x14ac:dyDescent="0.3"/>
    <row r="384" hidden="1" x14ac:dyDescent="0.3"/>
    <row r="385" hidden="1" x14ac:dyDescent="0.3"/>
    <row r="386" hidden="1" x14ac:dyDescent="0.3"/>
    <row r="387" hidden="1" x14ac:dyDescent="0.3"/>
    <row r="388" hidden="1" x14ac:dyDescent="0.3"/>
    <row r="389" hidden="1" x14ac:dyDescent="0.3"/>
    <row r="390" hidden="1" x14ac:dyDescent="0.3"/>
    <row r="391" hidden="1" x14ac:dyDescent="0.3"/>
    <row r="392" hidden="1" x14ac:dyDescent="0.3"/>
    <row r="393" hidden="1" x14ac:dyDescent="0.3"/>
    <row r="394" hidden="1" x14ac:dyDescent="0.3"/>
    <row r="395" hidden="1" x14ac:dyDescent="0.3"/>
    <row r="396" hidden="1" x14ac:dyDescent="0.3"/>
    <row r="397" hidden="1" x14ac:dyDescent="0.3"/>
    <row r="398" hidden="1" x14ac:dyDescent="0.3"/>
    <row r="399" hidden="1" x14ac:dyDescent="0.3"/>
    <row r="400" hidden="1" x14ac:dyDescent="0.3"/>
    <row r="401" hidden="1" x14ac:dyDescent="0.3"/>
    <row r="402" hidden="1" x14ac:dyDescent="0.3"/>
    <row r="403" hidden="1" x14ac:dyDescent="0.3"/>
    <row r="404" hidden="1" x14ac:dyDescent="0.3"/>
    <row r="405" hidden="1" x14ac:dyDescent="0.3"/>
    <row r="406" hidden="1" x14ac:dyDescent="0.3"/>
    <row r="407" hidden="1" x14ac:dyDescent="0.3"/>
    <row r="408" hidden="1" x14ac:dyDescent="0.3"/>
    <row r="409" hidden="1" x14ac:dyDescent="0.3"/>
    <row r="410" hidden="1" x14ac:dyDescent="0.3"/>
    <row r="411" hidden="1" x14ac:dyDescent="0.3"/>
    <row r="412" hidden="1" x14ac:dyDescent="0.3"/>
    <row r="413" hidden="1" x14ac:dyDescent="0.3"/>
    <row r="414" hidden="1" x14ac:dyDescent="0.3"/>
    <row r="415" hidden="1" x14ac:dyDescent="0.3"/>
    <row r="416" hidden="1" x14ac:dyDescent="0.3"/>
    <row r="417" hidden="1" x14ac:dyDescent="0.3"/>
    <row r="418" hidden="1" x14ac:dyDescent="0.3"/>
    <row r="419" hidden="1" x14ac:dyDescent="0.3"/>
    <row r="420" hidden="1" x14ac:dyDescent="0.3"/>
    <row r="421" hidden="1" x14ac:dyDescent="0.3"/>
    <row r="422" hidden="1" x14ac:dyDescent="0.3"/>
    <row r="423" hidden="1" x14ac:dyDescent="0.3"/>
    <row r="424" hidden="1" x14ac:dyDescent="0.3"/>
    <row r="425" hidden="1" x14ac:dyDescent="0.3"/>
    <row r="426" hidden="1" x14ac:dyDescent="0.3"/>
    <row r="427" hidden="1" x14ac:dyDescent="0.3"/>
    <row r="428" hidden="1" x14ac:dyDescent="0.3"/>
    <row r="429" hidden="1" x14ac:dyDescent="0.3"/>
    <row r="430" hidden="1" x14ac:dyDescent="0.3"/>
    <row r="431" hidden="1" x14ac:dyDescent="0.3"/>
    <row r="432" hidden="1" x14ac:dyDescent="0.3"/>
    <row r="433" hidden="1" x14ac:dyDescent="0.3"/>
    <row r="434" hidden="1" x14ac:dyDescent="0.3"/>
    <row r="435" hidden="1" x14ac:dyDescent="0.3"/>
    <row r="436" hidden="1" x14ac:dyDescent="0.3"/>
    <row r="437" hidden="1" x14ac:dyDescent="0.3"/>
    <row r="438" hidden="1" x14ac:dyDescent="0.3"/>
    <row r="439" hidden="1" x14ac:dyDescent="0.3"/>
    <row r="440" hidden="1" x14ac:dyDescent="0.3"/>
    <row r="441" hidden="1" x14ac:dyDescent="0.3"/>
    <row r="442" hidden="1" x14ac:dyDescent="0.3"/>
    <row r="443" hidden="1" x14ac:dyDescent="0.3"/>
    <row r="444" hidden="1" x14ac:dyDescent="0.3"/>
    <row r="445" hidden="1" x14ac:dyDescent="0.3"/>
    <row r="446" hidden="1" x14ac:dyDescent="0.3"/>
    <row r="447" hidden="1" x14ac:dyDescent="0.3"/>
    <row r="448" hidden="1" x14ac:dyDescent="0.3"/>
    <row r="449" hidden="1" x14ac:dyDescent="0.3"/>
    <row r="450" hidden="1" x14ac:dyDescent="0.3"/>
    <row r="451" hidden="1" x14ac:dyDescent="0.3"/>
    <row r="452" hidden="1" x14ac:dyDescent="0.3"/>
    <row r="453" hidden="1" x14ac:dyDescent="0.3"/>
    <row r="454" hidden="1" x14ac:dyDescent="0.3"/>
    <row r="455" hidden="1" x14ac:dyDescent="0.3"/>
    <row r="456" hidden="1" x14ac:dyDescent="0.3"/>
    <row r="457" hidden="1" x14ac:dyDescent="0.3"/>
    <row r="458" hidden="1" x14ac:dyDescent="0.3"/>
    <row r="459" hidden="1" x14ac:dyDescent="0.3"/>
    <row r="460" hidden="1" x14ac:dyDescent="0.3"/>
    <row r="461" hidden="1" x14ac:dyDescent="0.3"/>
    <row r="462" hidden="1" x14ac:dyDescent="0.3"/>
    <row r="463" hidden="1" x14ac:dyDescent="0.3"/>
    <row r="464" hidden="1" x14ac:dyDescent="0.3"/>
    <row r="465" hidden="1" x14ac:dyDescent="0.3"/>
    <row r="466" hidden="1" x14ac:dyDescent="0.3"/>
    <row r="467" hidden="1" x14ac:dyDescent="0.3"/>
    <row r="468" hidden="1" x14ac:dyDescent="0.3"/>
    <row r="469" hidden="1" x14ac:dyDescent="0.3"/>
    <row r="470" hidden="1" x14ac:dyDescent="0.3"/>
    <row r="471" hidden="1" x14ac:dyDescent="0.3"/>
    <row r="472" hidden="1" x14ac:dyDescent="0.3"/>
    <row r="473" hidden="1" x14ac:dyDescent="0.3"/>
    <row r="474" hidden="1" x14ac:dyDescent="0.3"/>
    <row r="475" hidden="1" x14ac:dyDescent="0.3"/>
    <row r="476" hidden="1" x14ac:dyDescent="0.3"/>
    <row r="477" hidden="1" x14ac:dyDescent="0.3"/>
    <row r="478" hidden="1" x14ac:dyDescent="0.3"/>
    <row r="479" hidden="1" x14ac:dyDescent="0.3"/>
    <row r="480" hidden="1" x14ac:dyDescent="0.3"/>
    <row r="481" hidden="1" x14ac:dyDescent="0.3"/>
    <row r="482" hidden="1" x14ac:dyDescent="0.3"/>
    <row r="483" hidden="1" x14ac:dyDescent="0.3"/>
    <row r="484" hidden="1" x14ac:dyDescent="0.3"/>
    <row r="485" hidden="1" x14ac:dyDescent="0.3"/>
    <row r="486" hidden="1" x14ac:dyDescent="0.3"/>
    <row r="487" hidden="1" x14ac:dyDescent="0.3"/>
    <row r="488" hidden="1" x14ac:dyDescent="0.3"/>
    <row r="489" hidden="1" x14ac:dyDescent="0.3"/>
    <row r="490" hidden="1" x14ac:dyDescent="0.3"/>
    <row r="491" hidden="1" x14ac:dyDescent="0.3"/>
    <row r="492" hidden="1" x14ac:dyDescent="0.3"/>
    <row r="493" hidden="1" x14ac:dyDescent="0.3"/>
    <row r="494" hidden="1" x14ac:dyDescent="0.3"/>
    <row r="495" hidden="1" x14ac:dyDescent="0.3"/>
    <row r="496" hidden="1" x14ac:dyDescent="0.3"/>
    <row r="497" hidden="1" x14ac:dyDescent="0.3"/>
    <row r="498" hidden="1" x14ac:dyDescent="0.3"/>
    <row r="499" hidden="1" x14ac:dyDescent="0.3"/>
    <row r="500" hidden="1" x14ac:dyDescent="0.3"/>
    <row r="501" hidden="1" x14ac:dyDescent="0.3"/>
    <row r="502" hidden="1" x14ac:dyDescent="0.3"/>
    <row r="503" hidden="1" x14ac:dyDescent="0.3"/>
    <row r="504" hidden="1" x14ac:dyDescent="0.3"/>
    <row r="505" hidden="1" x14ac:dyDescent="0.3"/>
    <row r="506" hidden="1" x14ac:dyDescent="0.3"/>
    <row r="507" hidden="1" x14ac:dyDescent="0.3"/>
    <row r="508" hidden="1" x14ac:dyDescent="0.3"/>
    <row r="509" hidden="1" x14ac:dyDescent="0.3"/>
    <row r="510" hidden="1" x14ac:dyDescent="0.3"/>
    <row r="511" hidden="1" x14ac:dyDescent="0.3"/>
    <row r="512" hidden="1" x14ac:dyDescent="0.3"/>
    <row r="513" hidden="1" x14ac:dyDescent="0.3"/>
    <row r="514" hidden="1" x14ac:dyDescent="0.3"/>
    <row r="515" hidden="1" x14ac:dyDescent="0.3"/>
    <row r="516" hidden="1" x14ac:dyDescent="0.3"/>
  </sheetData>
  <mergeCells count="2">
    <mergeCell ref="A1:J1"/>
    <mergeCell ref="A2:J2"/>
  </mergeCells>
  <printOptions horizontalCentered="1" gridLines="1"/>
  <pageMargins left="0.7" right="0.7" top="0.75" bottom="0.75" header="0.3" footer="0.3"/>
  <pageSetup scale="79" fitToHeight="26" orientation="portrait" horizontalDpi="4294967292" verticalDpi="300" r:id="rId1"/>
  <headerFooter alignWithMargins="0">
    <oddHeader>&amp;L&amp;"Times New Roman,Regular"&amp;11CUECost - Air Pollution Control Systems Economics Spreadsheet</oddHeader>
    <oddFooter>&amp;L&amp;"Times New Roman,Regular"&amp;9&amp;A&amp;C&amp;"Times New Roman,Regular"&amp;11&amp;P&amp;R&amp;"Times New Roman,Regular"&amp;9&amp;D, &amp;T</oddFooter>
  </headerFooter>
  <rowBreaks count="2" manualBreakCount="2">
    <brk id="52" max="9" man="1"/>
    <brk id="110" max="9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4" name="Button 14">
              <controlPr defaultSize="0" print="0" autoFill="0" autoLine="0" autoPict="0" macro="[0]!GoTo_APC">
                <anchor moveWithCells="1" sizeWithCells="1">
                  <from>
                    <xdr:col>0</xdr:col>
                    <xdr:colOff>101600</xdr:colOff>
                    <xdr:row>11</xdr:row>
                    <xdr:rowOff>6350</xdr:rowOff>
                  </from>
                  <to>
                    <xdr:col>1</xdr:col>
                    <xdr:colOff>266700</xdr:colOff>
                    <xdr:row>12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Button 16">
              <controlPr defaultSize="0" print="0" autoFill="0" autoLine="0" autoPict="0" macro="[0]!GoTo_GenPlantInputs">
                <anchor moveWithCells="1" sizeWithCells="1">
                  <from>
                    <xdr:col>0</xdr:col>
                    <xdr:colOff>101600</xdr:colOff>
                    <xdr:row>12</xdr:row>
                    <xdr:rowOff>69850</xdr:rowOff>
                  </from>
                  <to>
                    <xdr:col>1</xdr:col>
                    <xdr:colOff>254000</xdr:colOff>
                    <xdr:row>13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Button 17">
              <controlPr defaultSize="0" print="0" autoFill="0" autoLine="0" autoPict="0" macro="[0]!GoTo_EconInputs">
                <anchor moveWithCells="1" sizeWithCells="1">
                  <from>
                    <xdr:col>0</xdr:col>
                    <xdr:colOff>76200</xdr:colOff>
                    <xdr:row>13</xdr:row>
                    <xdr:rowOff>107950</xdr:rowOff>
                  </from>
                  <to>
                    <xdr:col>1</xdr:col>
                    <xdr:colOff>234950</xdr:colOff>
                    <xdr:row>14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Button 18">
              <controlPr defaultSize="0" print="0" autoFill="0" autoLine="0" autoPict="0" macro="[0]!GoTo_LSFOInputs">
                <anchor moveWithCells="1" sizeWithCells="1">
                  <from>
                    <xdr:col>0</xdr:col>
                    <xdr:colOff>76200</xdr:colOff>
                    <xdr:row>14</xdr:row>
                    <xdr:rowOff>146050</xdr:rowOff>
                  </from>
                  <to>
                    <xdr:col>1</xdr:col>
                    <xdr:colOff>254000</xdr:colOff>
                    <xdr:row>15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Button 19">
              <controlPr defaultSize="0" print="0" autoFill="0" autoLine="0" autoPict="0" macro="[0]!GoTo_LSDInputs">
                <anchor moveWithCells="1" sizeWithCells="1">
                  <from>
                    <xdr:col>0</xdr:col>
                    <xdr:colOff>76200</xdr:colOff>
                    <xdr:row>16</xdr:row>
                    <xdr:rowOff>0</xdr:rowOff>
                  </from>
                  <to>
                    <xdr:col>1</xdr:col>
                    <xdr:colOff>234950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Button 20">
              <controlPr defaultSize="0" print="0" autoFill="0" autoLine="0" autoPict="0" macro="[0]!GoTo_ParticInputs">
                <anchor moveWithCells="1" sizeWithCells="1">
                  <from>
                    <xdr:col>0</xdr:col>
                    <xdr:colOff>69850</xdr:colOff>
                    <xdr:row>17</xdr:row>
                    <xdr:rowOff>44450</xdr:rowOff>
                  </from>
                  <to>
                    <xdr:col>1</xdr:col>
                    <xdr:colOff>234950</xdr:colOff>
                    <xdr:row>18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Button 21">
              <controlPr defaultSize="0" print="0" autoFill="0" autoLine="0" autoPict="0" macro="[0]!GoTo_NOxInputs">
                <anchor moveWithCells="1" sizeWithCells="1">
                  <from>
                    <xdr:col>0</xdr:col>
                    <xdr:colOff>69850</xdr:colOff>
                    <xdr:row>18</xdr:row>
                    <xdr:rowOff>107950</xdr:rowOff>
                  </from>
                  <to>
                    <xdr:col>1</xdr:col>
                    <xdr:colOff>254000</xdr:colOff>
                    <xdr:row>19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1" name="Button 23">
              <controlPr defaultSize="0" print="0" autoFill="0" autoLine="0" autoPict="0" macro="[0]!GoTo_CostSummary">
                <anchor moveWithCells="1" sizeWithCells="1">
                  <from>
                    <xdr:col>0</xdr:col>
                    <xdr:colOff>69850</xdr:colOff>
                    <xdr:row>21</xdr:row>
                    <xdr:rowOff>107950</xdr:rowOff>
                  </from>
                  <to>
                    <xdr:col>1</xdr:col>
                    <xdr:colOff>254000</xdr:colOff>
                    <xdr:row>22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2" name="Button 24">
              <controlPr defaultSize="0" print="0" autoFill="0" autoLine="0" autoPict="0" macro="[0]!GoTo_SCR_Calcs">
                <anchor moveWithCells="1" sizeWithCells="1">
                  <from>
                    <xdr:col>0</xdr:col>
                    <xdr:colOff>69850</xdr:colOff>
                    <xdr:row>22</xdr:row>
                    <xdr:rowOff>177800</xdr:rowOff>
                  </from>
                  <to>
                    <xdr:col>1</xdr:col>
                    <xdr:colOff>254000</xdr:colOff>
                    <xdr:row>23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3" name="Button 25">
              <controlPr defaultSize="0" print="0" autoFill="0" autoLine="0" autoPict="0" macro="[0]!GoTo_SNCR_Calcs">
                <anchor moveWithCells="1" sizeWithCells="1">
                  <from>
                    <xdr:col>0</xdr:col>
                    <xdr:colOff>69850</xdr:colOff>
                    <xdr:row>24</xdr:row>
                    <xdr:rowOff>38100</xdr:rowOff>
                  </from>
                  <to>
                    <xdr:col>1</xdr:col>
                    <xdr:colOff>254000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4" name="Button 26">
              <controlPr defaultSize="0" print="0" autoFill="0" autoLine="0" autoPict="0" macro="[0]!GoTo_LNB_Calcs">
                <anchor moveWithCells="1" sizeWithCells="1">
                  <from>
                    <xdr:col>0</xdr:col>
                    <xdr:colOff>69850</xdr:colOff>
                    <xdr:row>25</xdr:row>
                    <xdr:rowOff>101600</xdr:rowOff>
                  </from>
                  <to>
                    <xdr:col>1</xdr:col>
                    <xdr:colOff>254000</xdr:colOff>
                    <xdr:row>26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5" name="Button 27">
              <controlPr defaultSize="0" print="0" autoFill="0" autoLine="0" autoPict="0" macro="[0]!GoTo_NGR_Calcs">
                <anchor moveWithCells="1" sizeWithCells="1">
                  <from>
                    <xdr:col>0</xdr:col>
                    <xdr:colOff>69850</xdr:colOff>
                    <xdr:row>26</xdr:row>
                    <xdr:rowOff>158750</xdr:rowOff>
                  </from>
                  <to>
                    <xdr:col>1</xdr:col>
                    <xdr:colOff>254000</xdr:colOff>
                    <xdr:row>27</xdr:row>
                    <xdr:rowOff>158750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6" name="Button 28">
              <controlPr defaultSize="0" print="0" autoFill="0" autoLine="0" autoPict="0" macro="[0]!GoTo_LSFO_MB">
                <anchor moveWithCells="1" sizeWithCells="1">
                  <from>
                    <xdr:col>0</xdr:col>
                    <xdr:colOff>69850</xdr:colOff>
                    <xdr:row>28</xdr:row>
                    <xdr:rowOff>25400</xdr:rowOff>
                  </from>
                  <to>
                    <xdr:col>1</xdr:col>
                    <xdr:colOff>254000</xdr:colOff>
                    <xdr:row>29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7" name="Button 29">
              <controlPr defaultSize="0" print="0" autoFill="0" autoLine="0" autoPict="0" macro="[0]!GoTo_LSFO_Costs">
                <anchor moveWithCells="1" sizeWithCells="1">
                  <from>
                    <xdr:col>0</xdr:col>
                    <xdr:colOff>69850</xdr:colOff>
                    <xdr:row>29</xdr:row>
                    <xdr:rowOff>76200</xdr:rowOff>
                  </from>
                  <to>
                    <xdr:col>1</xdr:col>
                    <xdr:colOff>254000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8" name="Button 30">
              <controlPr defaultSize="0" print="0" autoFill="0" autoLine="0" autoPict="0" macro="[0]!GoTo_LSD_MB">
                <anchor moveWithCells="1" sizeWithCells="1">
                  <from>
                    <xdr:col>0</xdr:col>
                    <xdr:colOff>63500</xdr:colOff>
                    <xdr:row>30</xdr:row>
                    <xdr:rowOff>146050</xdr:rowOff>
                  </from>
                  <to>
                    <xdr:col>1</xdr:col>
                    <xdr:colOff>234950</xdr:colOff>
                    <xdr:row>31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9" name="Button 31">
              <controlPr defaultSize="0" print="0" autoFill="0" autoLine="0" autoPict="0" macro="[0]!GoTo_LSD_Costs">
                <anchor moveWithCells="1" sizeWithCells="1">
                  <from>
                    <xdr:col>0</xdr:col>
                    <xdr:colOff>63500</xdr:colOff>
                    <xdr:row>32</xdr:row>
                    <xdr:rowOff>25400</xdr:rowOff>
                  </from>
                  <to>
                    <xdr:col>1</xdr:col>
                    <xdr:colOff>234950</xdr:colOff>
                    <xdr:row>33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0" name="Button 32">
              <controlPr defaultSize="0" print="0" autoFill="0" autoLine="0" autoPict="0" macro="[0]!GoTo_FF_Calcs">
                <anchor moveWithCells="1" sizeWithCells="1">
                  <from>
                    <xdr:col>0</xdr:col>
                    <xdr:colOff>44450</xdr:colOff>
                    <xdr:row>33</xdr:row>
                    <xdr:rowOff>101600</xdr:rowOff>
                  </from>
                  <to>
                    <xdr:col>1</xdr:col>
                    <xdr:colOff>222250</xdr:colOff>
                    <xdr:row>34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1" name="Button 33">
              <controlPr defaultSize="0" print="0" autoFill="0" autoLine="0" autoPict="0" macro="[0]!GoTo_ESP_Calcs">
                <anchor moveWithCells="1" sizeWithCells="1">
                  <from>
                    <xdr:col>0</xdr:col>
                    <xdr:colOff>38100</xdr:colOff>
                    <xdr:row>34</xdr:row>
                    <xdr:rowOff>177800</xdr:rowOff>
                  </from>
                  <to>
                    <xdr:col>1</xdr:col>
                    <xdr:colOff>215900</xdr:colOff>
                    <xdr:row>35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2" name="Button 34">
              <controlPr defaultSize="0" print="0" autoFill="0" autoLine="0" autoPict="0" macro="[0]!GoTo_Combustion">
                <anchor moveWithCells="1" sizeWithCells="1">
                  <from>
                    <xdr:col>0</xdr:col>
                    <xdr:colOff>38100</xdr:colOff>
                    <xdr:row>36</xdr:row>
                    <xdr:rowOff>38100</xdr:rowOff>
                  </from>
                  <to>
                    <xdr:col>1</xdr:col>
                    <xdr:colOff>215900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3" name="Button 35">
              <controlPr defaultSize="0" print="0" autoFill="0" autoLine="0" autoPict="0" macro="[0]!GoTo_Coal_Library">
                <anchor moveWithCells="1" sizeWithCells="1">
                  <from>
                    <xdr:col>0</xdr:col>
                    <xdr:colOff>44450</xdr:colOff>
                    <xdr:row>37</xdr:row>
                    <xdr:rowOff>114300</xdr:rowOff>
                  </from>
                  <to>
                    <xdr:col>1</xdr:col>
                    <xdr:colOff>222250</xdr:colOff>
                    <xdr:row>38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4" name="Button 36">
              <controlPr defaultSize="0" print="0" autoFill="0" autoLine="0" autoPict="0" macro="[0]!Print_CostSummary">
                <anchor moveWithCells="1" sizeWithCells="1">
                  <from>
                    <xdr:col>3</xdr:col>
                    <xdr:colOff>44450</xdr:colOff>
                    <xdr:row>10</xdr:row>
                    <xdr:rowOff>69850</xdr:rowOff>
                  </from>
                  <to>
                    <xdr:col>5</xdr:col>
                    <xdr:colOff>0</xdr:colOff>
                    <xdr:row>11</xdr:row>
                    <xdr:rowOff>158750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5" name="Button 37">
              <controlPr defaultSize="0" print="0" autoFill="0" autoLine="0" autoPict="0" macro="[0]!Print_InputSummary">
                <anchor moveWithCells="1" sizeWithCells="1">
                  <from>
                    <xdr:col>3</xdr:col>
                    <xdr:colOff>38100</xdr:colOff>
                    <xdr:row>12</xdr:row>
                    <xdr:rowOff>82550</xdr:rowOff>
                  </from>
                  <to>
                    <xdr:col>5</xdr:col>
                    <xdr:colOff>0</xdr:colOff>
                    <xdr:row>14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6" name="Button 38">
              <controlPr defaultSize="0" print="0" autoFill="0" autoLine="0" autoPict="0" macro="[0]!Print_NOx_Calcs">
                <anchor moveWithCells="1" sizeWithCells="1">
                  <from>
                    <xdr:col>3</xdr:col>
                    <xdr:colOff>31750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7" name="Button 39">
              <controlPr defaultSize="0" print="0" autoFill="0" autoLine="0" autoPict="0" macro="[0]!Print_Particulate_Calcs">
                <anchor moveWithCells="1" sizeWithCells="1">
                  <from>
                    <xdr:col>3</xdr:col>
                    <xdr:colOff>31750</xdr:colOff>
                    <xdr:row>17</xdr:row>
                    <xdr:rowOff>120650</xdr:rowOff>
                  </from>
                  <to>
                    <xdr:col>5</xdr:col>
                    <xdr:colOff>0</xdr:colOff>
                    <xdr:row>19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8" name="Button 40">
              <controlPr defaultSize="0" print="0" autoFill="0" autoLine="0" autoPict="0" macro="[0]!Print_LSFO_Calcs">
                <anchor moveWithCells="1" sizeWithCells="1">
                  <from>
                    <xdr:col>3</xdr:col>
                    <xdr:colOff>31750</xdr:colOff>
                    <xdr:row>20</xdr:row>
                    <xdr:rowOff>44450</xdr:rowOff>
                  </from>
                  <to>
                    <xdr:col>5</xdr:col>
                    <xdr:colOff>0</xdr:colOff>
                    <xdr:row>21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9" name="Button 41">
              <controlPr defaultSize="0" print="0" autoFill="0" autoLine="0" autoPict="0" macro="[0]!Print_LSD_Calcs">
                <anchor moveWithCells="1" sizeWithCells="1">
                  <from>
                    <xdr:col>3</xdr:col>
                    <xdr:colOff>31750</xdr:colOff>
                    <xdr:row>22</xdr:row>
                    <xdr:rowOff>114300</xdr:rowOff>
                  </from>
                  <to>
                    <xdr:col>5</xdr:col>
                    <xdr:colOff>0</xdr:colOff>
                    <xdr:row>24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0" name="Button 42">
              <controlPr defaultSize="0" print="0" autoFill="0" autoLine="0" autoPict="0" macro="[0]!Print_Combustion">
                <anchor moveWithCells="1" sizeWithCells="1">
                  <from>
                    <xdr:col>3</xdr:col>
                    <xdr:colOff>44450</xdr:colOff>
                    <xdr:row>25</xdr:row>
                    <xdr:rowOff>6350</xdr:rowOff>
                  </from>
                  <to>
                    <xdr:col>5</xdr:col>
                    <xdr:colOff>0</xdr:colOff>
                    <xdr:row>26</xdr:row>
                    <xdr:rowOff>146050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1" name="Button 43">
              <controlPr defaultSize="0" print="0" autoFill="0" autoLine="0" autoPict="0" macro="[0]!Print_Coal_Library">
                <anchor moveWithCells="1" sizeWithCells="1">
                  <from>
                    <xdr:col>3</xdr:col>
                    <xdr:colOff>44450</xdr:colOff>
                    <xdr:row>27</xdr:row>
                    <xdr:rowOff>82550</xdr:rowOff>
                  </from>
                  <to>
                    <xdr:col>5</xdr:col>
                    <xdr:colOff>0</xdr:colOff>
                    <xdr:row>29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2" name="Button 44">
              <controlPr defaultSize="0" print="0" autoFill="0" autoLine="0" autoPict="0" macro="[0]!Print_ALL">
                <anchor moveWithCells="1" sizeWithCells="1">
                  <from>
                    <xdr:col>3</xdr:col>
                    <xdr:colOff>76200</xdr:colOff>
                    <xdr:row>29</xdr:row>
                    <xdr:rowOff>184150</xdr:rowOff>
                  </from>
                  <to>
                    <xdr:col>5</xdr:col>
                    <xdr:colOff>0</xdr:colOff>
                    <xdr:row>31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08"/>
  <sheetViews>
    <sheetView topLeftCell="A362" zoomScale="75" zoomScaleNormal="75" zoomScaleSheetLayoutView="55" workbookViewId="0">
      <selection activeCell="A161" sqref="A161"/>
    </sheetView>
  </sheetViews>
  <sheetFormatPr defaultColWidth="9.08984375" defaultRowHeight="13" x14ac:dyDescent="0.3"/>
  <cols>
    <col min="1" max="1" width="47.453125" style="385" customWidth="1"/>
    <col min="2" max="2" width="24.6328125" style="385" bestFit="1" customWidth="1"/>
    <col min="3" max="3" width="18.81640625" style="385" bestFit="1" customWidth="1"/>
    <col min="4" max="4" width="18.81640625" style="385" hidden="1" customWidth="1"/>
    <col min="5" max="5" width="16.08984375" style="385" hidden="1" customWidth="1"/>
    <col min="6" max="7" width="16.54296875" style="385" hidden="1" customWidth="1"/>
    <col min="8" max="16384" width="9.08984375" style="385"/>
  </cols>
  <sheetData>
    <row r="1" spans="1:13" ht="17.399999999999999" customHeight="1" x14ac:dyDescent="1">
      <c r="A1" s="528" t="s">
        <v>0</v>
      </c>
      <c r="B1" s="529"/>
      <c r="C1" s="530"/>
      <c r="D1" s="383"/>
      <c r="E1" s="383"/>
      <c r="F1" s="383"/>
      <c r="G1" s="383"/>
      <c r="H1" s="383"/>
      <c r="I1" s="383"/>
      <c r="J1" s="383"/>
      <c r="K1" s="383"/>
      <c r="L1" s="384"/>
    </row>
    <row r="2" spans="1:13" ht="18" customHeight="1" x14ac:dyDescent="0.6">
      <c r="A2" s="531" t="s">
        <v>1</v>
      </c>
      <c r="B2" s="532"/>
      <c r="C2" s="533"/>
      <c r="D2" s="386"/>
      <c r="E2" s="386"/>
      <c r="F2" s="386"/>
      <c r="G2" s="386"/>
      <c r="H2" s="386"/>
      <c r="I2" s="386"/>
      <c r="J2" s="386"/>
      <c r="K2" s="386"/>
      <c r="L2" s="387"/>
      <c r="M2" s="388"/>
    </row>
    <row r="3" spans="1:13" ht="9.65" customHeight="1" x14ac:dyDescent="0.6">
      <c r="A3" s="507"/>
      <c r="B3" s="508"/>
      <c r="C3" s="509"/>
      <c r="D3" s="389"/>
      <c r="E3" s="389"/>
      <c r="F3" s="389"/>
      <c r="G3" s="389"/>
      <c r="H3" s="389"/>
      <c r="I3" s="389"/>
      <c r="J3" s="387"/>
      <c r="K3" s="387"/>
      <c r="L3" s="387"/>
      <c r="M3" s="388"/>
    </row>
    <row r="4" spans="1:13" s="393" customFormat="1" ht="18.649999999999999" customHeight="1" x14ac:dyDescent="0.55000000000000004">
      <c r="A4" s="534" t="s">
        <v>2</v>
      </c>
      <c r="B4" s="535"/>
      <c r="C4" s="536"/>
      <c r="D4" s="390"/>
      <c r="E4" s="390"/>
      <c r="F4" s="390"/>
      <c r="G4" s="390"/>
      <c r="H4" s="390"/>
      <c r="I4" s="390"/>
      <c r="J4" s="390"/>
      <c r="K4" s="390"/>
      <c r="L4" s="391"/>
      <c r="M4" s="392"/>
    </row>
    <row r="5" spans="1:13" ht="13.5" thickBot="1" x14ac:dyDescent="0.35">
      <c r="A5" s="510"/>
      <c r="B5" s="511"/>
      <c r="C5" s="512"/>
    </row>
    <row r="6" spans="1:13" ht="21.5" hidden="1" thickBot="1" x14ac:dyDescent="0.55000000000000004">
      <c r="A6" s="465" t="s">
        <v>10</v>
      </c>
      <c r="B6" s="394"/>
      <c r="C6" s="513"/>
      <c r="D6" s="394"/>
      <c r="E6" s="394"/>
      <c r="F6" s="394"/>
      <c r="G6" s="394"/>
    </row>
    <row r="7" spans="1:13" hidden="1" x14ac:dyDescent="0.3">
      <c r="A7" s="466"/>
      <c r="B7" s="395"/>
      <c r="C7" s="467"/>
      <c r="D7" s="395"/>
      <c r="E7" s="395"/>
      <c r="F7" s="395"/>
      <c r="G7" s="395"/>
    </row>
    <row r="8" spans="1:13" ht="13.5" hidden="1" thickBot="1" x14ac:dyDescent="0.35">
      <c r="A8" s="468" t="s">
        <v>14</v>
      </c>
      <c r="B8" s="396" t="s">
        <v>15</v>
      </c>
      <c r="C8" s="469" t="s">
        <v>18</v>
      </c>
      <c r="D8" s="396" t="s">
        <v>19</v>
      </c>
      <c r="E8" s="396" t="s">
        <v>20</v>
      </c>
      <c r="F8" s="396" t="s">
        <v>21</v>
      </c>
      <c r="G8" s="396" t="s">
        <v>22</v>
      </c>
    </row>
    <row r="9" spans="1:13" hidden="1" x14ac:dyDescent="0.3">
      <c r="A9" s="470"/>
      <c r="B9" s="477"/>
      <c r="C9" s="471"/>
    </row>
    <row r="10" spans="1:13" hidden="1" x14ac:dyDescent="0.3">
      <c r="A10" s="470" t="s">
        <v>23</v>
      </c>
      <c r="B10" s="404" t="s">
        <v>24</v>
      </c>
      <c r="C10" s="473">
        <f>IF('User Input Sheet'!E45="D",Def_FGD,'User Input Sheet'!E45)</f>
        <v>1</v>
      </c>
      <c r="D10" s="397">
        <f>IF('User Input Sheet'!F45="D",Def_FGD,'User Input Sheet'!F45)</f>
        <v>2</v>
      </c>
      <c r="E10" s="397">
        <f>IF('User Input Sheet'!G45="D",Def_FGD,'User Input Sheet'!G45)</f>
        <v>2</v>
      </c>
      <c r="F10" s="397">
        <f>IF('User Input Sheet'!H45="D",Def_FGD,'User Input Sheet'!H45)</f>
        <v>2</v>
      </c>
      <c r="G10" s="397">
        <f>IF('User Input Sheet'!I45="D",Def_FGD,'User Input Sheet'!I45)</f>
        <v>1</v>
      </c>
    </row>
    <row r="11" spans="1:13" hidden="1" x14ac:dyDescent="0.3">
      <c r="A11" s="470" t="s">
        <v>26</v>
      </c>
      <c r="B11" s="477"/>
      <c r="C11" s="471"/>
    </row>
    <row r="12" spans="1:13" hidden="1" x14ac:dyDescent="0.3">
      <c r="A12" s="470" t="s">
        <v>27</v>
      </c>
      <c r="B12" s="404" t="s">
        <v>24</v>
      </c>
      <c r="C12" s="473">
        <f>IF('User Input Sheet'!E47="D",Def_PartControl,'User Input Sheet'!E47)</f>
        <v>1</v>
      </c>
      <c r="D12" s="397">
        <f>IF('User Input Sheet'!F47="D",Def_PartControl,'User Input Sheet'!F47)</f>
        <v>1</v>
      </c>
      <c r="E12" s="397">
        <f>IF('User Input Sheet'!G47="D",Def_PartControl,'User Input Sheet'!G47)</f>
        <v>1</v>
      </c>
      <c r="F12" s="397">
        <f>IF('User Input Sheet'!H47="D",Def_PartControl,'User Input Sheet'!H47)</f>
        <v>1</v>
      </c>
      <c r="G12" s="397">
        <f>IF('User Input Sheet'!I47="D",Def_PartControl,'User Input Sheet'!I47)</f>
        <v>1</v>
      </c>
    </row>
    <row r="13" spans="1:13" hidden="1" x14ac:dyDescent="0.3">
      <c r="A13" s="470" t="s">
        <v>28</v>
      </c>
      <c r="B13" s="477"/>
      <c r="C13" s="471"/>
    </row>
    <row r="14" spans="1:13" hidden="1" x14ac:dyDescent="0.3">
      <c r="A14" s="470" t="s">
        <v>29</v>
      </c>
      <c r="B14" s="404" t="s">
        <v>24</v>
      </c>
      <c r="C14" s="473">
        <f>IF('User Input Sheet'!E49="D",Def_NOx,'User Input Sheet'!E49)</f>
        <v>1</v>
      </c>
      <c r="D14" s="397">
        <f>IF('User Input Sheet'!F49="D",Def_NOx,'User Input Sheet'!F49)</f>
        <v>1</v>
      </c>
      <c r="E14" s="397">
        <f>IF('User Input Sheet'!G49="D",Def_NOx,'User Input Sheet'!G49)</f>
        <v>2</v>
      </c>
      <c r="F14" s="397">
        <f>IF('User Input Sheet'!H49="D",Def_NOx,'User Input Sheet'!H49)</f>
        <v>2</v>
      </c>
      <c r="G14" s="397">
        <f>IF('User Input Sheet'!I49="D",Def_NOx,'User Input Sheet'!I49)</f>
        <v>3</v>
      </c>
    </row>
    <row r="15" spans="1:13" hidden="1" x14ac:dyDescent="0.3">
      <c r="A15" s="470" t="s">
        <v>31</v>
      </c>
      <c r="B15" s="404"/>
      <c r="C15" s="473"/>
      <c r="D15" s="397"/>
      <c r="E15" s="397"/>
      <c r="F15" s="397"/>
      <c r="G15" s="397"/>
    </row>
    <row r="16" spans="1:13" ht="13.5" hidden="1" thickBot="1" x14ac:dyDescent="0.35">
      <c r="A16" s="476"/>
      <c r="B16" s="398"/>
      <c r="C16" s="514"/>
      <c r="D16" s="398"/>
      <c r="E16" s="398"/>
      <c r="F16" s="398"/>
      <c r="G16" s="398"/>
    </row>
    <row r="17" spans="1:7" ht="13.5" hidden="1" thickBot="1" x14ac:dyDescent="0.35">
      <c r="A17" s="470"/>
      <c r="B17" s="477"/>
      <c r="C17" s="471"/>
    </row>
    <row r="18" spans="1:7" ht="21.5" thickBot="1" x14ac:dyDescent="0.55000000000000004">
      <c r="A18" s="465" t="s">
        <v>32</v>
      </c>
      <c r="B18" s="394"/>
      <c r="C18" s="513"/>
      <c r="D18" s="394"/>
      <c r="E18" s="394"/>
      <c r="F18" s="394"/>
      <c r="G18" s="394"/>
    </row>
    <row r="19" spans="1:7" x14ac:dyDescent="0.3">
      <c r="A19" s="466"/>
      <c r="B19" s="395"/>
      <c r="C19" s="467"/>
      <c r="D19" s="395"/>
      <c r="E19" s="395"/>
      <c r="F19" s="395"/>
      <c r="G19" s="395"/>
    </row>
    <row r="20" spans="1:7" ht="13.5" thickBot="1" x14ac:dyDescent="0.35">
      <c r="A20" s="468" t="s">
        <v>14</v>
      </c>
      <c r="B20" s="396" t="s">
        <v>15</v>
      </c>
      <c r="C20" s="469" t="s">
        <v>18</v>
      </c>
      <c r="D20" s="396" t="s">
        <v>19</v>
      </c>
      <c r="E20" s="396" t="s">
        <v>20</v>
      </c>
      <c r="F20" s="396" t="s">
        <v>21</v>
      </c>
      <c r="G20" s="396" t="s">
        <v>22</v>
      </c>
    </row>
    <row r="21" spans="1:7" x14ac:dyDescent="0.3">
      <c r="A21" s="470"/>
      <c r="B21" s="477"/>
      <c r="C21" s="471"/>
    </row>
    <row r="22" spans="1:7" ht="16" x14ac:dyDescent="0.4">
      <c r="A22" s="472" t="s">
        <v>33</v>
      </c>
      <c r="B22" s="477"/>
      <c r="C22" s="471"/>
      <c r="D22" s="400" t="s">
        <v>1167</v>
      </c>
      <c r="E22" s="400" t="s">
        <v>1169</v>
      </c>
      <c r="F22" s="400" t="s">
        <v>1168</v>
      </c>
      <c r="G22" s="400" t="s">
        <v>1168</v>
      </c>
    </row>
    <row r="23" spans="1:7" x14ac:dyDescent="0.3">
      <c r="A23" s="470"/>
      <c r="B23" s="477"/>
      <c r="C23" s="471"/>
    </row>
    <row r="24" spans="1:7" x14ac:dyDescent="0.3">
      <c r="A24" s="470" t="s">
        <v>34</v>
      </c>
      <c r="B24" s="404" t="s">
        <v>35</v>
      </c>
      <c r="C24" s="473" t="str">
        <f>IF('User Input Sheet'!E59="D",Def_State,'User Input Sheet'!E59)</f>
        <v>AK</v>
      </c>
      <c r="D24" s="397" t="str">
        <f>IF('User Input Sheet'!F59="D",Def_State,'User Input Sheet'!F59)</f>
        <v>AK</v>
      </c>
      <c r="E24" s="397" t="str">
        <f>IF('User Input Sheet'!G59="D",Def_State,'User Input Sheet'!G59)</f>
        <v>AK</v>
      </c>
      <c r="F24" s="397" t="str">
        <f>IF('User Input Sheet'!H59="D",Def_State,'User Input Sheet'!H59)</f>
        <v>AK</v>
      </c>
      <c r="G24" s="397" t="str">
        <f>IF('User Input Sheet'!I59="D",Def_State,'User Input Sheet'!I59)</f>
        <v>AK</v>
      </c>
    </row>
    <row r="25" spans="1:7" x14ac:dyDescent="0.3">
      <c r="A25" s="470" t="s">
        <v>38</v>
      </c>
      <c r="B25" s="404" t="s">
        <v>39</v>
      </c>
      <c r="C25" s="515">
        <f>IF('User Input Sheet'!E60="D",Def_MW,'User Input Sheet'!E60)</f>
        <v>150</v>
      </c>
      <c r="D25" s="401">
        <f>IF('User Input Sheet'!F60="D",Def_MW,'User Input Sheet'!F60)</f>
        <v>150</v>
      </c>
      <c r="E25" s="401">
        <f>IF('User Input Sheet'!G60="D",Def_MW,'User Input Sheet'!G60)</f>
        <v>79</v>
      </c>
      <c r="F25" s="401">
        <f>IF('User Input Sheet'!H60="D",Def_MW,'User Input Sheet'!H60)</f>
        <v>22</v>
      </c>
      <c r="G25" s="401">
        <f>IF('User Input Sheet'!I60="D",Def_MW,'User Input Sheet'!I60)</f>
        <v>22</v>
      </c>
    </row>
    <row r="26" spans="1:7" x14ac:dyDescent="0.3">
      <c r="A26" s="470" t="s">
        <v>294</v>
      </c>
      <c r="B26" s="404" t="s">
        <v>43</v>
      </c>
      <c r="C26" s="516">
        <f>IF('User Input Sheet'!E61="D",Def_NPHR,'User Input Sheet'!E61)</f>
        <v>11833</v>
      </c>
      <c r="D26" s="402">
        <f>IF('User Input Sheet'!F61="D",Def_NPHR,'User Input Sheet'!F61)</f>
        <v>11833</v>
      </c>
      <c r="E26" s="402">
        <f>IF('User Input Sheet'!G61="D",Def_NPHR,'User Input Sheet'!G61)</f>
        <v>11833</v>
      </c>
      <c r="F26" s="402">
        <f>IF('User Input Sheet'!H61="D",Def_NPHR,'User Input Sheet'!H61)</f>
        <v>11833</v>
      </c>
      <c r="G26" s="402">
        <f>IF('User Input Sheet'!I61="D",Def_NPHR,'User Input Sheet'!I61)</f>
        <v>11833</v>
      </c>
    </row>
    <row r="27" spans="1:7" x14ac:dyDescent="0.3">
      <c r="A27" s="470" t="s">
        <v>44</v>
      </c>
      <c r="B27" s="404" t="s">
        <v>45</v>
      </c>
      <c r="C27" s="505">
        <f>IF('User Input Sheet'!E62="D",Def_CapFact,'User Input Sheet'!E62)</f>
        <v>0.65</v>
      </c>
      <c r="D27" s="403">
        <f>IF('User Input Sheet'!F62="D",Def_CapFact,'User Input Sheet'!F62)</f>
        <v>0.65</v>
      </c>
      <c r="E27" s="403">
        <f>IF('User Input Sheet'!G62="D",Def_CapFact,'User Input Sheet'!G62)</f>
        <v>0.65</v>
      </c>
      <c r="F27" s="403">
        <f>IF('User Input Sheet'!H62="D",Def_CapFact,'User Input Sheet'!H62)</f>
        <v>0.65</v>
      </c>
      <c r="G27" s="403">
        <f>IF('User Input Sheet'!I62="D",Def_CapFact,'User Input Sheet'!I62)</f>
        <v>0.65</v>
      </c>
    </row>
    <row r="28" spans="1:7" x14ac:dyDescent="0.3">
      <c r="A28" s="470" t="s">
        <v>295</v>
      </c>
      <c r="B28" s="404" t="s">
        <v>45</v>
      </c>
      <c r="C28" s="505">
        <f>IF('User Input Sheet'!E63="D",Def_TotAir,'User Input Sheet'!E63)</f>
        <v>1.2</v>
      </c>
      <c r="D28" s="403">
        <f>IF('User Input Sheet'!F63="D",Def_TotAir,'User Input Sheet'!F63)</f>
        <v>1.2</v>
      </c>
      <c r="E28" s="403">
        <f>IF('User Input Sheet'!G63="D",Def_TotAir,'User Input Sheet'!G63)</f>
        <v>1.2</v>
      </c>
      <c r="F28" s="403">
        <f>IF('User Input Sheet'!H63="D",Def_TotAir,'User Input Sheet'!H63)</f>
        <v>1.2</v>
      </c>
      <c r="G28" s="403">
        <f>IF('User Input Sheet'!I63="D",Def_TotAir,'User Input Sheet'!I63)</f>
        <v>1.2</v>
      </c>
    </row>
    <row r="29" spans="1:7" x14ac:dyDescent="0.3">
      <c r="A29" s="470" t="s">
        <v>296</v>
      </c>
      <c r="B29" s="404" t="s">
        <v>45</v>
      </c>
      <c r="C29" s="505">
        <f>IF('User Input Sheet'!E64="D",Def_AHLeak,'User Input Sheet'!E64)</f>
        <v>0.12</v>
      </c>
      <c r="D29" s="403">
        <f>IF('User Input Sheet'!F64="D",Def_AHLeak,'User Input Sheet'!F64)</f>
        <v>0.12</v>
      </c>
      <c r="E29" s="403">
        <f>IF('User Input Sheet'!G64="D",Def_AHLeak,'User Input Sheet'!G64)</f>
        <v>0.12</v>
      </c>
      <c r="F29" s="403">
        <f>IF('User Input Sheet'!H64="D",Def_AHLeak,'User Input Sheet'!H64)</f>
        <v>0.12</v>
      </c>
      <c r="G29" s="403">
        <f>IF('User Input Sheet'!I64="D",Def_AHLeak,'User Input Sheet'!I64)</f>
        <v>0.12</v>
      </c>
    </row>
    <row r="30" spans="1:7" x14ac:dyDescent="0.3">
      <c r="A30" s="470" t="s">
        <v>50</v>
      </c>
      <c r="B30" s="404" t="s">
        <v>51</v>
      </c>
      <c r="C30" s="473">
        <f>IF('User Input Sheet'!E65="D",Def_AHOutTemp,'User Input Sheet'!E65)</f>
        <v>300</v>
      </c>
      <c r="D30" s="397">
        <f>IF('User Input Sheet'!F65="D",Def_AHOutTemp,'User Input Sheet'!F65)</f>
        <v>300</v>
      </c>
      <c r="E30" s="397">
        <f>IF('User Input Sheet'!G65="D",Def_AHOutTemp,'User Input Sheet'!G65)</f>
        <v>300</v>
      </c>
      <c r="F30" s="397">
        <f>IF('User Input Sheet'!H65="D",Def_AHOutTemp,'User Input Sheet'!H65)</f>
        <v>300</v>
      </c>
      <c r="G30" s="397">
        <f>IF('User Input Sheet'!I65="D",Def_AHOutTemp,'User Input Sheet'!I65)</f>
        <v>300</v>
      </c>
    </row>
    <row r="31" spans="1:7" x14ac:dyDescent="0.3">
      <c r="A31" s="470" t="s">
        <v>52</v>
      </c>
      <c r="B31" s="404" t="s">
        <v>51</v>
      </c>
      <c r="C31" s="473">
        <f>IF('User Input Sheet'!E66="D",Def_InAirTemp,'User Input Sheet'!E66)</f>
        <v>80</v>
      </c>
      <c r="D31" s="397">
        <f>IF('User Input Sheet'!F66="D",Def_InAirTemp,'User Input Sheet'!F66)</f>
        <v>80</v>
      </c>
      <c r="E31" s="397">
        <f>IF('User Input Sheet'!G66="D",Def_InAirTemp,'User Input Sheet'!G66)</f>
        <v>80</v>
      </c>
      <c r="F31" s="397">
        <f>IF('User Input Sheet'!H66="D",Def_InAirTemp,'User Input Sheet'!H66)</f>
        <v>80</v>
      </c>
      <c r="G31" s="397">
        <f>IF('User Input Sheet'!I66="D",Def_InAirTemp,'User Input Sheet'!I66)</f>
        <v>80</v>
      </c>
    </row>
    <row r="32" spans="1:7" x14ac:dyDescent="0.3">
      <c r="A32" s="470" t="s">
        <v>53</v>
      </c>
      <c r="B32" s="404" t="s">
        <v>54</v>
      </c>
      <c r="C32" s="473">
        <f>IF('User Input Sheet'!E67="D",Def_AmbPress,'User Input Sheet'!E67)</f>
        <v>29.4</v>
      </c>
      <c r="D32" s="397">
        <f>IF('User Input Sheet'!F67="D",Def_AmbPress,'User Input Sheet'!F67)</f>
        <v>29.4</v>
      </c>
      <c r="E32" s="397">
        <f>IF('User Input Sheet'!G67="D",Def_AmbPress,'User Input Sheet'!G67)</f>
        <v>29.4</v>
      </c>
      <c r="F32" s="397">
        <f>IF('User Input Sheet'!H67="D",Def_AmbPress,'User Input Sheet'!H67)</f>
        <v>29.4</v>
      </c>
      <c r="G32" s="397">
        <f>IF('User Input Sheet'!I67="D",Def_AmbPress,'User Input Sheet'!I67)</f>
        <v>29.4</v>
      </c>
    </row>
    <row r="33" spans="1:7" x14ac:dyDescent="0.3">
      <c r="A33" s="470" t="s">
        <v>55</v>
      </c>
      <c r="B33" s="404" t="s">
        <v>56</v>
      </c>
      <c r="C33" s="473">
        <f>IF('User Input Sheet'!E68="D",Def_AHoutPress,'User Input Sheet'!E68)</f>
        <v>-12</v>
      </c>
      <c r="D33" s="397">
        <f>IF('User Input Sheet'!F68="D",Def_AHoutPress,'User Input Sheet'!F68)</f>
        <v>-12</v>
      </c>
      <c r="E33" s="397">
        <f>IF('User Input Sheet'!G68="D",Def_AHoutPress,'User Input Sheet'!G68)</f>
        <v>-12</v>
      </c>
      <c r="F33" s="397">
        <f>IF('User Input Sheet'!H68="D",Def_AHoutPress,'User Input Sheet'!H68)</f>
        <v>-12</v>
      </c>
      <c r="G33" s="397">
        <f>IF('User Input Sheet'!I68="D",Def_AHoutPress,'User Input Sheet'!I68)</f>
        <v>-12</v>
      </c>
    </row>
    <row r="34" spans="1:7" x14ac:dyDescent="0.3">
      <c r="A34" s="470" t="s">
        <v>57</v>
      </c>
      <c r="B34" s="404" t="s">
        <v>58</v>
      </c>
      <c r="C34" s="473">
        <f>IF('User Input Sheet'!E69="D",Def_AirH2O,'User Input Sheet'!E69)</f>
        <v>1.2999999999999999E-2</v>
      </c>
      <c r="D34" s="397">
        <f>IF('User Input Sheet'!F69="D",Def_AirH2O,'User Input Sheet'!F69)</f>
        <v>1.2999999999999999E-2</v>
      </c>
      <c r="E34" s="397">
        <f>IF('User Input Sheet'!G69="D",Def_AirH2O,'User Input Sheet'!G69)</f>
        <v>1.2999999999999999E-2</v>
      </c>
      <c r="F34" s="397">
        <f>IF('User Input Sheet'!H69="D",Def_AirH2O,'User Input Sheet'!H69)</f>
        <v>1.2999999999999999E-2</v>
      </c>
      <c r="G34" s="397">
        <f>IF('User Input Sheet'!I69="D",Def_AirH2O,'User Input Sheet'!I69)</f>
        <v>1.2999999999999999E-2</v>
      </c>
    </row>
    <row r="35" spans="1:7" x14ac:dyDescent="0.3">
      <c r="A35" s="470" t="s">
        <v>59</v>
      </c>
      <c r="B35" s="404"/>
      <c r="C35" s="473"/>
      <c r="D35" s="397"/>
      <c r="E35" s="397"/>
      <c r="F35" s="397"/>
      <c r="G35" s="397"/>
    </row>
    <row r="36" spans="1:7" x14ac:dyDescent="0.3">
      <c r="A36" s="470" t="s">
        <v>60</v>
      </c>
      <c r="B36" s="404" t="s">
        <v>45</v>
      </c>
      <c r="C36" s="505">
        <f>IF('User Input Sheet'!E71="D",Def_FlyAsh,'User Input Sheet'!E71)</f>
        <v>0.8</v>
      </c>
      <c r="D36" s="403">
        <f>IF('User Input Sheet'!F71="D",Def_FlyAsh,'User Input Sheet'!F71)</f>
        <v>0.8</v>
      </c>
      <c r="E36" s="403">
        <f>IF('User Input Sheet'!G71="D",Def_FlyAsh,'User Input Sheet'!G71)</f>
        <v>0.8</v>
      </c>
      <c r="F36" s="403">
        <f>IF('User Input Sheet'!H71="D",Def_FlyAsh,'User Input Sheet'!H71)</f>
        <v>0.8</v>
      </c>
      <c r="G36" s="403">
        <f>IF('User Input Sheet'!I71="D",Def_FlyAsh,'User Input Sheet'!I71)</f>
        <v>0.8</v>
      </c>
    </row>
    <row r="37" spans="1:7" x14ac:dyDescent="0.3">
      <c r="A37" s="470" t="s">
        <v>61</v>
      </c>
      <c r="B37" s="404" t="s">
        <v>45</v>
      </c>
      <c r="C37" s="505">
        <f>IF('User Input Sheet'!E72="D",Def_BotAsh,'User Input Sheet'!E72)</f>
        <v>0.19999999999999996</v>
      </c>
      <c r="D37" s="403">
        <f>IF('User Input Sheet'!F72="D",Def_BotAsh,'User Input Sheet'!F72)</f>
        <v>0.19999999999999996</v>
      </c>
      <c r="E37" s="403">
        <f>IF('User Input Sheet'!G72="D",Def_BotAsh,'User Input Sheet'!G72)</f>
        <v>0.19999999999999996</v>
      </c>
      <c r="F37" s="403">
        <f>IF('User Input Sheet'!H72="D",Def_BotAsh,'User Input Sheet'!H72)</f>
        <v>0.19999999999999996</v>
      </c>
      <c r="G37" s="403">
        <f>IF('User Input Sheet'!I72="D",Def_BotAsh,'User Input Sheet'!I72)</f>
        <v>0.19999999999999996</v>
      </c>
    </row>
    <row r="38" spans="1:7" x14ac:dyDescent="0.3">
      <c r="A38" s="470" t="s">
        <v>62</v>
      </c>
      <c r="B38" s="404" t="s">
        <v>24</v>
      </c>
      <c r="C38" s="473">
        <f>IF('User Input Sheet'!E73="D",Def_SeisZone,'User Input Sheet'!E73)</f>
        <v>1</v>
      </c>
      <c r="D38" s="397">
        <f>IF('User Input Sheet'!F73="D",Def_SeisZone,'User Input Sheet'!F73)</f>
        <v>1</v>
      </c>
      <c r="E38" s="397">
        <f>IF('User Input Sheet'!G73="D",Def_SeisZone,'User Input Sheet'!G73)</f>
        <v>1</v>
      </c>
      <c r="F38" s="397">
        <f>IF('User Input Sheet'!H73="D",Def_SeisZone,'User Input Sheet'!H73)</f>
        <v>1</v>
      </c>
      <c r="G38" s="397">
        <f>IF('User Input Sheet'!I73="D",Def_SeisZone,'User Input Sheet'!I73)</f>
        <v>1</v>
      </c>
    </row>
    <row r="39" spans="1:7" x14ac:dyDescent="0.3">
      <c r="A39" s="470" t="s">
        <v>65</v>
      </c>
      <c r="B39" s="404" t="s">
        <v>24</v>
      </c>
      <c r="C39" s="515">
        <f>IF('User Input Sheet'!E74="D",Def_RetroFact,'User Input Sheet'!E74)</f>
        <v>1.6</v>
      </c>
      <c r="D39" s="401">
        <f>IF('User Input Sheet'!F74="D",Def_RetroFact,'User Input Sheet'!F74)</f>
        <v>1.6</v>
      </c>
      <c r="E39" s="401">
        <f>IF('User Input Sheet'!G74="D",Def_RetroFact,'User Input Sheet'!G74)</f>
        <v>1.6</v>
      </c>
      <c r="F39" s="401">
        <f>IF('User Input Sheet'!H74="D",Def_RetroFact,'User Input Sheet'!H74)</f>
        <v>1.6</v>
      </c>
      <c r="G39" s="401">
        <f>IF('User Input Sheet'!I74="D",Def_RetroFact,'User Input Sheet'!I74)</f>
        <v>1.6</v>
      </c>
    </row>
    <row r="40" spans="1:7" x14ac:dyDescent="0.3">
      <c r="A40" s="470" t="s">
        <v>67</v>
      </c>
      <c r="B40" s="404"/>
      <c r="C40" s="473"/>
      <c r="D40" s="397"/>
      <c r="E40" s="397"/>
      <c r="F40" s="397"/>
      <c r="G40" s="397"/>
    </row>
    <row r="41" spans="1:7" x14ac:dyDescent="0.3">
      <c r="A41" s="470" t="s">
        <v>68</v>
      </c>
      <c r="B41" s="404" t="s">
        <v>24</v>
      </c>
      <c r="C41" s="473">
        <f>IF('User Input Sheet'!E76="D",Def_Coal,'User Input Sheet'!E76)</f>
        <v>8</v>
      </c>
      <c r="D41" s="397">
        <f>IF('User Input Sheet'!F76="D",Def_Coal,'User Input Sheet'!F76)</f>
        <v>8</v>
      </c>
      <c r="E41" s="397">
        <f>IF('User Input Sheet'!G76="D",Def_Coal,'User Input Sheet'!G76)</f>
        <v>8</v>
      </c>
      <c r="F41" s="397">
        <f>IF('User Input Sheet'!H76="D",Def_Coal,'User Input Sheet'!H76)</f>
        <v>8</v>
      </c>
      <c r="G41" s="397">
        <f>IF('User Input Sheet'!I76="D",Def_Coal,'User Input Sheet'!I76)</f>
        <v>8</v>
      </c>
    </row>
    <row r="42" spans="1:7" x14ac:dyDescent="0.3">
      <c r="A42" s="470" t="s">
        <v>70</v>
      </c>
      <c r="B42" s="404" t="s">
        <v>71</v>
      </c>
      <c r="C42" s="473" t="str">
        <f>IF('User Input Sheet'!E77="D",Def_PRB,'User Input Sheet'!E77)</f>
        <v>No</v>
      </c>
      <c r="D42" s="397" t="str">
        <f>IF('User Input Sheet'!F77="D",Def_PRB,'User Input Sheet'!F77)</f>
        <v>No</v>
      </c>
      <c r="E42" s="397" t="str">
        <f>IF('User Input Sheet'!G77="D",Def_PRB,'User Input Sheet'!G77)</f>
        <v>No</v>
      </c>
      <c r="F42" s="397" t="str">
        <f>IF('User Input Sheet'!H77="D",Def_PRB,'User Input Sheet'!H77)</f>
        <v>No</v>
      </c>
      <c r="G42" s="397" t="str">
        <f>IF('User Input Sheet'!I77="D",Def_PRB,'User Input Sheet'!I77)</f>
        <v>No</v>
      </c>
    </row>
    <row r="43" spans="1:7" x14ac:dyDescent="0.3">
      <c r="A43" s="470"/>
      <c r="B43" s="477"/>
      <c r="C43" s="473"/>
      <c r="D43" s="397"/>
      <c r="E43" s="397"/>
      <c r="F43" s="397"/>
      <c r="G43" s="397"/>
    </row>
    <row r="44" spans="1:7" ht="16" x14ac:dyDescent="0.4">
      <c r="A44" s="472" t="s">
        <v>77</v>
      </c>
      <c r="B44" s="477"/>
      <c r="C44" s="473"/>
      <c r="D44" s="397"/>
      <c r="E44" s="397"/>
      <c r="F44" s="397"/>
      <c r="G44" s="397"/>
    </row>
    <row r="45" spans="1:7" x14ac:dyDescent="0.3">
      <c r="A45" s="470"/>
      <c r="B45" s="477"/>
      <c r="C45" s="473"/>
      <c r="D45" s="397"/>
      <c r="E45" s="397"/>
      <c r="F45" s="397"/>
      <c r="G45" s="397"/>
    </row>
    <row r="46" spans="1:7" x14ac:dyDescent="0.3">
      <c r="A46" s="470" t="s">
        <v>78</v>
      </c>
      <c r="B46" s="404" t="s">
        <v>79</v>
      </c>
      <c r="C46" s="473">
        <f>IF('User Input Sheet'!E89="D",Def_CostBasis,'User Input Sheet'!E89)</f>
        <v>2015</v>
      </c>
      <c r="D46" s="397">
        <f>IF('User Input Sheet'!F89="D",Def_CostBasis,'User Input Sheet'!F89)</f>
        <v>2015</v>
      </c>
      <c r="E46" s="397">
        <f>IF('User Input Sheet'!G89="D",Def_CostBasis,'User Input Sheet'!G89)</f>
        <v>2015</v>
      </c>
      <c r="F46" s="397">
        <f>IF('User Input Sheet'!H89="D",Def_CostBasis,'User Input Sheet'!H89)</f>
        <v>2015</v>
      </c>
      <c r="G46" s="397">
        <f>IF('User Input Sheet'!I89="D",Def_CostBasis,'User Input Sheet'!I89)</f>
        <v>2015</v>
      </c>
    </row>
    <row r="47" spans="1:7" x14ac:dyDescent="0.3">
      <c r="A47" s="470" t="s">
        <v>81</v>
      </c>
      <c r="B47" s="404" t="s">
        <v>82</v>
      </c>
      <c r="C47" s="473">
        <f>IF('User Input Sheet'!E90="D",Def_SerLife,'User Input Sheet'!E90)</f>
        <v>30</v>
      </c>
      <c r="D47" s="397">
        <f>IF('User Input Sheet'!F90="D",Def_SerLife,'User Input Sheet'!F90)</f>
        <v>30</v>
      </c>
      <c r="E47" s="397">
        <f>IF('User Input Sheet'!G90="D",Def_SerLife,'User Input Sheet'!G90)</f>
        <v>30</v>
      </c>
      <c r="F47" s="397">
        <f>IF('User Input Sheet'!H90="D",Def_SerLife,'User Input Sheet'!H90)</f>
        <v>30</v>
      </c>
      <c r="G47" s="397">
        <f>IF('User Input Sheet'!I90="D",Def_SerLife,'User Input Sheet'!I90)</f>
        <v>30</v>
      </c>
    </row>
    <row r="48" spans="1:7" x14ac:dyDescent="0.3">
      <c r="A48" s="470" t="s">
        <v>83</v>
      </c>
      <c r="B48" s="404" t="s">
        <v>45</v>
      </c>
      <c r="C48" s="505">
        <f>IF('User Input Sheet'!E91="D",Def_MAR,'User Input Sheet'!E91)</f>
        <v>0.03</v>
      </c>
      <c r="D48" s="403">
        <f>IF('User Input Sheet'!F91="D",Def_MAR,'User Input Sheet'!F91)</f>
        <v>0.03</v>
      </c>
      <c r="E48" s="403">
        <f>IF('User Input Sheet'!G91="D",Def_MAR,'User Input Sheet'!G91)</f>
        <v>0.03</v>
      </c>
      <c r="F48" s="403">
        <f>IF('User Input Sheet'!H91="D",Def_MAR,'User Input Sheet'!H91)</f>
        <v>0.03</v>
      </c>
      <c r="G48" s="403">
        <f>IF('User Input Sheet'!I91="D",Def_MAR,'User Input Sheet'!I91)</f>
        <v>0.03</v>
      </c>
    </row>
    <row r="49" spans="1:7" x14ac:dyDescent="0.3">
      <c r="A49" s="470" t="s">
        <v>84</v>
      </c>
      <c r="B49" s="404" t="s">
        <v>45</v>
      </c>
      <c r="C49" s="505">
        <f>IF('User Input Sheet'!E92="D",Def_DiscRate,'User Input Sheet'!E92)</f>
        <v>9.1999999999999998E-2</v>
      </c>
      <c r="D49" s="403">
        <f>IF('User Input Sheet'!F92="D",Def_DiscRate,'User Input Sheet'!F92)</f>
        <v>9.1999999999999998E-2</v>
      </c>
      <c r="E49" s="403">
        <f>IF('User Input Sheet'!G92="D",Def_DiscRate,'User Input Sheet'!G92)</f>
        <v>9.1999999999999998E-2</v>
      </c>
      <c r="F49" s="403">
        <f>IF('User Input Sheet'!H92="D",Def_DiscRate,'User Input Sheet'!H92)</f>
        <v>9.1999999999999998E-2</v>
      </c>
      <c r="G49" s="403">
        <f>IF('User Input Sheet'!I92="D",Def_DiscRate,'User Input Sheet'!I92)</f>
        <v>9.1999999999999998E-2</v>
      </c>
    </row>
    <row r="50" spans="1:7" x14ac:dyDescent="0.3">
      <c r="A50" s="470" t="s">
        <v>85</v>
      </c>
      <c r="B50" s="404" t="s">
        <v>45</v>
      </c>
      <c r="C50" s="505">
        <f>IF('User Input Sheet'!E93="D",Def_AFDC,'User Input Sheet'!E93)</f>
        <v>0.108</v>
      </c>
      <c r="D50" s="403">
        <f>IF('User Input Sheet'!F93="D",Def_AFDC,'User Input Sheet'!F93)</f>
        <v>0.108</v>
      </c>
      <c r="E50" s="403">
        <f>IF('User Input Sheet'!G93="D",Def_AFDC,'User Input Sheet'!G93)</f>
        <v>0.108</v>
      </c>
      <c r="F50" s="403">
        <f>IF('User Input Sheet'!H93="D",Def_AFDC,'User Input Sheet'!H93)</f>
        <v>0.108</v>
      </c>
      <c r="G50" s="403">
        <f>IF('User Input Sheet'!I93="D",Def_AFDC,'User Input Sheet'!I93)</f>
        <v>0.108</v>
      </c>
    </row>
    <row r="51" spans="1:7" x14ac:dyDescent="0.3">
      <c r="A51" s="470" t="s">
        <v>86</v>
      </c>
      <c r="B51" s="404" t="s">
        <v>45</v>
      </c>
      <c r="C51" s="505">
        <f>IF('User Input Sheet'!E94="D",Def_FYCC_curr,'User Input Sheet'!E94)</f>
        <v>0.223</v>
      </c>
      <c r="D51" s="403">
        <f>IF('User Input Sheet'!F94="D",Def_FYCC_curr,'User Input Sheet'!F94)</f>
        <v>0.223</v>
      </c>
      <c r="E51" s="403">
        <f>IF('User Input Sheet'!G94="D",Def_FYCC_curr,'User Input Sheet'!G94)</f>
        <v>0.223</v>
      </c>
      <c r="F51" s="403">
        <f>IF('User Input Sheet'!H94="D",Def_FYCC_curr,'User Input Sheet'!H94)</f>
        <v>0.223</v>
      </c>
      <c r="G51" s="403">
        <f>IF('User Input Sheet'!I94="D",Def_FYCC_curr,'User Input Sheet'!I94)</f>
        <v>0.223</v>
      </c>
    </row>
    <row r="52" spans="1:7" x14ac:dyDescent="0.3">
      <c r="A52" s="470" t="s">
        <v>87</v>
      </c>
      <c r="B52" s="404" t="s">
        <v>45</v>
      </c>
      <c r="C52" s="505">
        <f>IF('User Input Sheet'!E95="D",Def_LCC_curr,'User Input Sheet'!E95)</f>
        <v>0.16900000000000001</v>
      </c>
      <c r="D52" s="403">
        <f>IF('User Input Sheet'!F95="D",Def_LCC_curr,'User Input Sheet'!F95)</f>
        <v>0.16900000000000001</v>
      </c>
      <c r="E52" s="403">
        <f>IF('User Input Sheet'!G95="D",Def_LCC_curr,'User Input Sheet'!G95)</f>
        <v>0.16900000000000001</v>
      </c>
      <c r="F52" s="403">
        <f>IF('User Input Sheet'!H95="D",Def_LCC_curr,'User Input Sheet'!H95)</f>
        <v>0.16900000000000001</v>
      </c>
      <c r="G52" s="403">
        <f>IF('User Input Sheet'!I95="D",Def_LCC_curr,'User Input Sheet'!I95)</f>
        <v>0.16900000000000001</v>
      </c>
    </row>
    <row r="53" spans="1:7" x14ac:dyDescent="0.3">
      <c r="A53" s="470" t="s">
        <v>88</v>
      </c>
      <c r="B53" s="404" t="s">
        <v>45</v>
      </c>
      <c r="C53" s="505">
        <f>IF('User Input Sheet'!E96="D",Def_FYCC_const,'User Input Sheet'!E96)</f>
        <v>0.157</v>
      </c>
      <c r="D53" s="403">
        <f>IF('User Input Sheet'!F96="D",Def_FYCC_const,'User Input Sheet'!F96)</f>
        <v>0.157</v>
      </c>
      <c r="E53" s="403">
        <f>IF('User Input Sheet'!G96="D",Def_FYCC_const,'User Input Sheet'!G96)</f>
        <v>0.157</v>
      </c>
      <c r="F53" s="403">
        <f>IF('User Input Sheet'!H96="D",Def_FYCC_const,'User Input Sheet'!H96)</f>
        <v>0.157</v>
      </c>
      <c r="G53" s="403">
        <f>IF('User Input Sheet'!I96="D",Def_FYCC_const,'User Input Sheet'!I96)</f>
        <v>0.157</v>
      </c>
    </row>
    <row r="54" spans="1:7" x14ac:dyDescent="0.3">
      <c r="A54" s="470" t="s">
        <v>89</v>
      </c>
      <c r="B54" s="404" t="s">
        <v>45</v>
      </c>
      <c r="C54" s="505">
        <f>IF('User Input Sheet'!E97="D",Def_LCC_const,'User Input Sheet'!E97)</f>
        <v>0.11700000000000001</v>
      </c>
      <c r="D54" s="403">
        <f>IF('User Input Sheet'!F97="D",Def_LCC_const,'User Input Sheet'!F97)</f>
        <v>0.11700000000000001</v>
      </c>
      <c r="E54" s="403">
        <f>IF('User Input Sheet'!G97="D",Def_LCC_const,'User Input Sheet'!G97)</f>
        <v>0.11700000000000001</v>
      </c>
      <c r="F54" s="403">
        <f>IF('User Input Sheet'!H97="D",Def_LCC_const,'User Input Sheet'!H97)</f>
        <v>0.11700000000000001</v>
      </c>
      <c r="G54" s="403">
        <f>IF('User Input Sheet'!I97="D",Def_LCC_const,'User Input Sheet'!I97)</f>
        <v>0.11700000000000001</v>
      </c>
    </row>
    <row r="55" spans="1:7" x14ac:dyDescent="0.3">
      <c r="A55" s="470" t="s">
        <v>90</v>
      </c>
      <c r="B55" s="404" t="s">
        <v>45</v>
      </c>
      <c r="C55" s="505">
        <f>IF('User Input Sheet'!E98="D",Def_SalesTax,'User Input Sheet'!E98)</f>
        <v>0.06</v>
      </c>
      <c r="D55" s="403">
        <f>IF('User Input Sheet'!F98="D",Def_SalesTax,'User Input Sheet'!F98)</f>
        <v>0.06</v>
      </c>
      <c r="E55" s="403">
        <f>IF('User Input Sheet'!G98="D",Def_SalesTax,'User Input Sheet'!G98)</f>
        <v>0.06</v>
      </c>
      <c r="F55" s="403">
        <f>IF('User Input Sheet'!H98="D",Def_SalesTax,'User Input Sheet'!H98)</f>
        <v>0.06</v>
      </c>
      <c r="G55" s="403">
        <f>IF('User Input Sheet'!I98="D",Def_SalesTax,'User Input Sheet'!I98)</f>
        <v>0.06</v>
      </c>
    </row>
    <row r="56" spans="1:7" x14ac:dyDescent="0.3">
      <c r="A56" s="470" t="s">
        <v>91</v>
      </c>
      <c r="B56" s="404"/>
      <c r="C56" s="473"/>
      <c r="D56" s="397"/>
      <c r="E56" s="397"/>
      <c r="F56" s="397"/>
      <c r="G56" s="397"/>
    </row>
    <row r="57" spans="1:7" x14ac:dyDescent="0.3">
      <c r="A57" s="470" t="s">
        <v>92</v>
      </c>
      <c r="B57" s="404" t="s">
        <v>45</v>
      </c>
      <c r="C57" s="505">
        <f>IF('User Input Sheet'!E100="D",Def_Esc_Consum,'User Input Sheet'!E100)</f>
        <v>0.03</v>
      </c>
      <c r="D57" s="403">
        <f>IF('User Input Sheet'!F100="D",Def_Esc_Consum,'User Input Sheet'!F100)</f>
        <v>0.03</v>
      </c>
      <c r="E57" s="403">
        <f>IF('User Input Sheet'!G100="D",Def_Esc_Consum,'User Input Sheet'!G100)</f>
        <v>0.03</v>
      </c>
      <c r="F57" s="403">
        <f>IF('User Input Sheet'!H100="D",Def_Esc_Consum,'User Input Sheet'!H100)</f>
        <v>0.03</v>
      </c>
      <c r="G57" s="403">
        <f>IF('User Input Sheet'!I100="D",Def_Esc_Consum,'User Input Sheet'!I100)</f>
        <v>0.03</v>
      </c>
    </row>
    <row r="58" spans="1:7" x14ac:dyDescent="0.3">
      <c r="A58" s="470" t="s">
        <v>93</v>
      </c>
      <c r="B58" s="404"/>
      <c r="C58" s="505"/>
      <c r="D58" s="403"/>
      <c r="E58" s="403"/>
      <c r="F58" s="403"/>
      <c r="G58" s="403"/>
    </row>
    <row r="59" spans="1:7" x14ac:dyDescent="0.3">
      <c r="A59" s="470" t="s">
        <v>94</v>
      </c>
      <c r="B59" s="404" t="s">
        <v>71</v>
      </c>
      <c r="C59" s="517" t="str">
        <f>IF('User Input Sheet'!E102="D",Def_Cap_Esc,'User Input Sheet'!E102)</f>
        <v>Yes</v>
      </c>
      <c r="D59" s="405" t="str">
        <f>IF('User Input Sheet'!F102="D",Def_Cap_Esc,'User Input Sheet'!F102)</f>
        <v>Yes</v>
      </c>
      <c r="E59" s="405" t="str">
        <f>IF('User Input Sheet'!G102="D",Def_Cap_Esc,'User Input Sheet'!G102)</f>
        <v>Yes</v>
      </c>
      <c r="F59" s="405" t="str">
        <f>IF('User Input Sheet'!H102="D",Def_Cap_Esc,'User Input Sheet'!H102)</f>
        <v>Yes</v>
      </c>
      <c r="G59" s="405" t="str">
        <f>IF('User Input Sheet'!I102="D",Def_Cap_Esc,'User Input Sheet'!I102)</f>
        <v>Yes</v>
      </c>
    </row>
    <row r="60" spans="1:7" x14ac:dyDescent="0.3">
      <c r="A60" s="470" t="s">
        <v>95</v>
      </c>
      <c r="B60" s="404" t="s">
        <v>24</v>
      </c>
      <c r="C60" s="517">
        <f>IF('User Input Sheet'!E103="D",Def_CEIndex,'User Input Sheet'!E103)</f>
        <v>578.4</v>
      </c>
      <c r="D60" s="405">
        <f>IF('User Input Sheet'!F103="D",Def_CEIndex,'User Input Sheet'!F103)</f>
        <v>578.4</v>
      </c>
      <c r="E60" s="405">
        <f>IF('User Input Sheet'!G103="D",Def_CEIndex,'User Input Sheet'!G103)</f>
        <v>578.4</v>
      </c>
      <c r="F60" s="405">
        <f>IF('User Input Sheet'!H103="D",Def_CEIndex,'User Input Sheet'!H103)</f>
        <v>578.4</v>
      </c>
      <c r="G60" s="405">
        <f>IF('User Input Sheet'!I103="D",Def_CEIndex,'User Input Sheet'!I103)</f>
        <v>578.4</v>
      </c>
    </row>
    <row r="61" spans="1:7" x14ac:dyDescent="0.3">
      <c r="A61" s="470" t="s">
        <v>97</v>
      </c>
      <c r="B61" s="404" t="s">
        <v>45</v>
      </c>
      <c r="C61" s="518">
        <f>IF('User Input Sheet'!E104="D",Def_Cap_ER,'User Input Sheet'!E104)</f>
        <v>0.03</v>
      </c>
      <c r="D61" s="406">
        <f>IF('User Input Sheet'!F104="D",Def_Cap_ER,'User Input Sheet'!F104)</f>
        <v>0.03</v>
      </c>
      <c r="E61" s="406">
        <f>IF('User Input Sheet'!G104="D",Def_Cap_ER,'User Input Sheet'!G104)</f>
        <v>0.03</v>
      </c>
      <c r="F61" s="406">
        <f>IF('User Input Sheet'!H104="D",Def_Cap_ER,'User Input Sheet'!H104)</f>
        <v>0.03</v>
      </c>
      <c r="G61" s="406">
        <f>IF('User Input Sheet'!I104="D",Def_Cap_ER,'User Input Sheet'!I104)</f>
        <v>0.03</v>
      </c>
    </row>
    <row r="62" spans="1:7" x14ac:dyDescent="0.3">
      <c r="A62" s="470" t="s">
        <v>98</v>
      </c>
      <c r="B62" s="404" t="s">
        <v>99</v>
      </c>
      <c r="C62" s="475">
        <f>IF('User Input Sheet'!E105="D",Def_CnstrLabor,'User Input Sheet'!E105)</f>
        <v>60</v>
      </c>
      <c r="D62" s="407">
        <f>IF('User Input Sheet'!F105="D",Def_CnstrLabor,'User Input Sheet'!F105)</f>
        <v>60</v>
      </c>
      <c r="E62" s="407">
        <f>IF('User Input Sheet'!G105="D",Def_CnstrLabor,'User Input Sheet'!G105)</f>
        <v>60</v>
      </c>
      <c r="F62" s="407">
        <f>IF('User Input Sheet'!H105="D",Def_CnstrLabor,'User Input Sheet'!H105)</f>
        <v>60</v>
      </c>
      <c r="G62" s="407">
        <f>IF('User Input Sheet'!I105="D",Def_CnstrLabor,'User Input Sheet'!I105)</f>
        <v>60</v>
      </c>
    </row>
    <row r="63" spans="1:7" x14ac:dyDescent="0.3">
      <c r="A63" s="470" t="s">
        <v>100</v>
      </c>
      <c r="B63" s="404" t="s">
        <v>45</v>
      </c>
      <c r="C63" s="505">
        <f>IF('User Input Sheet'!E106="D",Def_PCMarkup,'User Input Sheet'!E106)</f>
        <v>0.03</v>
      </c>
      <c r="D63" s="403">
        <f>IF('User Input Sheet'!F106="D",Def_PCMarkup,'User Input Sheet'!F106)</f>
        <v>0.03</v>
      </c>
      <c r="E63" s="403">
        <f>IF('User Input Sheet'!G106="D",Def_PCMarkup,'User Input Sheet'!G106)</f>
        <v>0.03</v>
      </c>
      <c r="F63" s="403">
        <f>IF('User Input Sheet'!H106="D",Def_PCMarkup,'User Input Sheet'!H106)</f>
        <v>0.03</v>
      </c>
      <c r="G63" s="403">
        <f>IF('User Input Sheet'!I106="D",Def_PCMarkup,'User Input Sheet'!I106)</f>
        <v>0.03</v>
      </c>
    </row>
    <row r="64" spans="1:7" x14ac:dyDescent="0.3">
      <c r="A64" s="470" t="s">
        <v>102</v>
      </c>
      <c r="B64" s="404" t="s">
        <v>99</v>
      </c>
      <c r="C64" s="475">
        <f>IF('User Input Sheet'!E107="D",Def_OperLabor,'User Input Sheet'!E107)</f>
        <v>63</v>
      </c>
      <c r="D64" s="407">
        <f>IF('User Input Sheet'!F107="D",Def_OperLabor,'User Input Sheet'!F107)</f>
        <v>63</v>
      </c>
      <c r="E64" s="407">
        <f>IF('User Input Sheet'!G107="D",Def_OperLabor,'User Input Sheet'!G107)</f>
        <v>63</v>
      </c>
      <c r="F64" s="407">
        <f>IF('User Input Sheet'!H107="D",Def_OperLabor,'User Input Sheet'!H107)</f>
        <v>63</v>
      </c>
      <c r="G64" s="407">
        <f>IF('User Input Sheet'!I107="D",Def_OperLabor,'User Input Sheet'!I107)</f>
        <v>63</v>
      </c>
    </row>
    <row r="65" spans="1:7" x14ac:dyDescent="0.3">
      <c r="A65" s="470" t="s">
        <v>103</v>
      </c>
      <c r="B65" s="404" t="s">
        <v>104</v>
      </c>
      <c r="C65" s="473">
        <f>IF('User Input Sheet'!E108="D",Def_PowerCost,'User Input Sheet'!E108)</f>
        <v>25</v>
      </c>
      <c r="D65" s="397">
        <f>IF('User Input Sheet'!F108="D",Def_PowerCost,'User Input Sheet'!F108)</f>
        <v>25</v>
      </c>
      <c r="E65" s="397">
        <f>IF('User Input Sheet'!G108="D",Def_PowerCost,'User Input Sheet'!G108)</f>
        <v>25</v>
      </c>
      <c r="F65" s="397">
        <f>IF('User Input Sheet'!H108="D",Def_PowerCost,'User Input Sheet'!H108)</f>
        <v>25</v>
      </c>
      <c r="G65" s="397">
        <f>IF('User Input Sheet'!I108="D",Def_PowerCost,'User Input Sheet'!I108)</f>
        <v>25</v>
      </c>
    </row>
    <row r="66" spans="1:7" ht="13.5" thickBot="1" x14ac:dyDescent="0.35">
      <c r="A66" s="476" t="s">
        <v>105</v>
      </c>
      <c r="B66" s="419" t="s">
        <v>106</v>
      </c>
      <c r="C66" s="474">
        <f>IF('User Input Sheet'!E109="D",Def_SteamCost,'User Input Sheet'!E109)</f>
        <v>3.5</v>
      </c>
      <c r="D66" s="397">
        <f>IF('User Input Sheet'!F109="D",Def_SteamCost,'User Input Sheet'!F109)</f>
        <v>3.5</v>
      </c>
      <c r="E66" s="397">
        <f>IF('User Input Sheet'!G109="D",Def_SteamCost,'User Input Sheet'!G109)</f>
        <v>3.5</v>
      </c>
      <c r="F66" s="397">
        <f>IF('User Input Sheet'!H109="D",Def_SteamCost,'User Input Sheet'!H109)</f>
        <v>3.5</v>
      </c>
      <c r="G66" s="397">
        <f>IF('User Input Sheet'!I109="D",Def_SteamCost,'User Input Sheet'!I109)</f>
        <v>3.5</v>
      </c>
    </row>
    <row r="67" spans="1:7" ht="13.5" thickBot="1" x14ac:dyDescent="0.35">
      <c r="C67" s="397"/>
      <c r="D67" s="397"/>
      <c r="E67" s="397"/>
      <c r="F67" s="397"/>
      <c r="G67" s="397"/>
    </row>
    <row r="68" spans="1:7" ht="16" x14ac:dyDescent="0.4">
      <c r="A68" s="501" t="s">
        <v>107</v>
      </c>
      <c r="B68" s="502"/>
      <c r="C68" s="503"/>
      <c r="D68" s="397"/>
      <c r="E68" s="397"/>
      <c r="F68" s="397"/>
      <c r="G68" s="397"/>
    </row>
    <row r="69" spans="1:7" x14ac:dyDescent="0.3">
      <c r="A69" s="470"/>
      <c r="B69" s="404"/>
      <c r="C69" s="473"/>
      <c r="D69" s="397"/>
      <c r="E69" s="397"/>
      <c r="F69" s="397"/>
      <c r="G69" s="397"/>
    </row>
    <row r="70" spans="1:7" x14ac:dyDescent="0.3">
      <c r="A70" s="470" t="s">
        <v>108</v>
      </c>
      <c r="B70" s="404" t="s">
        <v>45</v>
      </c>
      <c r="C70" s="504">
        <f>IF('User Input Sheet'!E113="D",LSFO_SO2Rem,'User Input Sheet'!E113)</f>
        <v>0.5</v>
      </c>
      <c r="D70" s="403">
        <f>IF('User Input Sheet'!F113="D",LSFO_SO2Rem,'User Input Sheet'!F113)</f>
        <v>0.95</v>
      </c>
      <c r="E70" s="403">
        <f>IF('User Input Sheet'!G113="D",LSFO_SO2Rem,'User Input Sheet'!G113)</f>
        <v>0.95</v>
      </c>
      <c r="F70" s="403">
        <f>IF('User Input Sheet'!H113="D",LSFO_SO2Rem,'User Input Sheet'!H113)</f>
        <v>0.95</v>
      </c>
      <c r="G70" s="403">
        <f>IF('User Input Sheet'!I113="D",LSFO_SO2Rem,'User Input Sheet'!I113)</f>
        <v>0.95</v>
      </c>
    </row>
    <row r="71" spans="1:7" x14ac:dyDescent="0.3">
      <c r="A71" s="470" t="s">
        <v>110</v>
      </c>
      <c r="B71" s="404" t="s">
        <v>111</v>
      </c>
      <c r="C71" s="473">
        <f>IF('User Input Sheet'!E114="D",LSFO_LGRatio,'User Input Sheet'!E114)</f>
        <v>125</v>
      </c>
      <c r="D71" s="397">
        <f>IF('User Input Sheet'!F114="D",LSFO_LGRatio,'User Input Sheet'!F114)</f>
        <v>125</v>
      </c>
      <c r="E71" s="397">
        <f>IF('User Input Sheet'!G114="D",LSFO_LGRatio,'User Input Sheet'!G114)</f>
        <v>125</v>
      </c>
      <c r="F71" s="397">
        <f>IF('User Input Sheet'!H114="D",LSFO_LGRatio,'User Input Sheet'!H114)</f>
        <v>125</v>
      </c>
      <c r="G71" s="397">
        <f>IF('User Input Sheet'!I114="D",LSFO_LGRatio,'User Input Sheet'!I114)</f>
        <v>125</v>
      </c>
    </row>
    <row r="72" spans="1:7" x14ac:dyDescent="0.3">
      <c r="A72" s="470" t="s">
        <v>113</v>
      </c>
      <c r="B72" s="404" t="s">
        <v>24</v>
      </c>
      <c r="C72" s="473">
        <f>IF('User Input Sheet'!E115="D",LSFO_DBA,'User Input Sheet'!E115)</f>
        <v>2</v>
      </c>
      <c r="D72" s="397">
        <f>IF('User Input Sheet'!F115="D",LSFO_DBA,'User Input Sheet'!F115)</f>
        <v>1</v>
      </c>
      <c r="E72" s="397">
        <f>IF('User Input Sheet'!G115="D",LSFO_DBA,'User Input Sheet'!G115)</f>
        <v>1</v>
      </c>
      <c r="F72" s="397">
        <f>IF('User Input Sheet'!H115="D",LSFO_DBA,'User Input Sheet'!H115)</f>
        <v>1</v>
      </c>
      <c r="G72" s="397">
        <f>IF('User Input Sheet'!I115="D",LSFO_DBA,'User Input Sheet'!I115)</f>
        <v>1</v>
      </c>
    </row>
    <row r="73" spans="1:7" x14ac:dyDescent="0.3">
      <c r="A73" s="470" t="s">
        <v>114</v>
      </c>
      <c r="B73" s="404"/>
      <c r="C73" s="473"/>
      <c r="D73" s="397"/>
      <c r="E73" s="397"/>
      <c r="F73" s="397"/>
      <c r="G73" s="397"/>
    </row>
    <row r="74" spans="1:7" x14ac:dyDescent="0.3">
      <c r="A74" s="470" t="s">
        <v>115</v>
      </c>
      <c r="B74" s="404" t="s">
        <v>51</v>
      </c>
      <c r="C74" s="473">
        <f>IF('User Input Sheet'!E117="D",LSFO_AdSat,'User Input Sheet'!E117)</f>
        <v>127</v>
      </c>
      <c r="D74" s="397">
        <f>IF('User Input Sheet'!F117="D",LSFO_AdSat,'User Input Sheet'!F117)</f>
        <v>127</v>
      </c>
      <c r="E74" s="397">
        <f>IF('User Input Sheet'!G117="D",LSFO_AdSat,'User Input Sheet'!G117)</f>
        <v>127</v>
      </c>
      <c r="F74" s="397">
        <f>IF('User Input Sheet'!H117="D",LSFO_AdSat,'User Input Sheet'!H117)</f>
        <v>127</v>
      </c>
      <c r="G74" s="397">
        <f>IF('User Input Sheet'!I117="D",LSFO_AdSat,'User Input Sheet'!I117)</f>
        <v>127</v>
      </c>
    </row>
    <row r="75" spans="1:7" x14ac:dyDescent="0.3">
      <c r="A75" s="470" t="s">
        <v>117</v>
      </c>
      <c r="B75" s="404" t="s">
        <v>118</v>
      </c>
      <c r="C75" s="473">
        <f>IF('User Input Sheet'!E118="D",LSFO_ReagRatio,'User Input Sheet'!E118)</f>
        <v>1.05</v>
      </c>
      <c r="D75" s="397">
        <f>IF('User Input Sheet'!F118="D",LSFO_ReagRatio,'User Input Sheet'!F118)</f>
        <v>1.05</v>
      </c>
      <c r="E75" s="397">
        <f>IF('User Input Sheet'!G118="D",LSFO_ReagRatio,'User Input Sheet'!G118)</f>
        <v>1.05</v>
      </c>
      <c r="F75" s="397">
        <f>IF('User Input Sheet'!H118="D",LSFO_ReagRatio,'User Input Sheet'!H118)</f>
        <v>1.05</v>
      </c>
      <c r="G75" s="397">
        <f>IF('User Input Sheet'!I118="D",LSFO_ReagRatio,'User Input Sheet'!I118)</f>
        <v>1.05</v>
      </c>
    </row>
    <row r="76" spans="1:7" x14ac:dyDescent="0.3">
      <c r="A76" s="470" t="s">
        <v>120</v>
      </c>
      <c r="B76" s="404"/>
      <c r="C76" s="473"/>
      <c r="D76" s="397"/>
      <c r="E76" s="397"/>
      <c r="F76" s="397"/>
      <c r="G76" s="397"/>
    </row>
    <row r="77" spans="1:7" x14ac:dyDescent="0.3">
      <c r="A77" s="470" t="s">
        <v>121</v>
      </c>
      <c r="B77" s="404" t="s">
        <v>122</v>
      </c>
      <c r="C77" s="505">
        <f>IF('User Input Sheet'!E120="D",LSFO_ScrubSlurry,'User Input Sheet'!E120)</f>
        <v>0.15</v>
      </c>
      <c r="D77" s="403">
        <f>IF('User Input Sheet'!F120="D",LSFO_ScrubSlurry,'User Input Sheet'!F120)</f>
        <v>0.15</v>
      </c>
      <c r="E77" s="403">
        <f>IF('User Input Sheet'!G120="D",LSFO_ScrubSlurry,'User Input Sheet'!G120)</f>
        <v>0.15</v>
      </c>
      <c r="F77" s="403">
        <f>IF('User Input Sheet'!H120="D",LSFO_ScrubSlurry,'User Input Sheet'!H120)</f>
        <v>0.15</v>
      </c>
      <c r="G77" s="403">
        <f>IF('User Input Sheet'!I120="D",LSFO_ScrubSlurry,'User Input Sheet'!I120)</f>
        <v>0.15</v>
      </c>
    </row>
    <row r="78" spans="1:7" x14ac:dyDescent="0.3">
      <c r="A78" s="470" t="s">
        <v>123</v>
      </c>
      <c r="B78" s="404" t="s">
        <v>24</v>
      </c>
      <c r="C78" s="473">
        <f>IF('User Input Sheet'!E121="D",LSFO_Disposal,'User Input Sheet'!E121)</f>
        <v>1</v>
      </c>
      <c r="D78" s="397">
        <f>IF('User Input Sheet'!F121="D",LSFO_Disposal,'User Input Sheet'!F121)</f>
        <v>1</v>
      </c>
      <c r="E78" s="397">
        <f>IF('User Input Sheet'!G121="D",LSFO_Disposal,'User Input Sheet'!G121)</f>
        <v>1</v>
      </c>
      <c r="F78" s="397">
        <f>IF('User Input Sheet'!H121="D",LSFO_Disposal,'User Input Sheet'!H121)</f>
        <v>1</v>
      </c>
      <c r="G78" s="397">
        <f>IF('User Input Sheet'!I121="D",LSFO_Disposal,'User Input Sheet'!I121)</f>
        <v>1</v>
      </c>
    </row>
    <row r="79" spans="1:7" x14ac:dyDescent="0.3">
      <c r="A79" s="470" t="s">
        <v>297</v>
      </c>
      <c r="B79" s="404"/>
      <c r="C79" s="473"/>
      <c r="D79" s="397"/>
      <c r="E79" s="397"/>
      <c r="F79" s="397"/>
      <c r="G79" s="397"/>
    </row>
    <row r="80" spans="1:7" x14ac:dyDescent="0.3">
      <c r="A80" s="470" t="s">
        <v>126</v>
      </c>
      <c r="B80" s="404" t="s">
        <v>24</v>
      </c>
      <c r="C80" s="473">
        <f>IF('User Input Sheet'!E123="D",LSFO_NoAbsorb,'User Input Sheet'!E123)</f>
        <v>1</v>
      </c>
      <c r="D80" s="397">
        <f>IF('User Input Sheet'!F123="D",LSFO_NoAbsorb,'User Input Sheet'!F123)</f>
        <v>1</v>
      </c>
      <c r="E80" s="397">
        <f>IF('User Input Sheet'!G123="D",LSFO_NoAbsorb,'User Input Sheet'!G123)</f>
        <v>1</v>
      </c>
      <c r="F80" s="397">
        <f>IF('User Input Sheet'!H123="D",LSFO_NoAbsorb,'User Input Sheet'!H123)</f>
        <v>1</v>
      </c>
      <c r="G80" s="397">
        <f>IF('User Input Sheet'!I123="D",LSFO_NoAbsorb,'User Input Sheet'!I123)</f>
        <v>1</v>
      </c>
    </row>
    <row r="81" spans="1:7" x14ac:dyDescent="0.3">
      <c r="A81" s="470" t="s">
        <v>128</v>
      </c>
      <c r="B81" s="404"/>
      <c r="C81" s="473"/>
      <c r="D81" s="397"/>
      <c r="E81" s="397"/>
      <c r="F81" s="397"/>
      <c r="G81" s="397"/>
    </row>
    <row r="82" spans="1:7" x14ac:dyDescent="0.3">
      <c r="A82" s="470" t="s">
        <v>129</v>
      </c>
      <c r="B82" s="404" t="s">
        <v>24</v>
      </c>
      <c r="C82" s="473">
        <f>IF('User Input Sheet'!E125="D",LSFO_AbsorbMatl,'User Input Sheet'!E125)</f>
        <v>1</v>
      </c>
      <c r="D82" s="397">
        <f>IF('User Input Sheet'!F125="D",LSFO_AbsorbMatl,'User Input Sheet'!F125)</f>
        <v>1</v>
      </c>
      <c r="E82" s="397">
        <f>IF('User Input Sheet'!G125="D",LSFO_AbsorbMatl,'User Input Sheet'!G125)</f>
        <v>1</v>
      </c>
      <c r="F82" s="397">
        <f>IF('User Input Sheet'!H125="D",LSFO_AbsorbMatl,'User Input Sheet'!H125)</f>
        <v>1</v>
      </c>
      <c r="G82" s="397">
        <f>IF('User Input Sheet'!I125="D",LSFO_AbsorbMatl,'User Input Sheet'!I125)</f>
        <v>1</v>
      </c>
    </row>
    <row r="83" spans="1:7" x14ac:dyDescent="0.3">
      <c r="A83" s="470" t="s">
        <v>130</v>
      </c>
      <c r="B83" s="404"/>
      <c r="C83" s="473"/>
      <c r="D83" s="397"/>
      <c r="E83" s="397"/>
      <c r="F83" s="397"/>
      <c r="G83" s="397"/>
    </row>
    <row r="84" spans="1:7" x14ac:dyDescent="0.3">
      <c r="A84" s="470" t="s">
        <v>131</v>
      </c>
      <c r="B84" s="404" t="s">
        <v>132</v>
      </c>
      <c r="C84" s="473">
        <f>IF('User Input Sheet'!E127="D",LSFO_AbsorbDelP,'User Input Sheet'!E127)</f>
        <v>6</v>
      </c>
      <c r="D84" s="397">
        <f>IF('User Input Sheet'!F127="D",LSFO_AbsorbDelP,'User Input Sheet'!F127)</f>
        <v>6</v>
      </c>
      <c r="E84" s="397">
        <f>IF('User Input Sheet'!G127="D",LSFO_AbsorbDelP,'User Input Sheet'!G127)</f>
        <v>6</v>
      </c>
      <c r="F84" s="397">
        <f>IF('User Input Sheet'!H127="D",LSFO_AbsorbDelP,'User Input Sheet'!H127)</f>
        <v>6</v>
      </c>
      <c r="G84" s="397">
        <f>IF('User Input Sheet'!I127="D",LSFO_AbsorbDelP,'User Input Sheet'!I127)</f>
        <v>6</v>
      </c>
    </row>
    <row r="85" spans="1:7" x14ac:dyDescent="0.3">
      <c r="A85" s="470" t="s">
        <v>133</v>
      </c>
      <c r="B85" s="404" t="s">
        <v>24</v>
      </c>
      <c r="C85" s="473">
        <f>IF('User Input Sheet'!E128="D",LSFO_Reheat,'User Input Sheet'!E128)</f>
        <v>1</v>
      </c>
      <c r="D85" s="397">
        <f>IF('User Input Sheet'!F128="D",LSFO_Reheat,'User Input Sheet'!F128)</f>
        <v>1</v>
      </c>
      <c r="E85" s="397">
        <f>IF('User Input Sheet'!G128="D",LSFO_Reheat,'User Input Sheet'!G128)</f>
        <v>1</v>
      </c>
      <c r="F85" s="397">
        <f>IF('User Input Sheet'!H128="D",LSFO_Reheat,'User Input Sheet'!H128)</f>
        <v>1</v>
      </c>
      <c r="G85" s="397">
        <f>IF('User Input Sheet'!I128="D",LSFO_Reheat,'User Input Sheet'!I128)</f>
        <v>1</v>
      </c>
    </row>
    <row r="86" spans="1:7" x14ac:dyDescent="0.3">
      <c r="A86" s="470" t="s">
        <v>114</v>
      </c>
      <c r="B86" s="404"/>
      <c r="C86" s="473"/>
      <c r="D86" s="397"/>
      <c r="E86" s="397"/>
      <c r="F86" s="397"/>
      <c r="G86" s="397"/>
    </row>
    <row r="87" spans="1:7" x14ac:dyDescent="0.3">
      <c r="A87" s="470" t="s">
        <v>134</v>
      </c>
      <c r="B87" s="404" t="s">
        <v>51</v>
      </c>
      <c r="C87" s="473">
        <f>IF(C85=2,0,IF('User Input Sheet'!E130="D",LSFO_ReheatTemp,'User Input Sheet'!E130))</f>
        <v>25</v>
      </c>
      <c r="D87" s="397">
        <f>IF(D85=2,0,IF('User Input Sheet'!F130="D",LSFO_ReheatTemp,'User Input Sheet'!F130))</f>
        <v>25</v>
      </c>
      <c r="E87" s="397">
        <f>IF(E85=2,0,IF('User Input Sheet'!G130="D",LSFO_ReheatTemp,'User Input Sheet'!G130))</f>
        <v>25</v>
      </c>
      <c r="F87" s="397">
        <f>IF(F85=2,0,IF('User Input Sheet'!H130="D",LSFO_ReheatTemp,'User Input Sheet'!H130))</f>
        <v>25</v>
      </c>
      <c r="G87" s="397">
        <f>IF(G85=2,0,IF('User Input Sheet'!I130="D",LSFO_ReheatTemp,'User Input Sheet'!I130))</f>
        <v>25</v>
      </c>
    </row>
    <row r="88" spans="1:7" x14ac:dyDescent="0.3">
      <c r="A88" s="470" t="s">
        <v>136</v>
      </c>
      <c r="B88" s="404" t="s">
        <v>137</v>
      </c>
      <c r="C88" s="473">
        <f>IF('User Input Sheet'!E131="D",LSFO_ReagStor,'User Input Sheet'!E131)</f>
        <v>60</v>
      </c>
      <c r="D88" s="397">
        <f>IF('User Input Sheet'!F131="D",LSFO_ReagStor,'User Input Sheet'!F131)</f>
        <v>60</v>
      </c>
      <c r="E88" s="397">
        <f>IF('User Input Sheet'!G131="D",LSFO_ReagStor,'User Input Sheet'!G131)</f>
        <v>60</v>
      </c>
      <c r="F88" s="397">
        <f>IF('User Input Sheet'!H131="D",LSFO_ReagStor,'User Input Sheet'!H131)</f>
        <v>60</v>
      </c>
      <c r="G88" s="397">
        <f>IF('User Input Sheet'!I131="D",LSFO_ReagStor,'User Input Sheet'!I131)</f>
        <v>60</v>
      </c>
    </row>
    <row r="89" spans="1:7" x14ac:dyDescent="0.3">
      <c r="A89" s="470" t="s">
        <v>138</v>
      </c>
      <c r="B89" s="404" t="s">
        <v>139</v>
      </c>
      <c r="C89" s="475">
        <f>IF('User Input Sheet'!E132="D",LSFO_ReagCost,'User Input Sheet'!E132)</f>
        <v>15</v>
      </c>
      <c r="D89" s="407">
        <f>IF('User Input Sheet'!F132="D",LSFO_ReagCost,'User Input Sheet'!F132)</f>
        <v>15</v>
      </c>
      <c r="E89" s="407">
        <f>IF('User Input Sheet'!G132="D",LSFO_ReagCost,'User Input Sheet'!G132)</f>
        <v>15</v>
      </c>
      <c r="F89" s="407">
        <f>IF('User Input Sheet'!H132="D",LSFO_ReagCost,'User Input Sheet'!H132)</f>
        <v>15</v>
      </c>
      <c r="G89" s="407">
        <f>IF('User Input Sheet'!I132="D",LSFO_ReagCost,'User Input Sheet'!I132)</f>
        <v>15</v>
      </c>
    </row>
    <row r="90" spans="1:7" x14ac:dyDescent="0.3">
      <c r="A90" s="470" t="s">
        <v>140</v>
      </c>
      <c r="B90" s="404" t="s">
        <v>139</v>
      </c>
      <c r="C90" s="475">
        <f>IF('User Input Sheet'!E133="D",LSFO_LandfillCost,'User Input Sheet'!E133)</f>
        <v>30</v>
      </c>
      <c r="D90" s="407">
        <f>IF('User Input Sheet'!F133="D",LSFO_LandfillCost,'User Input Sheet'!F133)</f>
        <v>30</v>
      </c>
      <c r="E90" s="407">
        <f>IF('User Input Sheet'!G133="D",LSFO_LandfillCost,'User Input Sheet'!G133)</f>
        <v>30</v>
      </c>
      <c r="F90" s="407">
        <f>IF('User Input Sheet'!H133="D",LSFO_LandfillCost,'User Input Sheet'!H133)</f>
        <v>30</v>
      </c>
      <c r="G90" s="407">
        <f>IF('User Input Sheet'!I133="D",LSFO_LandfillCost,'User Input Sheet'!I133)</f>
        <v>30</v>
      </c>
    </row>
    <row r="91" spans="1:7" x14ac:dyDescent="0.3">
      <c r="A91" s="470" t="s">
        <v>141</v>
      </c>
      <c r="B91" s="404" t="s">
        <v>139</v>
      </c>
      <c r="C91" s="475">
        <f>IF('User Input Sheet'!E134="D",LSFO_StackCost,'User Input Sheet'!E134)</f>
        <v>6</v>
      </c>
      <c r="D91" s="407">
        <f>IF('User Input Sheet'!F134="D",LSFO_StackCost,'User Input Sheet'!F134)</f>
        <v>6</v>
      </c>
      <c r="E91" s="407">
        <f>IF('User Input Sheet'!G134="D",LSFO_StackCost,'User Input Sheet'!G134)</f>
        <v>6</v>
      </c>
      <c r="F91" s="407">
        <f>IF('User Input Sheet'!H134="D",LSFO_StackCost,'User Input Sheet'!H134)</f>
        <v>6</v>
      </c>
      <c r="G91" s="407">
        <f>IF('User Input Sheet'!I134="D",LSFO_StackCost,'User Input Sheet'!I134)</f>
        <v>6</v>
      </c>
    </row>
    <row r="92" spans="1:7" x14ac:dyDescent="0.3">
      <c r="A92" s="470" t="s">
        <v>142</v>
      </c>
      <c r="B92" s="404" t="s">
        <v>139</v>
      </c>
      <c r="C92" s="475">
        <f>IF('User Input Sheet'!E135="D",LSFO_GypsumCredit,'User Input Sheet'!E135)</f>
        <v>2</v>
      </c>
      <c r="D92" s="407">
        <f>IF('User Input Sheet'!F135="D",LSFO_GypsumCredit,'User Input Sheet'!F135)</f>
        <v>2</v>
      </c>
      <c r="E92" s="407">
        <f>IF('User Input Sheet'!G135="D",LSFO_GypsumCredit,'User Input Sheet'!G135)</f>
        <v>2</v>
      </c>
      <c r="F92" s="407">
        <f>IF('User Input Sheet'!H135="D",LSFO_GypsumCredit,'User Input Sheet'!H135)</f>
        <v>2</v>
      </c>
      <c r="G92" s="407">
        <f>IF('User Input Sheet'!I135="D",LSFO_GypsumCredit,'User Input Sheet'!I135)</f>
        <v>2</v>
      </c>
    </row>
    <row r="93" spans="1:7" x14ac:dyDescent="0.3">
      <c r="A93" s="470" t="s">
        <v>143</v>
      </c>
      <c r="B93" s="404"/>
      <c r="C93" s="473"/>
      <c r="D93" s="397"/>
      <c r="E93" s="397"/>
      <c r="F93" s="397"/>
      <c r="G93" s="397"/>
    </row>
    <row r="94" spans="1:7" x14ac:dyDescent="0.3">
      <c r="A94" s="470" t="s">
        <v>144</v>
      </c>
      <c r="B94" s="404" t="s">
        <v>45</v>
      </c>
      <c r="C94" s="505">
        <f>IF('User Input Sheet'!E137="D",LSFO_Maint1,'User Input Sheet'!E137)</f>
        <v>0.05</v>
      </c>
      <c r="D94" s="403">
        <f>IF('User Input Sheet'!F137="D",LSFO_Maint1,'User Input Sheet'!F137)</f>
        <v>0.05</v>
      </c>
      <c r="E94" s="403">
        <f>IF('User Input Sheet'!G137="D",LSFO_Maint1,'User Input Sheet'!G137)</f>
        <v>0.05</v>
      </c>
      <c r="F94" s="403">
        <f>IF('User Input Sheet'!H137="D",LSFO_Maint1,'User Input Sheet'!H137)</f>
        <v>0.05</v>
      </c>
      <c r="G94" s="403">
        <f>IF('User Input Sheet'!I137="D",LSFO_Maint1,'User Input Sheet'!I137)</f>
        <v>0.05</v>
      </c>
    </row>
    <row r="95" spans="1:7" x14ac:dyDescent="0.3">
      <c r="A95" s="470" t="s">
        <v>145</v>
      </c>
      <c r="B95" s="404" t="s">
        <v>45</v>
      </c>
      <c r="C95" s="505">
        <f>IF('User Input Sheet'!E138="D",LSFO_Maint2,'User Input Sheet'!E138)</f>
        <v>0.05</v>
      </c>
      <c r="D95" s="403">
        <f>IF('User Input Sheet'!F138="D",LSFO_Maint2,'User Input Sheet'!F138)</f>
        <v>0.05</v>
      </c>
      <c r="E95" s="403">
        <f>IF('User Input Sheet'!G138="D",LSFO_Maint2,'User Input Sheet'!G138)</f>
        <v>0.05</v>
      </c>
      <c r="F95" s="403">
        <f>IF('User Input Sheet'!H138="D",LSFO_Maint2,'User Input Sheet'!H138)</f>
        <v>0.05</v>
      </c>
      <c r="G95" s="403">
        <f>IF('User Input Sheet'!I138="D",LSFO_Maint2,'User Input Sheet'!I138)</f>
        <v>0.05</v>
      </c>
    </row>
    <row r="96" spans="1:7" x14ac:dyDescent="0.3">
      <c r="A96" s="470" t="s">
        <v>146</v>
      </c>
      <c r="B96" s="404" t="s">
        <v>45</v>
      </c>
      <c r="C96" s="505">
        <f>IF('User Input Sheet'!E139="D",LSFO_Maint3,'User Input Sheet'!E139)</f>
        <v>0.05</v>
      </c>
      <c r="D96" s="403">
        <f>IF('User Input Sheet'!F139="D",LSFO_Maint3,'User Input Sheet'!F139)</f>
        <v>0.05</v>
      </c>
      <c r="E96" s="403">
        <f>IF('User Input Sheet'!G139="D",LSFO_Maint3,'User Input Sheet'!G139)</f>
        <v>0.05</v>
      </c>
      <c r="F96" s="403">
        <f>IF('User Input Sheet'!H139="D",LSFO_Maint3,'User Input Sheet'!H139)</f>
        <v>0.05</v>
      </c>
      <c r="G96" s="403">
        <f>IF('User Input Sheet'!I139="D",LSFO_Maint3,'User Input Sheet'!I139)</f>
        <v>0.05</v>
      </c>
    </row>
    <row r="97" spans="1:7" x14ac:dyDescent="0.3">
      <c r="A97" s="470" t="s">
        <v>147</v>
      </c>
      <c r="B97" s="404" t="s">
        <v>45</v>
      </c>
      <c r="C97" s="505">
        <f>IF('User Input Sheet'!E140="D",LSFO_Maint4,'User Input Sheet'!E140)</f>
        <v>0.05</v>
      </c>
      <c r="D97" s="403">
        <f>IF('User Input Sheet'!F140="D",LSFO_Maint4,'User Input Sheet'!F140)</f>
        <v>0.05</v>
      </c>
      <c r="E97" s="403">
        <f>IF('User Input Sheet'!G140="D",LSFO_Maint4,'User Input Sheet'!G140)</f>
        <v>0.05</v>
      </c>
      <c r="F97" s="403">
        <f>IF('User Input Sheet'!H140="D",LSFO_Maint4,'User Input Sheet'!H140)</f>
        <v>0.05</v>
      </c>
      <c r="G97" s="403">
        <f>IF('User Input Sheet'!I140="D",LSFO_Maint4,'User Input Sheet'!I140)</f>
        <v>0.05</v>
      </c>
    </row>
    <row r="98" spans="1:7" x14ac:dyDescent="0.3">
      <c r="A98" s="470" t="s">
        <v>148</v>
      </c>
      <c r="B98" s="404" t="s">
        <v>45</v>
      </c>
      <c r="C98" s="505">
        <f>IF('User Input Sheet'!E141="D",LSFO_Maint5,'User Input Sheet'!E141)</f>
        <v>0.05</v>
      </c>
      <c r="D98" s="403">
        <f>IF('User Input Sheet'!F141="D",LSFO_Maint5,'User Input Sheet'!F141)</f>
        <v>0.05</v>
      </c>
      <c r="E98" s="403">
        <f>IF('User Input Sheet'!G141="D",LSFO_Maint5,'User Input Sheet'!G141)</f>
        <v>0.05</v>
      </c>
      <c r="F98" s="403">
        <f>IF('User Input Sheet'!H141="D",LSFO_Maint5,'User Input Sheet'!H141)</f>
        <v>0.05</v>
      </c>
      <c r="G98" s="403">
        <f>IF('User Input Sheet'!I141="D",LSFO_Maint5,'User Input Sheet'!I141)</f>
        <v>0.05</v>
      </c>
    </row>
    <row r="99" spans="1:7" x14ac:dyDescent="0.3">
      <c r="A99" s="470" t="s">
        <v>149</v>
      </c>
      <c r="B99" s="404"/>
      <c r="C99" s="473"/>
      <c r="D99" s="397"/>
      <c r="E99" s="397"/>
      <c r="F99" s="397"/>
      <c r="G99" s="397"/>
    </row>
    <row r="100" spans="1:7" x14ac:dyDescent="0.3">
      <c r="A100" s="470" t="s">
        <v>144</v>
      </c>
      <c r="B100" s="404" t="s">
        <v>45</v>
      </c>
      <c r="C100" s="505">
        <f>IF('User Input Sheet'!E143="D",LSFO_Conting1,'User Input Sheet'!E143)</f>
        <v>0.2</v>
      </c>
      <c r="D100" s="403">
        <f>IF('User Input Sheet'!F143="D",LSFO_Conting1,'User Input Sheet'!F143)</f>
        <v>0.2</v>
      </c>
      <c r="E100" s="403">
        <f>IF('User Input Sheet'!G143="D",LSFO_Conting1,'User Input Sheet'!G143)</f>
        <v>0.2</v>
      </c>
      <c r="F100" s="403">
        <f>IF('User Input Sheet'!H143="D",LSFO_Conting1,'User Input Sheet'!H143)</f>
        <v>0.2</v>
      </c>
      <c r="G100" s="403">
        <f>IF('User Input Sheet'!I143="D",LSFO_Conting1,'User Input Sheet'!I143)</f>
        <v>0.2</v>
      </c>
    </row>
    <row r="101" spans="1:7" x14ac:dyDescent="0.3">
      <c r="A101" s="470" t="s">
        <v>145</v>
      </c>
      <c r="B101" s="404" t="s">
        <v>45</v>
      </c>
      <c r="C101" s="505">
        <f>IF('User Input Sheet'!E144="D",LSFO_Conting2,'User Input Sheet'!E144)</f>
        <v>0.2</v>
      </c>
      <c r="D101" s="403">
        <f>IF('User Input Sheet'!F144="D",LSFO_Conting2,'User Input Sheet'!F144)</f>
        <v>0.2</v>
      </c>
      <c r="E101" s="403">
        <f>IF('User Input Sheet'!G144="D",LSFO_Conting2,'User Input Sheet'!G144)</f>
        <v>0.2</v>
      </c>
      <c r="F101" s="403">
        <f>IF('User Input Sheet'!H144="D",LSFO_Conting2,'User Input Sheet'!H144)</f>
        <v>0.2</v>
      </c>
      <c r="G101" s="403">
        <f>IF('User Input Sheet'!I144="D",LSFO_Conting2,'User Input Sheet'!I144)</f>
        <v>0.2</v>
      </c>
    </row>
    <row r="102" spans="1:7" x14ac:dyDescent="0.3">
      <c r="A102" s="470" t="s">
        <v>146</v>
      </c>
      <c r="B102" s="404" t="s">
        <v>45</v>
      </c>
      <c r="C102" s="505">
        <f>IF('User Input Sheet'!E145="D",LSFO_Conting3,'User Input Sheet'!E145)</f>
        <v>0.2</v>
      </c>
      <c r="D102" s="403">
        <f>IF('User Input Sheet'!F145="D",LSFO_Conting3,'User Input Sheet'!F145)</f>
        <v>0.2</v>
      </c>
      <c r="E102" s="403">
        <f>IF('User Input Sheet'!G145="D",LSFO_Conting3,'User Input Sheet'!G145)</f>
        <v>0.2</v>
      </c>
      <c r="F102" s="403">
        <f>IF('User Input Sheet'!H145="D",LSFO_Conting3,'User Input Sheet'!H145)</f>
        <v>0.2</v>
      </c>
      <c r="G102" s="403">
        <f>IF('User Input Sheet'!I145="D",LSFO_Conting3,'User Input Sheet'!I145)</f>
        <v>0.2</v>
      </c>
    </row>
    <row r="103" spans="1:7" x14ac:dyDescent="0.3">
      <c r="A103" s="470" t="s">
        <v>147</v>
      </c>
      <c r="B103" s="404" t="s">
        <v>45</v>
      </c>
      <c r="C103" s="505">
        <f>IF('User Input Sheet'!E146="D",LSFO_Conting4,'User Input Sheet'!E146)</f>
        <v>0.2</v>
      </c>
      <c r="D103" s="403">
        <f>IF('User Input Sheet'!F146="D",LSFO_Conting4,'User Input Sheet'!F146)</f>
        <v>0.2</v>
      </c>
      <c r="E103" s="403">
        <f>IF('User Input Sheet'!G146="D",LSFO_Conting4,'User Input Sheet'!G146)</f>
        <v>0.2</v>
      </c>
      <c r="F103" s="403">
        <f>IF('User Input Sheet'!H146="D",LSFO_Conting4,'User Input Sheet'!H146)</f>
        <v>0.2</v>
      </c>
      <c r="G103" s="403">
        <f>IF('User Input Sheet'!I146="D",LSFO_Conting4,'User Input Sheet'!I146)</f>
        <v>0.2</v>
      </c>
    </row>
    <row r="104" spans="1:7" x14ac:dyDescent="0.3">
      <c r="A104" s="470" t="s">
        <v>148</v>
      </c>
      <c r="B104" s="404" t="s">
        <v>45</v>
      </c>
      <c r="C104" s="505">
        <f>IF('User Input Sheet'!E147="D",LSFO_Conting5,'User Input Sheet'!E147)</f>
        <v>0.2</v>
      </c>
      <c r="D104" s="403">
        <f>IF('User Input Sheet'!F147="D",LSFO_Conting5,'User Input Sheet'!F147)</f>
        <v>0.2</v>
      </c>
      <c r="E104" s="403">
        <f>IF('User Input Sheet'!G147="D",LSFO_Conting5,'User Input Sheet'!G147)</f>
        <v>0.2</v>
      </c>
      <c r="F104" s="403">
        <f>IF('User Input Sheet'!H147="D",LSFO_Conting5,'User Input Sheet'!H147)</f>
        <v>0.2</v>
      </c>
      <c r="G104" s="403">
        <f>IF('User Input Sheet'!I147="D",LSFO_Conting5,'User Input Sheet'!I147)</f>
        <v>0.2</v>
      </c>
    </row>
    <row r="105" spans="1:7" x14ac:dyDescent="0.3">
      <c r="A105" s="470" t="s">
        <v>150</v>
      </c>
      <c r="B105" s="404"/>
      <c r="C105" s="473"/>
      <c r="D105" s="397"/>
      <c r="E105" s="397"/>
      <c r="F105" s="397"/>
      <c r="G105" s="397"/>
    </row>
    <row r="106" spans="1:7" x14ac:dyDescent="0.3">
      <c r="A106" s="470" t="s">
        <v>144</v>
      </c>
      <c r="B106" s="404" t="s">
        <v>45</v>
      </c>
      <c r="C106" s="505">
        <f>IF('User Input Sheet'!E149="D",LSFO_Facil1,'User Input Sheet'!E149)</f>
        <v>0.1</v>
      </c>
      <c r="D106" s="403">
        <f>IF('User Input Sheet'!F149="D",LSFO_Facil1,'User Input Sheet'!F149)</f>
        <v>0.1</v>
      </c>
      <c r="E106" s="403">
        <f>IF('User Input Sheet'!G149="D",LSFO_Facil1,'User Input Sheet'!G149)</f>
        <v>0.1</v>
      </c>
      <c r="F106" s="403">
        <f>IF('User Input Sheet'!H149="D",LSFO_Facil1,'User Input Sheet'!H149)</f>
        <v>0.1</v>
      </c>
      <c r="G106" s="403">
        <f>IF('User Input Sheet'!I149="D",LSFO_Facil1,'User Input Sheet'!I149)</f>
        <v>0.1</v>
      </c>
    </row>
    <row r="107" spans="1:7" x14ac:dyDescent="0.3">
      <c r="A107" s="470" t="s">
        <v>145</v>
      </c>
      <c r="B107" s="404" t="s">
        <v>45</v>
      </c>
      <c r="C107" s="505">
        <f>IF('User Input Sheet'!E150="D",LSFO_Facil2,'User Input Sheet'!E150)</f>
        <v>0.1</v>
      </c>
      <c r="D107" s="403">
        <f>IF('User Input Sheet'!F150="D",LSFO_Facil2,'User Input Sheet'!F150)</f>
        <v>0.1</v>
      </c>
      <c r="E107" s="403">
        <f>IF('User Input Sheet'!G150="D",LSFO_Facil2,'User Input Sheet'!G150)</f>
        <v>0.1</v>
      </c>
      <c r="F107" s="403">
        <f>IF('User Input Sheet'!H150="D",LSFO_Facil2,'User Input Sheet'!H150)</f>
        <v>0.1</v>
      </c>
      <c r="G107" s="403">
        <f>IF('User Input Sheet'!I150="D",LSFO_Facil2,'User Input Sheet'!I150)</f>
        <v>0.1</v>
      </c>
    </row>
    <row r="108" spans="1:7" x14ac:dyDescent="0.3">
      <c r="A108" s="470" t="s">
        <v>146</v>
      </c>
      <c r="B108" s="404" t="s">
        <v>45</v>
      </c>
      <c r="C108" s="505">
        <f>IF('User Input Sheet'!E151="D",LSFO_Facil3,'User Input Sheet'!E151)</f>
        <v>0.1</v>
      </c>
      <c r="D108" s="403">
        <f>IF('User Input Sheet'!F151="D",LSFO_Facil3,'User Input Sheet'!F151)</f>
        <v>0.1</v>
      </c>
      <c r="E108" s="403">
        <f>IF('User Input Sheet'!G151="D",LSFO_Facil3,'User Input Sheet'!G151)</f>
        <v>0.1</v>
      </c>
      <c r="F108" s="403">
        <f>IF('User Input Sheet'!H151="D",LSFO_Facil3,'User Input Sheet'!H151)</f>
        <v>0.1</v>
      </c>
      <c r="G108" s="403">
        <f>IF('User Input Sheet'!I151="D",LSFO_Facil3,'User Input Sheet'!I151)</f>
        <v>0.1</v>
      </c>
    </row>
    <row r="109" spans="1:7" x14ac:dyDescent="0.3">
      <c r="A109" s="470" t="s">
        <v>147</v>
      </c>
      <c r="B109" s="404" t="s">
        <v>45</v>
      </c>
      <c r="C109" s="505">
        <f>IF('User Input Sheet'!E152="D",LSFO_Facil4,'User Input Sheet'!E152)</f>
        <v>0.1</v>
      </c>
      <c r="D109" s="403">
        <f>IF('User Input Sheet'!F152="D",LSFO_Facil4,'User Input Sheet'!F152)</f>
        <v>0.1</v>
      </c>
      <c r="E109" s="403">
        <f>IF('User Input Sheet'!G152="D",LSFO_Facil4,'User Input Sheet'!G152)</f>
        <v>0.1</v>
      </c>
      <c r="F109" s="403">
        <f>IF('User Input Sheet'!H152="D",LSFO_Facil4,'User Input Sheet'!H152)</f>
        <v>0.1</v>
      </c>
      <c r="G109" s="403">
        <f>IF('User Input Sheet'!I152="D",LSFO_Facil4,'User Input Sheet'!I152)</f>
        <v>0.1</v>
      </c>
    </row>
    <row r="110" spans="1:7" x14ac:dyDescent="0.3">
      <c r="A110" s="470" t="s">
        <v>148</v>
      </c>
      <c r="B110" s="404" t="s">
        <v>45</v>
      </c>
      <c r="C110" s="505">
        <f>IF('User Input Sheet'!E153="D",LSFO_Facil5,'User Input Sheet'!E153)</f>
        <v>0.1</v>
      </c>
      <c r="D110" s="403">
        <f>IF('User Input Sheet'!F153="D",LSFO_Facil5,'User Input Sheet'!F153)</f>
        <v>0.1</v>
      </c>
      <c r="E110" s="403">
        <f>IF('User Input Sheet'!G153="D",LSFO_Facil5,'User Input Sheet'!G153)</f>
        <v>0.1</v>
      </c>
      <c r="F110" s="403">
        <f>IF('User Input Sheet'!H153="D",LSFO_Facil5,'User Input Sheet'!H153)</f>
        <v>0.1</v>
      </c>
      <c r="G110" s="403">
        <f>IF('User Input Sheet'!I153="D",LSFO_Facil5,'User Input Sheet'!I153)</f>
        <v>0.1</v>
      </c>
    </row>
    <row r="111" spans="1:7" x14ac:dyDescent="0.3">
      <c r="A111" s="470" t="s">
        <v>151</v>
      </c>
      <c r="B111" s="404"/>
      <c r="C111" s="473"/>
      <c r="D111" s="397"/>
      <c r="E111" s="397"/>
      <c r="F111" s="397"/>
      <c r="G111" s="397"/>
    </row>
    <row r="112" spans="1:7" x14ac:dyDescent="0.3">
      <c r="A112" s="470" t="s">
        <v>144</v>
      </c>
      <c r="B112" s="404" t="s">
        <v>45</v>
      </c>
      <c r="C112" s="505">
        <f>IF('User Input Sheet'!E155="D",LSFO_EngHO1,'User Input Sheet'!E155)</f>
        <v>0.1</v>
      </c>
      <c r="D112" s="403">
        <f>IF('User Input Sheet'!F155="D",LSFO_EngHO1,'User Input Sheet'!F155)</f>
        <v>0.1</v>
      </c>
      <c r="E112" s="403">
        <f>IF('User Input Sheet'!G155="D",LSFO_EngHO1,'User Input Sheet'!G155)</f>
        <v>0.1</v>
      </c>
      <c r="F112" s="403">
        <f>IF('User Input Sheet'!H155="D",LSFO_EngHO1,'User Input Sheet'!H155)</f>
        <v>0.1</v>
      </c>
      <c r="G112" s="403">
        <f>IF('User Input Sheet'!I155="D",LSFO_EngHO1,'User Input Sheet'!I155)</f>
        <v>0.1</v>
      </c>
    </row>
    <row r="113" spans="1:7" x14ac:dyDescent="0.3">
      <c r="A113" s="470" t="s">
        <v>145</v>
      </c>
      <c r="B113" s="404" t="s">
        <v>45</v>
      </c>
      <c r="C113" s="505">
        <f>IF('User Input Sheet'!E156="D",LSFO_EngHO2,'User Input Sheet'!E156)</f>
        <v>0.1</v>
      </c>
      <c r="D113" s="403">
        <f>IF('User Input Sheet'!F156="D",LSFO_EngHO2,'User Input Sheet'!F156)</f>
        <v>0.1</v>
      </c>
      <c r="E113" s="403">
        <f>IF('User Input Sheet'!G156="D",LSFO_EngHO2,'User Input Sheet'!G156)</f>
        <v>0.1</v>
      </c>
      <c r="F113" s="403">
        <f>IF('User Input Sheet'!H156="D",LSFO_EngHO2,'User Input Sheet'!H156)</f>
        <v>0.1</v>
      </c>
      <c r="G113" s="403">
        <f>IF('User Input Sheet'!I156="D",LSFO_EngHO2,'User Input Sheet'!I156)</f>
        <v>0.1</v>
      </c>
    </row>
    <row r="114" spans="1:7" x14ac:dyDescent="0.3">
      <c r="A114" s="470" t="s">
        <v>146</v>
      </c>
      <c r="B114" s="404" t="s">
        <v>45</v>
      </c>
      <c r="C114" s="505">
        <f>IF('User Input Sheet'!E157="D",LSFO_EngHO3,'User Input Sheet'!E157)</f>
        <v>0.1</v>
      </c>
      <c r="D114" s="403">
        <f>IF('User Input Sheet'!F157="D",LSFO_EngHO3,'User Input Sheet'!F157)</f>
        <v>0.1</v>
      </c>
      <c r="E114" s="403">
        <f>IF('User Input Sheet'!G157="D",LSFO_EngHO3,'User Input Sheet'!G157)</f>
        <v>0.1</v>
      </c>
      <c r="F114" s="403">
        <f>IF('User Input Sheet'!H157="D",LSFO_EngHO3,'User Input Sheet'!H157)</f>
        <v>0.1</v>
      </c>
      <c r="G114" s="403">
        <f>IF('User Input Sheet'!I157="D",LSFO_EngHO3,'User Input Sheet'!I157)</f>
        <v>0.1</v>
      </c>
    </row>
    <row r="115" spans="1:7" x14ac:dyDescent="0.3">
      <c r="A115" s="470" t="s">
        <v>147</v>
      </c>
      <c r="B115" s="404" t="s">
        <v>45</v>
      </c>
      <c r="C115" s="505">
        <f>IF('User Input Sheet'!E158="D",LSFO_EngHO4,'User Input Sheet'!E158)</f>
        <v>0.1</v>
      </c>
      <c r="D115" s="403">
        <f>IF('User Input Sheet'!F158="D",LSFO_EngHO4,'User Input Sheet'!F158)</f>
        <v>0.1</v>
      </c>
      <c r="E115" s="403">
        <f>IF('User Input Sheet'!G158="D",LSFO_EngHO4,'User Input Sheet'!G158)</f>
        <v>0.1</v>
      </c>
      <c r="F115" s="403">
        <f>IF('User Input Sheet'!H158="D",LSFO_EngHO4,'User Input Sheet'!H158)</f>
        <v>0.1</v>
      </c>
      <c r="G115" s="403">
        <f>IF('User Input Sheet'!I158="D",LSFO_EngHO4,'User Input Sheet'!I158)</f>
        <v>0.1</v>
      </c>
    </row>
    <row r="116" spans="1:7" ht="13.5" thickBot="1" x14ac:dyDescent="0.35">
      <c r="A116" s="476" t="s">
        <v>148</v>
      </c>
      <c r="B116" s="419" t="s">
        <v>45</v>
      </c>
      <c r="C116" s="506">
        <f>IF('User Input Sheet'!E159="D",LSFO_EngHO5,'User Input Sheet'!E159)</f>
        <v>0.1</v>
      </c>
      <c r="D116" s="403">
        <f>IF('User Input Sheet'!F159="D",LSFO_EngHO5,'User Input Sheet'!F159)</f>
        <v>0.1</v>
      </c>
      <c r="E116" s="403">
        <f>IF('User Input Sheet'!G159="D",LSFO_EngHO5,'User Input Sheet'!G159)</f>
        <v>0.1</v>
      </c>
      <c r="F116" s="403">
        <f>IF('User Input Sheet'!H159="D",LSFO_EngHO5,'User Input Sheet'!H159)</f>
        <v>0.1</v>
      </c>
      <c r="G116" s="403">
        <f>IF('User Input Sheet'!I159="D",LSFO_EngHO5,'User Input Sheet'!I159)</f>
        <v>0.1</v>
      </c>
    </row>
    <row r="117" spans="1:7" x14ac:dyDescent="0.3">
      <c r="C117" s="397"/>
      <c r="D117" s="397"/>
      <c r="E117" s="397"/>
      <c r="F117" s="397"/>
      <c r="G117" s="397"/>
    </row>
    <row r="118" spans="1:7" ht="16" hidden="1" x14ac:dyDescent="0.4">
      <c r="A118" s="399" t="s">
        <v>152</v>
      </c>
      <c r="C118" s="397"/>
      <c r="D118" s="397"/>
      <c r="E118" s="397"/>
      <c r="F118" s="397"/>
      <c r="G118" s="397"/>
    </row>
    <row r="119" spans="1:7" hidden="1" x14ac:dyDescent="0.3">
      <c r="B119" s="397"/>
      <c r="C119" s="397"/>
      <c r="D119" s="397"/>
      <c r="E119" s="397"/>
      <c r="F119" s="397"/>
      <c r="G119" s="397"/>
    </row>
    <row r="120" spans="1:7" hidden="1" x14ac:dyDescent="0.3">
      <c r="A120" s="385" t="s">
        <v>108</v>
      </c>
      <c r="B120" s="397" t="s">
        <v>45</v>
      </c>
      <c r="C120" s="403">
        <f>IF('User Input Sheet'!E164="D",LSD_SO2Rem,'User Input Sheet'!E164)</f>
        <v>0.9</v>
      </c>
      <c r="D120" s="403">
        <f>IF('User Input Sheet'!F164="D",LSD_SO2Rem,'User Input Sheet'!F164)</f>
        <v>0.9</v>
      </c>
      <c r="E120" s="403">
        <f>IF('User Input Sheet'!G164="D",LSD_SO2Rem,'User Input Sheet'!G164)</f>
        <v>0.9</v>
      </c>
      <c r="F120" s="403">
        <f>IF('User Input Sheet'!H164="D",LSD_SO2Rem,'User Input Sheet'!H164)</f>
        <v>0.9</v>
      </c>
      <c r="G120" s="403">
        <f>IF('User Input Sheet'!I164="D",LSD_SO2Rem,'User Input Sheet'!I164)</f>
        <v>0.9</v>
      </c>
    </row>
    <row r="121" spans="1:7" hidden="1" x14ac:dyDescent="0.3">
      <c r="A121" s="385" t="s">
        <v>115</v>
      </c>
      <c r="B121" s="404" t="s">
        <v>51</v>
      </c>
      <c r="C121" s="397">
        <f>IF('User Input Sheet'!E165="D",LSD_AdSat,'User Input Sheet'!E165)</f>
        <v>127</v>
      </c>
      <c r="D121" s="397">
        <f>IF('User Input Sheet'!F165="D",LSD_AdSat,'User Input Sheet'!F165)</f>
        <v>127</v>
      </c>
      <c r="E121" s="397">
        <f>IF('User Input Sheet'!G165="D",LSD_AdSat,'User Input Sheet'!G165)</f>
        <v>127</v>
      </c>
      <c r="F121" s="397">
        <f>IF('User Input Sheet'!H165="D",LSD_AdSat,'User Input Sheet'!H165)</f>
        <v>127</v>
      </c>
      <c r="G121" s="397">
        <f>IF('User Input Sheet'!I165="D",LSD_AdSat,'User Input Sheet'!I165)</f>
        <v>127</v>
      </c>
    </row>
    <row r="122" spans="1:7" hidden="1" x14ac:dyDescent="0.3">
      <c r="A122" s="385" t="s">
        <v>154</v>
      </c>
      <c r="B122" s="404" t="s">
        <v>51</v>
      </c>
      <c r="C122" s="397">
        <f>IF('User Input Sheet'!E166="D",LSD_ApptoSat,'User Input Sheet'!E166)</f>
        <v>20</v>
      </c>
      <c r="D122" s="397">
        <f>IF('User Input Sheet'!F166="D",LSD_ApptoSat,'User Input Sheet'!F166)</f>
        <v>20</v>
      </c>
      <c r="E122" s="397">
        <f>IF('User Input Sheet'!G166="D",LSD_ApptoSat,'User Input Sheet'!G166)</f>
        <v>20</v>
      </c>
      <c r="F122" s="397">
        <f>IF('User Input Sheet'!H166="D",LSD_ApptoSat,'User Input Sheet'!H166)</f>
        <v>20</v>
      </c>
      <c r="G122" s="397">
        <f>IF('User Input Sheet'!I166="D",LSD_ApptoSat,'User Input Sheet'!I166)</f>
        <v>20</v>
      </c>
    </row>
    <row r="123" spans="1:7" hidden="1" x14ac:dyDescent="0.3">
      <c r="A123" s="385" t="s">
        <v>156</v>
      </c>
      <c r="B123" s="404" t="s">
        <v>51</v>
      </c>
      <c r="C123" s="397">
        <f>IF('User Input Sheet'!E167="D",LSD_OutTemp,'User Input Sheet'!E167)</f>
        <v>147</v>
      </c>
      <c r="D123" s="397">
        <f>IF('User Input Sheet'!F167="D",LSD_OutTemp,'User Input Sheet'!F167)</f>
        <v>147</v>
      </c>
      <c r="E123" s="397">
        <f>IF('User Input Sheet'!G167="D",LSD_OutTemp,'User Input Sheet'!G167)</f>
        <v>147</v>
      </c>
      <c r="F123" s="397">
        <f>IF('User Input Sheet'!H167="D",LSD_OutTemp,'User Input Sheet'!H167)</f>
        <v>147</v>
      </c>
      <c r="G123" s="397">
        <f>IF('User Input Sheet'!I167="D",LSD_OutTemp,'User Input Sheet'!I167)</f>
        <v>147</v>
      </c>
    </row>
    <row r="124" spans="1:7" hidden="1" x14ac:dyDescent="0.3">
      <c r="A124" s="385" t="s">
        <v>117</v>
      </c>
      <c r="B124" s="397" t="s">
        <v>118</v>
      </c>
      <c r="C124" s="408">
        <f>IF('User Input Sheet'!E168="D",LSD_ReagRatio,'User Input Sheet'!E168)</f>
        <v>0.91836734693877553</v>
      </c>
      <c r="D124" s="408">
        <f>IF('User Input Sheet'!F168="D",LSD_ReagRatio,'User Input Sheet'!F168)</f>
        <v>0.91836734693877553</v>
      </c>
      <c r="E124" s="408">
        <f>IF('User Input Sheet'!G168="D",LSD_ReagRatio,'User Input Sheet'!G168)</f>
        <v>0.91836734693877553</v>
      </c>
      <c r="F124" s="408">
        <f>IF('User Input Sheet'!H168="D",LSD_ReagRatio,'User Input Sheet'!H168)</f>
        <v>0.91836734693877553</v>
      </c>
      <c r="G124" s="408">
        <f>IF('User Input Sheet'!I168="D",LSD_ReagRatio,'User Input Sheet'!I168)</f>
        <v>0.91836734693877553</v>
      </c>
    </row>
    <row r="125" spans="1:7" hidden="1" x14ac:dyDescent="0.3">
      <c r="A125" s="385" t="s">
        <v>159</v>
      </c>
      <c r="B125" s="397"/>
      <c r="C125" s="397"/>
      <c r="D125" s="397"/>
      <c r="E125" s="397"/>
      <c r="F125" s="397"/>
      <c r="G125" s="397"/>
    </row>
    <row r="126" spans="1:7" hidden="1" x14ac:dyDescent="0.3">
      <c r="A126" s="385" t="s">
        <v>160</v>
      </c>
      <c r="B126" s="397" t="s">
        <v>118</v>
      </c>
      <c r="C126" s="397">
        <f>IF('User Input Sheet'!E170="D",LSD_Recycle,'User Input Sheet'!E170)</f>
        <v>30</v>
      </c>
      <c r="D126" s="397">
        <f>IF('User Input Sheet'!F170="D",LSD_Recycle,'User Input Sheet'!F170)</f>
        <v>30</v>
      </c>
      <c r="E126" s="397">
        <f>IF('User Input Sheet'!G170="D",LSD_Recycle,'User Input Sheet'!G170)</f>
        <v>30</v>
      </c>
      <c r="F126" s="397">
        <f>IF('User Input Sheet'!H170="D",LSD_Recycle,'User Input Sheet'!H170)</f>
        <v>30</v>
      </c>
      <c r="G126" s="397">
        <f>IF('User Input Sheet'!I170="D",LSD_Recycle,'User Input Sheet'!I170)</f>
        <v>30</v>
      </c>
    </row>
    <row r="127" spans="1:7" hidden="1" x14ac:dyDescent="0.3">
      <c r="A127" s="385" t="s">
        <v>162</v>
      </c>
      <c r="B127" s="397"/>
      <c r="C127" s="397"/>
      <c r="D127" s="397"/>
      <c r="E127" s="397"/>
      <c r="F127" s="397"/>
      <c r="G127" s="397"/>
    </row>
    <row r="128" spans="1:7" hidden="1" x14ac:dyDescent="0.3">
      <c r="A128" s="385" t="s">
        <v>163</v>
      </c>
      <c r="B128" s="397" t="s">
        <v>122</v>
      </c>
      <c r="C128" s="403">
        <f>IF('User Input Sheet'!E172="D",LSD_RecycleConc,'User Input Sheet'!E172)</f>
        <v>0.35</v>
      </c>
      <c r="D128" s="403">
        <f>IF('User Input Sheet'!F172="D",LSD_RecycleConc,'User Input Sheet'!F172)</f>
        <v>0.35</v>
      </c>
      <c r="E128" s="403">
        <f>IF('User Input Sheet'!G172="D",LSD_RecycleConc,'User Input Sheet'!G172)</f>
        <v>0.35</v>
      </c>
      <c r="F128" s="403">
        <f>IF('User Input Sheet'!H172="D",LSD_RecycleConc,'User Input Sheet'!H172)</f>
        <v>0.35</v>
      </c>
      <c r="G128" s="403">
        <f>IF('User Input Sheet'!I172="D",LSD_RecycleConc,'User Input Sheet'!I172)</f>
        <v>0.35</v>
      </c>
    </row>
    <row r="129" spans="1:7" hidden="1" x14ac:dyDescent="0.3">
      <c r="A129" s="385" t="s">
        <v>126</v>
      </c>
      <c r="B129" s="397" t="s">
        <v>24</v>
      </c>
      <c r="C129" s="397">
        <f>IF('User Input Sheet'!E173="D",LSD_NoAbsorb,'User Input Sheet'!E173)</f>
        <v>1</v>
      </c>
      <c r="D129" s="397">
        <f>IF('User Input Sheet'!F173="D",LSD_NoAbsorb,'User Input Sheet'!F173)</f>
        <v>1</v>
      </c>
      <c r="E129" s="397">
        <f>IF('User Input Sheet'!G173="D",LSD_NoAbsorb,'User Input Sheet'!G173)</f>
        <v>1</v>
      </c>
      <c r="F129" s="397">
        <f>IF('User Input Sheet'!H173="D",LSD_NoAbsorb,'User Input Sheet'!H173)</f>
        <v>1</v>
      </c>
      <c r="G129" s="397">
        <f>IF('User Input Sheet'!I173="D",LSD_NoAbsorb,'User Input Sheet'!I173)</f>
        <v>1</v>
      </c>
    </row>
    <row r="130" spans="1:7" hidden="1" x14ac:dyDescent="0.3">
      <c r="A130" s="385" t="s">
        <v>166</v>
      </c>
      <c r="B130" s="397"/>
      <c r="C130" s="397"/>
      <c r="D130" s="397"/>
      <c r="E130" s="397"/>
      <c r="F130" s="397"/>
      <c r="G130" s="397"/>
    </row>
    <row r="131" spans="1:7" hidden="1" x14ac:dyDescent="0.3">
      <c r="A131" s="385" t="s">
        <v>129</v>
      </c>
      <c r="B131" s="397" t="s">
        <v>24</v>
      </c>
      <c r="C131" s="397">
        <f>IF('User Input Sheet'!E175="D",LSD_AbsorbMatl,'User Input Sheet'!E175)</f>
        <v>1</v>
      </c>
      <c r="D131" s="397">
        <f>IF('User Input Sheet'!F175="D",LSD_AbsorbMatl,'User Input Sheet'!F175)</f>
        <v>1</v>
      </c>
      <c r="E131" s="397">
        <f>IF('User Input Sheet'!G175="D",LSD_AbsorbMatl,'User Input Sheet'!G175)</f>
        <v>1</v>
      </c>
      <c r="F131" s="397">
        <f>IF('User Input Sheet'!H175="D",LSD_AbsorbMatl,'User Input Sheet'!H175)</f>
        <v>1</v>
      </c>
      <c r="G131" s="397">
        <f>IF('User Input Sheet'!I175="D",LSD_AbsorbMatl,'User Input Sheet'!I175)</f>
        <v>1</v>
      </c>
    </row>
    <row r="132" spans="1:7" hidden="1" x14ac:dyDescent="0.3">
      <c r="A132" s="385" t="s">
        <v>130</v>
      </c>
      <c r="B132" s="397"/>
      <c r="C132" s="397"/>
      <c r="D132" s="397"/>
      <c r="E132" s="397"/>
      <c r="F132" s="397"/>
      <c r="G132" s="397"/>
    </row>
    <row r="133" spans="1:7" hidden="1" x14ac:dyDescent="0.3">
      <c r="A133" s="385" t="s">
        <v>167</v>
      </c>
      <c r="B133" s="397" t="s">
        <v>132</v>
      </c>
      <c r="C133" s="397">
        <f>IF('User Input Sheet'!E177="D",LSD_DelP,'User Input Sheet'!E177)</f>
        <v>5</v>
      </c>
      <c r="D133" s="397">
        <f>IF('User Input Sheet'!F177="D",LSD_DelP,'User Input Sheet'!F177)</f>
        <v>5</v>
      </c>
      <c r="E133" s="397">
        <f>IF('User Input Sheet'!G177="D",LSD_DelP,'User Input Sheet'!G177)</f>
        <v>5</v>
      </c>
      <c r="F133" s="397">
        <f>IF('User Input Sheet'!H177="D",LSD_DelP,'User Input Sheet'!H177)</f>
        <v>5</v>
      </c>
      <c r="G133" s="397">
        <f>IF('User Input Sheet'!I177="D",LSD_DelP,'User Input Sheet'!I177)</f>
        <v>5</v>
      </c>
    </row>
    <row r="134" spans="1:7" hidden="1" x14ac:dyDescent="0.3">
      <c r="A134" s="385" t="s">
        <v>136</v>
      </c>
      <c r="B134" s="397" t="s">
        <v>137</v>
      </c>
      <c r="C134" s="397">
        <f>IF('User Input Sheet'!E178="D",LSD_ReagStor,'User Input Sheet'!E178)</f>
        <v>60</v>
      </c>
      <c r="D134" s="397">
        <f>IF('User Input Sheet'!F178="D",LSD_ReagStor,'User Input Sheet'!F178)</f>
        <v>60</v>
      </c>
      <c r="E134" s="397">
        <f>IF('User Input Sheet'!G178="D",LSD_ReagStor,'User Input Sheet'!G178)</f>
        <v>60</v>
      </c>
      <c r="F134" s="397">
        <f>IF('User Input Sheet'!H178="D",LSD_ReagStor,'User Input Sheet'!H178)</f>
        <v>60</v>
      </c>
      <c r="G134" s="397">
        <f>IF('User Input Sheet'!I178="D",LSD_ReagStor,'User Input Sheet'!I178)</f>
        <v>60</v>
      </c>
    </row>
    <row r="135" spans="1:7" hidden="1" x14ac:dyDescent="0.3">
      <c r="A135" s="385" t="s">
        <v>138</v>
      </c>
      <c r="B135" s="397" t="s">
        <v>139</v>
      </c>
      <c r="C135" s="407">
        <f>IF('User Input Sheet'!E179="D",LSD_ReagCost,'User Input Sheet'!E179)</f>
        <v>65</v>
      </c>
      <c r="D135" s="407">
        <f>IF('User Input Sheet'!F179="D",LSD_ReagCost,'User Input Sheet'!F179)</f>
        <v>65</v>
      </c>
      <c r="E135" s="407">
        <f>IF('User Input Sheet'!G179="D",LSD_ReagCost,'User Input Sheet'!G179)</f>
        <v>65</v>
      </c>
      <c r="F135" s="407">
        <f>IF('User Input Sheet'!H179="D",LSD_ReagCost,'User Input Sheet'!H179)</f>
        <v>65</v>
      </c>
      <c r="G135" s="407">
        <f>IF('User Input Sheet'!I179="D",LSD_ReagCost,'User Input Sheet'!I179)</f>
        <v>65</v>
      </c>
    </row>
    <row r="136" spans="1:7" hidden="1" x14ac:dyDescent="0.3">
      <c r="A136" s="385" t="s">
        <v>168</v>
      </c>
      <c r="B136" s="397" t="s">
        <v>139</v>
      </c>
      <c r="C136" s="407">
        <f>IF('User Input Sheet'!E180="D",LSD_DispCost,'User Input Sheet'!E180)</f>
        <v>30</v>
      </c>
      <c r="D136" s="407">
        <f>IF('User Input Sheet'!F180="D",LSD_DispCost,'User Input Sheet'!F180)</f>
        <v>30</v>
      </c>
      <c r="E136" s="407">
        <f>IF('User Input Sheet'!G180="D",LSD_DispCost,'User Input Sheet'!G180)</f>
        <v>30</v>
      </c>
      <c r="F136" s="407">
        <f>IF('User Input Sheet'!H180="D",LSD_DispCost,'User Input Sheet'!H180)</f>
        <v>30</v>
      </c>
      <c r="G136" s="407">
        <f>IF('User Input Sheet'!I180="D",LSD_DispCost,'User Input Sheet'!I180)</f>
        <v>30</v>
      </c>
    </row>
    <row r="137" spans="1:7" hidden="1" x14ac:dyDescent="0.3">
      <c r="A137" s="385" t="s">
        <v>143</v>
      </c>
      <c r="B137" s="397"/>
      <c r="C137" s="397"/>
      <c r="D137" s="397"/>
      <c r="E137" s="397"/>
      <c r="F137" s="397"/>
      <c r="G137" s="397"/>
    </row>
    <row r="138" spans="1:7" hidden="1" x14ac:dyDescent="0.3">
      <c r="A138" s="385" t="s">
        <v>144</v>
      </c>
      <c r="B138" s="397" t="s">
        <v>45</v>
      </c>
      <c r="C138" s="403">
        <f>IF('User Input Sheet'!E182="D",LSD_Maint1,'User Input Sheet'!E182)</f>
        <v>0.05</v>
      </c>
      <c r="D138" s="403">
        <f>IF('User Input Sheet'!F182="D",LSD_Maint1,'User Input Sheet'!F182)</f>
        <v>0.05</v>
      </c>
      <c r="E138" s="403">
        <f>IF('User Input Sheet'!G182="D",LSD_Maint1,'User Input Sheet'!G182)</f>
        <v>0.05</v>
      </c>
      <c r="F138" s="403">
        <f>IF('User Input Sheet'!H182="D",LSD_Maint1,'User Input Sheet'!H182)</f>
        <v>0.05</v>
      </c>
      <c r="G138" s="403">
        <f>IF('User Input Sheet'!I182="D",LSD_Maint1,'User Input Sheet'!I182)</f>
        <v>0.05</v>
      </c>
    </row>
    <row r="139" spans="1:7" hidden="1" x14ac:dyDescent="0.3">
      <c r="A139" s="385" t="s">
        <v>145</v>
      </c>
      <c r="B139" s="397" t="s">
        <v>45</v>
      </c>
      <c r="C139" s="403">
        <f>IF('User Input Sheet'!E183="D",LSD_Maint2,'User Input Sheet'!E183)</f>
        <v>0.05</v>
      </c>
      <c r="D139" s="403">
        <f>IF('User Input Sheet'!F183="D",LSD_Maint2,'User Input Sheet'!F183)</f>
        <v>0.05</v>
      </c>
      <c r="E139" s="403">
        <f>IF('User Input Sheet'!G183="D",LSD_Maint2,'User Input Sheet'!G183)</f>
        <v>0.05</v>
      </c>
      <c r="F139" s="403">
        <f>IF('User Input Sheet'!H183="D",LSD_Maint2,'User Input Sheet'!H183)</f>
        <v>0.05</v>
      </c>
      <c r="G139" s="403">
        <f>IF('User Input Sheet'!I183="D",LSD_Maint2,'User Input Sheet'!I183)</f>
        <v>0.05</v>
      </c>
    </row>
    <row r="140" spans="1:7" hidden="1" x14ac:dyDescent="0.3">
      <c r="A140" s="385" t="s">
        <v>146</v>
      </c>
      <c r="B140" s="397" t="s">
        <v>45</v>
      </c>
      <c r="C140" s="403">
        <f>IF('User Input Sheet'!E184="D",LSD_Maint3,'User Input Sheet'!E184)</f>
        <v>0.05</v>
      </c>
      <c r="D140" s="403">
        <f>IF('User Input Sheet'!F184="D",LSD_Maint3,'User Input Sheet'!F184)</f>
        <v>0.05</v>
      </c>
      <c r="E140" s="403">
        <f>IF('User Input Sheet'!G184="D",LSD_Maint3,'User Input Sheet'!G184)</f>
        <v>0.05</v>
      </c>
      <c r="F140" s="403">
        <f>IF('User Input Sheet'!H184="D",LSD_Maint3,'User Input Sheet'!H184)</f>
        <v>0.05</v>
      </c>
      <c r="G140" s="403">
        <f>IF('User Input Sheet'!I184="D",LSD_Maint3,'User Input Sheet'!I184)</f>
        <v>0.05</v>
      </c>
    </row>
    <row r="141" spans="1:7" hidden="1" x14ac:dyDescent="0.3">
      <c r="A141" s="385" t="s">
        <v>147</v>
      </c>
      <c r="B141" s="397" t="s">
        <v>45</v>
      </c>
      <c r="C141" s="403">
        <f>IF('User Input Sheet'!E185="D",LSD_Maint4,'User Input Sheet'!E185)</f>
        <v>0.05</v>
      </c>
      <c r="D141" s="403">
        <f>IF('User Input Sheet'!F185="D",LSD_Maint4,'User Input Sheet'!F185)</f>
        <v>0.05</v>
      </c>
      <c r="E141" s="403">
        <f>IF('User Input Sheet'!G185="D",LSD_Maint4,'User Input Sheet'!G185)</f>
        <v>0.05</v>
      </c>
      <c r="F141" s="403">
        <f>IF('User Input Sheet'!H185="D",LSD_Maint4,'User Input Sheet'!H185)</f>
        <v>0.05</v>
      </c>
      <c r="G141" s="403">
        <f>IF('User Input Sheet'!I185="D",LSD_Maint4,'User Input Sheet'!I185)</f>
        <v>0.05</v>
      </c>
    </row>
    <row r="142" spans="1:7" hidden="1" x14ac:dyDescent="0.3">
      <c r="A142" s="385" t="s">
        <v>148</v>
      </c>
      <c r="B142" s="397" t="s">
        <v>45</v>
      </c>
      <c r="C142" s="403">
        <f>IF('User Input Sheet'!E186="D",LSD_Maint5,'User Input Sheet'!E186)</f>
        <v>0.05</v>
      </c>
      <c r="D142" s="403">
        <f>IF('User Input Sheet'!F186="D",LSD_Maint5,'User Input Sheet'!F186)</f>
        <v>0.05</v>
      </c>
      <c r="E142" s="403">
        <f>IF('User Input Sheet'!G186="D",LSD_Maint5,'User Input Sheet'!G186)</f>
        <v>0.05</v>
      </c>
      <c r="F142" s="403">
        <f>IF('User Input Sheet'!H186="D",LSD_Maint5,'User Input Sheet'!H186)</f>
        <v>0.05</v>
      </c>
      <c r="G142" s="403">
        <f>IF('User Input Sheet'!I186="D",LSD_Maint5,'User Input Sheet'!I186)</f>
        <v>0.05</v>
      </c>
    </row>
    <row r="143" spans="1:7" hidden="1" x14ac:dyDescent="0.3">
      <c r="A143" s="385" t="s">
        <v>149</v>
      </c>
      <c r="B143" s="397"/>
      <c r="C143" s="397"/>
      <c r="D143" s="397"/>
      <c r="E143" s="397"/>
      <c r="F143" s="397"/>
      <c r="G143" s="397"/>
    </row>
    <row r="144" spans="1:7" hidden="1" x14ac:dyDescent="0.3">
      <c r="A144" s="385" t="s">
        <v>144</v>
      </c>
      <c r="B144" s="397" t="s">
        <v>45</v>
      </c>
      <c r="C144" s="403">
        <f>IF('User Input Sheet'!E188="D",LSD_Conting1,'User Input Sheet'!E188)</f>
        <v>0.2</v>
      </c>
      <c r="D144" s="403">
        <f>IF('User Input Sheet'!F188="D",LSD_Conting1,'User Input Sheet'!F188)</f>
        <v>0.2</v>
      </c>
      <c r="E144" s="403">
        <f>IF('User Input Sheet'!G188="D",LSD_Conting1,'User Input Sheet'!G188)</f>
        <v>0.2</v>
      </c>
      <c r="F144" s="403">
        <f>IF('User Input Sheet'!H188="D",LSD_Conting1,'User Input Sheet'!H188)</f>
        <v>0.2</v>
      </c>
      <c r="G144" s="403">
        <f>IF('User Input Sheet'!I188="D",LSD_Conting1,'User Input Sheet'!I188)</f>
        <v>0.2</v>
      </c>
    </row>
    <row r="145" spans="1:7" hidden="1" x14ac:dyDescent="0.3">
      <c r="A145" s="385" t="s">
        <v>145</v>
      </c>
      <c r="B145" s="397" t="s">
        <v>45</v>
      </c>
      <c r="C145" s="403">
        <f>IF('User Input Sheet'!E189="D",LSD_Conting2,'User Input Sheet'!E189)</f>
        <v>0.2</v>
      </c>
      <c r="D145" s="403">
        <f>IF('User Input Sheet'!F189="D",LSD_Conting2,'User Input Sheet'!F189)</f>
        <v>0.2</v>
      </c>
      <c r="E145" s="403">
        <f>IF('User Input Sheet'!G189="D",LSD_Conting2,'User Input Sheet'!G189)</f>
        <v>0.2</v>
      </c>
      <c r="F145" s="403">
        <f>IF('User Input Sheet'!H189="D",LSD_Conting2,'User Input Sheet'!H189)</f>
        <v>0.2</v>
      </c>
      <c r="G145" s="403">
        <f>IF('User Input Sheet'!I189="D",LSD_Conting2,'User Input Sheet'!I189)</f>
        <v>0.2</v>
      </c>
    </row>
    <row r="146" spans="1:7" hidden="1" x14ac:dyDescent="0.3">
      <c r="A146" s="385" t="s">
        <v>146</v>
      </c>
      <c r="B146" s="397" t="s">
        <v>45</v>
      </c>
      <c r="C146" s="403">
        <f>IF('User Input Sheet'!E190="D",LSD_Conting3,'User Input Sheet'!E190)</f>
        <v>0.2</v>
      </c>
      <c r="D146" s="403">
        <f>IF('User Input Sheet'!F190="D",LSD_Conting3,'User Input Sheet'!F190)</f>
        <v>0.2</v>
      </c>
      <c r="E146" s="403">
        <f>IF('User Input Sheet'!G190="D",LSD_Conting3,'User Input Sheet'!G190)</f>
        <v>0.2</v>
      </c>
      <c r="F146" s="403">
        <f>IF('User Input Sheet'!H190="D",LSD_Conting3,'User Input Sheet'!H190)</f>
        <v>0.2</v>
      </c>
      <c r="G146" s="403">
        <f>IF('User Input Sheet'!I190="D",LSD_Conting3,'User Input Sheet'!I190)</f>
        <v>0.2</v>
      </c>
    </row>
    <row r="147" spans="1:7" hidden="1" x14ac:dyDescent="0.3">
      <c r="A147" s="385" t="s">
        <v>147</v>
      </c>
      <c r="B147" s="397" t="s">
        <v>45</v>
      </c>
      <c r="C147" s="403">
        <f>IF('User Input Sheet'!E191="D",LSD_Conting4,'User Input Sheet'!E191)</f>
        <v>0.2</v>
      </c>
      <c r="D147" s="403">
        <f>IF('User Input Sheet'!F191="D",LSD_Conting4,'User Input Sheet'!F191)</f>
        <v>0.2</v>
      </c>
      <c r="E147" s="403">
        <f>IF('User Input Sheet'!G191="D",LSD_Conting4,'User Input Sheet'!G191)</f>
        <v>0.2</v>
      </c>
      <c r="F147" s="403">
        <f>IF('User Input Sheet'!H191="D",LSD_Conting4,'User Input Sheet'!H191)</f>
        <v>0.2</v>
      </c>
      <c r="G147" s="403">
        <f>IF('User Input Sheet'!I191="D",LSD_Conting4,'User Input Sheet'!I191)</f>
        <v>0.2</v>
      </c>
    </row>
    <row r="148" spans="1:7" hidden="1" x14ac:dyDescent="0.3">
      <c r="A148" s="385" t="s">
        <v>148</v>
      </c>
      <c r="B148" s="397" t="s">
        <v>45</v>
      </c>
      <c r="C148" s="403">
        <f>IF('User Input Sheet'!E192="D",LSD_Conting5,'User Input Sheet'!E192)</f>
        <v>0.2</v>
      </c>
      <c r="D148" s="403">
        <f>IF('User Input Sheet'!F192="D",LSD_Conting5,'User Input Sheet'!F192)</f>
        <v>0.2</v>
      </c>
      <c r="E148" s="403">
        <f>IF('User Input Sheet'!G192="D",LSD_Conting5,'User Input Sheet'!G192)</f>
        <v>0.2</v>
      </c>
      <c r="F148" s="403">
        <f>IF('User Input Sheet'!H192="D",LSD_Conting5,'User Input Sheet'!H192)</f>
        <v>0.2</v>
      </c>
      <c r="G148" s="403">
        <f>IF('User Input Sheet'!I192="D",LSD_Conting5,'User Input Sheet'!I192)</f>
        <v>0.2</v>
      </c>
    </row>
    <row r="149" spans="1:7" hidden="1" x14ac:dyDescent="0.3">
      <c r="A149" s="385" t="s">
        <v>150</v>
      </c>
      <c r="B149" s="397"/>
      <c r="C149" s="397"/>
      <c r="D149" s="397"/>
      <c r="E149" s="397"/>
      <c r="F149" s="397"/>
      <c r="G149" s="397"/>
    </row>
    <row r="150" spans="1:7" hidden="1" x14ac:dyDescent="0.3">
      <c r="A150" s="385" t="s">
        <v>144</v>
      </c>
      <c r="B150" s="397" t="s">
        <v>45</v>
      </c>
      <c r="C150" s="403">
        <f>IF('User Input Sheet'!E194="D",LSD_Facil1,'User Input Sheet'!E194)</f>
        <v>0.1</v>
      </c>
      <c r="D150" s="403">
        <f>IF('User Input Sheet'!F194="D",LSD_Facil1,'User Input Sheet'!F194)</f>
        <v>0.1</v>
      </c>
      <c r="E150" s="403">
        <f>IF('User Input Sheet'!G194="D",LSD_Facil1,'User Input Sheet'!G194)</f>
        <v>0.1</v>
      </c>
      <c r="F150" s="403">
        <f>IF('User Input Sheet'!H194="D",LSD_Facil1,'User Input Sheet'!H194)</f>
        <v>0.1</v>
      </c>
      <c r="G150" s="403">
        <f>IF('User Input Sheet'!I194="D",LSD_Facil1,'User Input Sheet'!I194)</f>
        <v>0.1</v>
      </c>
    </row>
    <row r="151" spans="1:7" hidden="1" x14ac:dyDescent="0.3">
      <c r="A151" s="385" t="s">
        <v>145</v>
      </c>
      <c r="B151" s="397" t="s">
        <v>45</v>
      </c>
      <c r="C151" s="403">
        <f>IF('User Input Sheet'!E195="D",LSD_Facil2,'User Input Sheet'!E195)</f>
        <v>0.1</v>
      </c>
      <c r="D151" s="403">
        <f>IF('User Input Sheet'!F195="D",LSD_Facil2,'User Input Sheet'!F195)</f>
        <v>0.1</v>
      </c>
      <c r="E151" s="403">
        <f>IF('User Input Sheet'!G195="D",LSD_Facil2,'User Input Sheet'!G195)</f>
        <v>0.1</v>
      </c>
      <c r="F151" s="403">
        <f>IF('User Input Sheet'!H195="D",LSD_Facil2,'User Input Sheet'!H195)</f>
        <v>0.1</v>
      </c>
      <c r="G151" s="403">
        <f>IF('User Input Sheet'!I195="D",LSD_Facil2,'User Input Sheet'!I195)</f>
        <v>0.1</v>
      </c>
    </row>
    <row r="152" spans="1:7" hidden="1" x14ac:dyDescent="0.3">
      <c r="A152" s="385" t="s">
        <v>146</v>
      </c>
      <c r="B152" s="397" t="s">
        <v>45</v>
      </c>
      <c r="C152" s="403">
        <f>IF('User Input Sheet'!E196="D",LSD_Facil3,'User Input Sheet'!E196)</f>
        <v>0.1</v>
      </c>
      <c r="D152" s="403">
        <f>IF('User Input Sheet'!F196="D",LSD_Facil3,'User Input Sheet'!F196)</f>
        <v>0.1</v>
      </c>
      <c r="E152" s="403">
        <f>IF('User Input Sheet'!G196="D",LSD_Facil3,'User Input Sheet'!G196)</f>
        <v>0.1</v>
      </c>
      <c r="F152" s="403">
        <f>IF('User Input Sheet'!H196="D",LSD_Facil3,'User Input Sheet'!H196)</f>
        <v>0.1</v>
      </c>
      <c r="G152" s="403">
        <f>IF('User Input Sheet'!I196="D",LSD_Facil3,'User Input Sheet'!I196)</f>
        <v>0.1</v>
      </c>
    </row>
    <row r="153" spans="1:7" hidden="1" x14ac:dyDescent="0.3">
      <c r="A153" s="385" t="s">
        <v>147</v>
      </c>
      <c r="B153" s="397" t="s">
        <v>45</v>
      </c>
      <c r="C153" s="403">
        <f>IF('User Input Sheet'!E197="D",LSD_Facil4,'User Input Sheet'!E197)</f>
        <v>0.1</v>
      </c>
      <c r="D153" s="403">
        <f>IF('User Input Sheet'!F197="D",LSD_Facil4,'User Input Sheet'!F197)</f>
        <v>0.1</v>
      </c>
      <c r="E153" s="403">
        <f>IF('User Input Sheet'!G197="D",LSD_Facil4,'User Input Sheet'!G197)</f>
        <v>0.1</v>
      </c>
      <c r="F153" s="403">
        <f>IF('User Input Sheet'!H197="D",LSD_Facil4,'User Input Sheet'!H197)</f>
        <v>0.1</v>
      </c>
      <c r="G153" s="403">
        <f>IF('User Input Sheet'!I197="D",LSD_Facil4,'User Input Sheet'!I197)</f>
        <v>0.1</v>
      </c>
    </row>
    <row r="154" spans="1:7" hidden="1" x14ac:dyDescent="0.3">
      <c r="A154" s="385" t="s">
        <v>148</v>
      </c>
      <c r="B154" s="397" t="s">
        <v>45</v>
      </c>
      <c r="C154" s="403">
        <f>IF('User Input Sheet'!E198="D",LSD_Facil5,'User Input Sheet'!E198)</f>
        <v>0.1</v>
      </c>
      <c r="D154" s="403">
        <f>IF('User Input Sheet'!F198="D",LSD_Facil5,'User Input Sheet'!F198)</f>
        <v>0.1</v>
      </c>
      <c r="E154" s="403">
        <f>IF('User Input Sheet'!G198="D",LSD_Facil5,'User Input Sheet'!G198)</f>
        <v>0.1</v>
      </c>
      <c r="F154" s="403">
        <f>IF('User Input Sheet'!H198="D",LSD_Facil5,'User Input Sheet'!H198)</f>
        <v>0.1</v>
      </c>
      <c r="G154" s="403">
        <f>IF('User Input Sheet'!I198="D",LSD_Facil5,'User Input Sheet'!I198)</f>
        <v>0.1</v>
      </c>
    </row>
    <row r="155" spans="1:7" hidden="1" x14ac:dyDescent="0.3">
      <c r="A155" s="385" t="s">
        <v>151</v>
      </c>
      <c r="B155" s="397"/>
      <c r="C155" s="397"/>
      <c r="D155" s="397"/>
      <c r="E155" s="397"/>
      <c r="F155" s="397"/>
      <c r="G155" s="397"/>
    </row>
    <row r="156" spans="1:7" hidden="1" x14ac:dyDescent="0.3">
      <c r="A156" s="385" t="s">
        <v>144</v>
      </c>
      <c r="B156" s="397" t="s">
        <v>45</v>
      </c>
      <c r="C156" s="403">
        <f>IF('User Input Sheet'!E200="D",LSD_EngHO1,'User Input Sheet'!E200)</f>
        <v>0.1</v>
      </c>
      <c r="D156" s="403">
        <f>IF('User Input Sheet'!F200="D",LSD_EngHO1,'User Input Sheet'!F200)</f>
        <v>0.1</v>
      </c>
      <c r="E156" s="403">
        <f>IF('User Input Sheet'!G200="D",LSD_EngHO1,'User Input Sheet'!G200)</f>
        <v>0.1</v>
      </c>
      <c r="F156" s="403">
        <f>IF('User Input Sheet'!H200="D",LSD_EngHO1,'User Input Sheet'!H200)</f>
        <v>0.1</v>
      </c>
      <c r="G156" s="403">
        <f>IF('User Input Sheet'!I200="D",LSD_EngHO1,'User Input Sheet'!I200)</f>
        <v>0.1</v>
      </c>
    </row>
    <row r="157" spans="1:7" hidden="1" x14ac:dyDescent="0.3">
      <c r="A157" s="385" t="s">
        <v>145</v>
      </c>
      <c r="B157" s="397" t="s">
        <v>45</v>
      </c>
      <c r="C157" s="403">
        <f>IF('User Input Sheet'!E201="D",LSD_EngHO2,'User Input Sheet'!E201)</f>
        <v>0.1</v>
      </c>
      <c r="D157" s="403">
        <f>IF('User Input Sheet'!F201="D",LSD_EngHO2,'User Input Sheet'!F201)</f>
        <v>0.1</v>
      </c>
      <c r="E157" s="403">
        <f>IF('User Input Sheet'!G201="D",LSD_EngHO2,'User Input Sheet'!G201)</f>
        <v>0.1</v>
      </c>
      <c r="F157" s="403">
        <f>IF('User Input Sheet'!H201="D",LSD_EngHO2,'User Input Sheet'!H201)</f>
        <v>0.1</v>
      </c>
      <c r="G157" s="403">
        <f>IF('User Input Sheet'!I201="D",LSD_EngHO2,'User Input Sheet'!I201)</f>
        <v>0.1</v>
      </c>
    </row>
    <row r="158" spans="1:7" hidden="1" x14ac:dyDescent="0.3">
      <c r="A158" s="385" t="s">
        <v>146</v>
      </c>
      <c r="B158" s="397" t="s">
        <v>45</v>
      </c>
      <c r="C158" s="403">
        <f>IF('User Input Sheet'!E202="D",LSD_EngHO3,'User Input Sheet'!E202)</f>
        <v>0.1</v>
      </c>
      <c r="D158" s="403">
        <f>IF('User Input Sheet'!F202="D",LSD_EngHO3,'User Input Sheet'!F202)</f>
        <v>0.1</v>
      </c>
      <c r="E158" s="403">
        <f>IF('User Input Sheet'!G202="D",LSD_EngHO3,'User Input Sheet'!G202)</f>
        <v>0.1</v>
      </c>
      <c r="F158" s="403">
        <f>IF('User Input Sheet'!H202="D",LSD_EngHO3,'User Input Sheet'!H202)</f>
        <v>0.1</v>
      </c>
      <c r="G158" s="403">
        <f>IF('User Input Sheet'!I202="D",LSD_EngHO3,'User Input Sheet'!I202)</f>
        <v>0.1</v>
      </c>
    </row>
    <row r="159" spans="1:7" hidden="1" x14ac:dyDescent="0.3">
      <c r="A159" s="385" t="s">
        <v>147</v>
      </c>
      <c r="B159" s="397" t="s">
        <v>45</v>
      </c>
      <c r="C159" s="403">
        <f>IF('User Input Sheet'!E203="D",LSD_EngHO4,'User Input Sheet'!E203)</f>
        <v>0.1</v>
      </c>
      <c r="D159" s="403">
        <f>IF('User Input Sheet'!F203="D",LSD_EngHO4,'User Input Sheet'!F203)</f>
        <v>0.1</v>
      </c>
      <c r="E159" s="403">
        <f>IF('User Input Sheet'!G203="D",LSD_EngHO4,'User Input Sheet'!G203)</f>
        <v>0.1</v>
      </c>
      <c r="F159" s="403">
        <f>IF('User Input Sheet'!H203="D",LSD_EngHO4,'User Input Sheet'!H203)</f>
        <v>0.1</v>
      </c>
      <c r="G159" s="403">
        <f>IF('User Input Sheet'!I203="D",LSD_EngHO4,'User Input Sheet'!I203)</f>
        <v>0.1</v>
      </c>
    </row>
    <row r="160" spans="1:7" hidden="1" x14ac:dyDescent="0.3">
      <c r="A160" s="385" t="s">
        <v>148</v>
      </c>
      <c r="B160" s="397" t="s">
        <v>45</v>
      </c>
      <c r="C160" s="403">
        <f>IF('User Input Sheet'!E204="D",LSD_EngHO5,'User Input Sheet'!E204)</f>
        <v>0.1</v>
      </c>
      <c r="D160" s="403">
        <f>IF('User Input Sheet'!F204="D",LSD_EngHO5,'User Input Sheet'!F204)</f>
        <v>0.1</v>
      </c>
      <c r="E160" s="403">
        <f>IF('User Input Sheet'!G204="D",LSD_EngHO5,'User Input Sheet'!G204)</f>
        <v>0.1</v>
      </c>
      <c r="F160" s="403">
        <f>IF('User Input Sheet'!H204="D",LSD_EngHO5,'User Input Sheet'!H204)</f>
        <v>0.1</v>
      </c>
      <c r="G160" s="403">
        <f>IF('User Input Sheet'!I204="D",LSD_EngHO5,'User Input Sheet'!I204)</f>
        <v>0.1</v>
      </c>
    </row>
    <row r="161" spans="1:7" hidden="1" x14ac:dyDescent="0.3">
      <c r="B161" s="397"/>
      <c r="C161" s="397"/>
      <c r="D161" s="397"/>
      <c r="E161" s="397"/>
      <c r="F161" s="397"/>
      <c r="G161" s="397"/>
    </row>
    <row r="162" spans="1:7" ht="16" hidden="1" x14ac:dyDescent="0.4">
      <c r="A162" s="399" t="s">
        <v>169</v>
      </c>
      <c r="B162" s="397"/>
      <c r="C162" s="397"/>
      <c r="D162" s="397"/>
      <c r="E162" s="397"/>
      <c r="F162" s="397"/>
      <c r="G162" s="397"/>
    </row>
    <row r="163" spans="1:7" hidden="1" x14ac:dyDescent="0.3">
      <c r="B163" s="397"/>
      <c r="C163" s="397"/>
      <c r="D163" s="397"/>
      <c r="E163" s="397"/>
      <c r="F163" s="397"/>
      <c r="G163" s="397"/>
    </row>
    <row r="164" spans="1:7" hidden="1" x14ac:dyDescent="0.3">
      <c r="A164" s="409" t="s">
        <v>170</v>
      </c>
      <c r="B164" s="397" t="s">
        <v>171</v>
      </c>
      <c r="C164" s="397">
        <f>IF('User Input Sheet'!E208="D",Def_PartLimit,'User Input Sheet'!E208)</f>
        <v>0.03</v>
      </c>
      <c r="D164" s="397">
        <f>IF('User Input Sheet'!F208="D",Def_PartLimit,'User Input Sheet'!F208)</f>
        <v>0.03</v>
      </c>
      <c r="E164" s="397">
        <f>IF('User Input Sheet'!G208="D",Def_PartLimit,'User Input Sheet'!G208)</f>
        <v>0.03</v>
      </c>
      <c r="F164" s="397">
        <f>IF('User Input Sheet'!H208="D",Def_PartLimit,'User Input Sheet'!H208)</f>
        <v>0.03</v>
      </c>
      <c r="G164" s="397">
        <f>IF('User Input Sheet'!I208="D",Def_PartLimit,'User Input Sheet'!I208)</f>
        <v>0.03</v>
      </c>
    </row>
    <row r="165" spans="1:7" hidden="1" x14ac:dyDescent="0.3">
      <c r="A165" s="409" t="s">
        <v>172</v>
      </c>
      <c r="B165" s="397"/>
      <c r="C165" s="397"/>
      <c r="D165" s="397"/>
      <c r="E165" s="397"/>
      <c r="F165" s="397"/>
      <c r="G165" s="397"/>
    </row>
    <row r="166" spans="1:7" hidden="1" x14ac:dyDescent="0.3">
      <c r="A166" s="385" t="s">
        <v>173</v>
      </c>
      <c r="B166" s="397" t="s">
        <v>132</v>
      </c>
      <c r="C166" s="397">
        <f>IF('User Input Sheet'!E210="D",FF_PDrop,'User Input Sheet'!E210)</f>
        <v>6</v>
      </c>
      <c r="D166" s="397">
        <f>IF('User Input Sheet'!F210="D",FF_PDrop,'User Input Sheet'!F210)</f>
        <v>6</v>
      </c>
      <c r="E166" s="397">
        <f>IF('User Input Sheet'!G210="D",FF_PDrop,'User Input Sheet'!G210)</f>
        <v>6</v>
      </c>
      <c r="F166" s="397">
        <f>IF('User Input Sheet'!H210="D",FF_PDrop,'User Input Sheet'!H210)</f>
        <v>6</v>
      </c>
      <c r="G166" s="397">
        <f>IF('User Input Sheet'!I210="D",FF_PDrop,'User Input Sheet'!I210)</f>
        <v>6</v>
      </c>
    </row>
    <row r="167" spans="1:7" hidden="1" x14ac:dyDescent="0.3">
      <c r="A167" s="385" t="s">
        <v>174</v>
      </c>
      <c r="B167" s="397" t="s">
        <v>24</v>
      </c>
      <c r="C167" s="397">
        <f>IF('User Input Sheet'!E211="D",Def_FF,'User Input Sheet'!E211)</f>
        <v>2</v>
      </c>
      <c r="D167" s="397">
        <f>IF('User Input Sheet'!F211="D",Def_FF,'User Input Sheet'!F211)</f>
        <v>2</v>
      </c>
      <c r="E167" s="397">
        <f>IF('User Input Sheet'!G211="D",Def_FF,'User Input Sheet'!G211)</f>
        <v>2</v>
      </c>
      <c r="F167" s="397">
        <f>IF('User Input Sheet'!H211="D",Def_FF,'User Input Sheet'!H211)</f>
        <v>2</v>
      </c>
      <c r="G167" s="397">
        <f>IF('User Input Sheet'!I211="D",Def_FF,'User Input Sheet'!I211)</f>
        <v>2</v>
      </c>
    </row>
    <row r="168" spans="1:7" ht="15" hidden="1" x14ac:dyDescent="0.3">
      <c r="A168" s="385" t="s">
        <v>175</v>
      </c>
      <c r="B168" s="397" t="s">
        <v>1172</v>
      </c>
      <c r="C168" s="397">
        <f>IF('User Input Sheet'!E212="D",Def_GastoCloth,'User Input Sheet'!E212)</f>
        <v>3.5</v>
      </c>
      <c r="D168" s="397">
        <f>IF('User Input Sheet'!F212="D",Def_GastoCloth,'User Input Sheet'!F212)</f>
        <v>3.5</v>
      </c>
      <c r="E168" s="397">
        <f>IF('User Input Sheet'!G212="D",Def_GastoCloth,'User Input Sheet'!G212)</f>
        <v>3.5</v>
      </c>
      <c r="F168" s="397">
        <f>IF('User Input Sheet'!H212="D",Def_GastoCloth,'User Input Sheet'!H212)</f>
        <v>3.5</v>
      </c>
      <c r="G168" s="397">
        <f>IF('User Input Sheet'!I212="D",Def_GastoCloth,'User Input Sheet'!I212)</f>
        <v>3.5</v>
      </c>
    </row>
    <row r="169" spans="1:7" hidden="1" x14ac:dyDescent="0.3">
      <c r="A169" s="385" t="s">
        <v>177</v>
      </c>
      <c r="B169" s="397" t="s">
        <v>24</v>
      </c>
      <c r="C169" s="397">
        <f>IF('User Input Sheet'!E213="D",Def_FabType,'User Input Sheet'!E213)</f>
        <v>2</v>
      </c>
      <c r="D169" s="397">
        <f>IF('User Input Sheet'!F213="D",Def_FabType,'User Input Sheet'!F213)</f>
        <v>2</v>
      </c>
      <c r="E169" s="397">
        <f>IF('User Input Sheet'!G213="D",Def_FabType,'User Input Sheet'!G213)</f>
        <v>2</v>
      </c>
      <c r="F169" s="397">
        <f>IF('User Input Sheet'!H213="D",Def_FabType,'User Input Sheet'!H213)</f>
        <v>2</v>
      </c>
      <c r="G169" s="397">
        <f>IF('User Input Sheet'!I213="D",Def_FabType,'User Input Sheet'!I213)</f>
        <v>2</v>
      </c>
    </row>
    <row r="170" spans="1:7" hidden="1" x14ac:dyDescent="0.3">
      <c r="A170" s="385" t="s">
        <v>178</v>
      </c>
      <c r="B170" s="397"/>
    </row>
    <row r="171" spans="1:7" hidden="1" x14ac:dyDescent="0.3">
      <c r="A171" s="385" t="s">
        <v>179</v>
      </c>
      <c r="B171" s="397" t="s">
        <v>180</v>
      </c>
      <c r="C171" s="397">
        <f>IF('User Input Sheet'!E215="D",Def_BagDia,'User Input Sheet'!E215)</f>
        <v>6</v>
      </c>
      <c r="D171" s="397">
        <f>IF('User Input Sheet'!F215="D",Def_BagDia,'User Input Sheet'!F215)</f>
        <v>6</v>
      </c>
      <c r="E171" s="397">
        <f>IF('User Input Sheet'!G215="D",Def_BagDia,'User Input Sheet'!G215)</f>
        <v>6</v>
      </c>
      <c r="F171" s="397">
        <f>IF('User Input Sheet'!H215="D",Def_BagDia,'User Input Sheet'!H215)</f>
        <v>6</v>
      </c>
      <c r="G171" s="397">
        <f>IF('User Input Sheet'!I215="D",Def_BagDia,'User Input Sheet'!I215)</f>
        <v>6</v>
      </c>
    </row>
    <row r="172" spans="1:7" hidden="1" x14ac:dyDescent="0.3">
      <c r="A172" s="385" t="s">
        <v>182</v>
      </c>
      <c r="B172" s="397" t="s">
        <v>183</v>
      </c>
      <c r="C172" s="397">
        <f>IF('User Input Sheet'!E216="D",Def_BagLength,'User Input Sheet'!E216)</f>
        <v>20</v>
      </c>
      <c r="D172" s="397">
        <f>IF('User Input Sheet'!F216="D",Def_BagLength,'User Input Sheet'!F216)</f>
        <v>20</v>
      </c>
      <c r="E172" s="397">
        <f>IF('User Input Sheet'!G216="D",Def_BagLength,'User Input Sheet'!G216)</f>
        <v>20</v>
      </c>
      <c r="F172" s="397">
        <f>IF('User Input Sheet'!H216="D",Def_BagLength,'User Input Sheet'!H216)</f>
        <v>20</v>
      </c>
      <c r="G172" s="397">
        <f>IF('User Input Sheet'!I216="D",Def_BagLength,'User Input Sheet'!I216)</f>
        <v>20</v>
      </c>
    </row>
    <row r="173" spans="1:7" hidden="1" x14ac:dyDescent="0.3">
      <c r="A173" s="385" t="s">
        <v>185</v>
      </c>
      <c r="B173" s="397"/>
      <c r="C173" s="397">
        <f>IF('User Input Sheet'!E217="D",Def_BagReach,'User Input Sheet'!E217)</f>
        <v>3</v>
      </c>
      <c r="D173" s="397">
        <f>IF('User Input Sheet'!F217="D",Def_BagReach,'User Input Sheet'!F217)</f>
        <v>3</v>
      </c>
      <c r="E173" s="397">
        <f>IF('User Input Sheet'!G217="D",Def_BagReach,'User Input Sheet'!G217)</f>
        <v>3</v>
      </c>
      <c r="F173" s="397">
        <f>IF('User Input Sheet'!H217="D",Def_BagReach,'User Input Sheet'!H217)</f>
        <v>3</v>
      </c>
      <c r="G173" s="397">
        <f>IF('User Input Sheet'!I217="D",Def_BagReach,'User Input Sheet'!I217)</f>
        <v>3</v>
      </c>
    </row>
    <row r="174" spans="1:7" hidden="1" x14ac:dyDescent="0.3">
      <c r="A174" s="385" t="s">
        <v>186</v>
      </c>
      <c r="B174" s="397" t="s">
        <v>45</v>
      </c>
      <c r="C174" s="403">
        <f>IF('User Input Sheet'!E218="D",Def_FFSparing,'User Input Sheet'!E218)</f>
        <v>0.1</v>
      </c>
      <c r="D174" s="403">
        <f>IF('User Input Sheet'!F218="D",Def_FFSparing,'User Input Sheet'!F218)</f>
        <v>0.1</v>
      </c>
      <c r="E174" s="403">
        <f>IF('User Input Sheet'!G218="D",Def_FFSparing,'User Input Sheet'!G218)</f>
        <v>0.1</v>
      </c>
      <c r="F174" s="403">
        <f>IF('User Input Sheet'!H218="D",Def_FFSparing,'User Input Sheet'!H218)</f>
        <v>0.1</v>
      </c>
      <c r="G174" s="403">
        <f>IF('User Input Sheet'!I218="D",Def_FFSparing,'User Input Sheet'!I218)</f>
        <v>0.1</v>
      </c>
    </row>
    <row r="175" spans="1:7" hidden="1" x14ac:dyDescent="0.3">
      <c r="A175" s="385" t="s">
        <v>187</v>
      </c>
      <c r="B175" s="397" t="s">
        <v>82</v>
      </c>
      <c r="C175" s="397">
        <f>IF('User Input Sheet'!E219="D",Def_BagLife,'User Input Sheet'!E219)</f>
        <v>5</v>
      </c>
      <c r="D175" s="397">
        <f>IF('User Input Sheet'!F219="D",Def_BagLife,'User Input Sheet'!F219)</f>
        <v>5</v>
      </c>
      <c r="E175" s="397">
        <f>IF('User Input Sheet'!G219="D",Def_BagLife,'User Input Sheet'!G219)</f>
        <v>5</v>
      </c>
      <c r="F175" s="397">
        <f>IF('User Input Sheet'!H219="D",Def_BagLife,'User Input Sheet'!H219)</f>
        <v>5</v>
      </c>
      <c r="G175" s="397">
        <f>IF('User Input Sheet'!I219="D",Def_BagLife,'User Input Sheet'!I219)</f>
        <v>5</v>
      </c>
    </row>
    <row r="176" spans="1:7" hidden="1" x14ac:dyDescent="0.3">
      <c r="A176" s="385" t="s">
        <v>189</v>
      </c>
      <c r="B176" s="397" t="s">
        <v>45</v>
      </c>
      <c r="C176" s="403">
        <f>IF('User Input Sheet'!E220="D",Def_FFMaint,'User Input Sheet'!E220)</f>
        <v>0.05</v>
      </c>
      <c r="D176" s="403">
        <f>IF('User Input Sheet'!F220="D",Def_FFMaint,'User Input Sheet'!F220)</f>
        <v>0.05</v>
      </c>
      <c r="E176" s="403">
        <f>IF('User Input Sheet'!G220="D",Def_FFMaint,'User Input Sheet'!G220)</f>
        <v>0.05</v>
      </c>
      <c r="F176" s="403">
        <f>IF('User Input Sheet'!H220="D",Def_FFMaint,'User Input Sheet'!H220)</f>
        <v>0.05</v>
      </c>
      <c r="G176" s="403">
        <f>IF('User Input Sheet'!I220="D",Def_FFMaint,'User Input Sheet'!I220)</f>
        <v>0.05</v>
      </c>
    </row>
    <row r="177" spans="1:7" hidden="1" x14ac:dyDescent="0.3">
      <c r="A177" s="385" t="s">
        <v>190</v>
      </c>
      <c r="B177" s="397" t="s">
        <v>45</v>
      </c>
      <c r="C177" s="403">
        <f>IF('User Input Sheet'!E221="D",Def_FFCont,'User Input Sheet'!E221)</f>
        <v>0.2</v>
      </c>
      <c r="D177" s="403">
        <f>IF('User Input Sheet'!F221="D",Def_FFCont,'User Input Sheet'!F221)</f>
        <v>0.2</v>
      </c>
      <c r="E177" s="403">
        <f>IF('User Input Sheet'!G221="D",Def_FFCont,'User Input Sheet'!G221)</f>
        <v>0.2</v>
      </c>
      <c r="F177" s="403">
        <f>IF('User Input Sheet'!H221="D",Def_FFCont,'User Input Sheet'!H221)</f>
        <v>0.2</v>
      </c>
      <c r="G177" s="403">
        <f>IF('User Input Sheet'!I221="D",Def_FFCont,'User Input Sheet'!I221)</f>
        <v>0.2</v>
      </c>
    </row>
    <row r="178" spans="1:7" hidden="1" x14ac:dyDescent="0.3">
      <c r="A178" s="385" t="s">
        <v>191</v>
      </c>
      <c r="B178" s="397" t="s">
        <v>45</v>
      </c>
      <c r="C178" s="403">
        <f>IF('User Input Sheet'!E222="D",Def_FFGenFac,'User Input Sheet'!E222)</f>
        <v>0.1</v>
      </c>
      <c r="D178" s="403">
        <f>IF('User Input Sheet'!F222="D",Def_FFGenFac,'User Input Sheet'!F222)</f>
        <v>0.1</v>
      </c>
      <c r="E178" s="403">
        <f>IF('User Input Sheet'!G222="D",Def_FFGenFac,'User Input Sheet'!G222)</f>
        <v>0.1</v>
      </c>
      <c r="F178" s="403">
        <f>IF('User Input Sheet'!H222="D",Def_FFGenFac,'User Input Sheet'!H222)</f>
        <v>0.1</v>
      </c>
      <c r="G178" s="403">
        <f>IF('User Input Sheet'!I222="D",Def_FFGenFac,'User Input Sheet'!I222)</f>
        <v>0.1</v>
      </c>
    </row>
    <row r="179" spans="1:7" hidden="1" x14ac:dyDescent="0.3">
      <c r="A179" s="385" t="s">
        <v>192</v>
      </c>
      <c r="B179" s="397" t="s">
        <v>45</v>
      </c>
      <c r="C179" s="403">
        <f>IF('User Input Sheet'!E223="D",Def_FFEng,'User Input Sheet'!E223)</f>
        <v>0.1</v>
      </c>
      <c r="D179" s="403">
        <f>IF('User Input Sheet'!F223="D",Def_FFEng,'User Input Sheet'!F223)</f>
        <v>0.1</v>
      </c>
      <c r="E179" s="403">
        <f>IF('User Input Sheet'!G223="D",Def_FFEng,'User Input Sheet'!G223)</f>
        <v>0.1</v>
      </c>
      <c r="F179" s="403">
        <f>IF('User Input Sheet'!H223="D",Def_FFEng,'User Input Sheet'!H223)</f>
        <v>0.1</v>
      </c>
      <c r="G179" s="403">
        <f>IF('User Input Sheet'!I223="D",Def_FFEng,'User Input Sheet'!I223)</f>
        <v>0.1</v>
      </c>
    </row>
    <row r="180" spans="1:7" hidden="1" x14ac:dyDescent="0.3">
      <c r="A180" s="409" t="s">
        <v>193</v>
      </c>
      <c r="B180" s="397"/>
      <c r="C180" s="397"/>
      <c r="D180" s="397"/>
      <c r="E180" s="397"/>
      <c r="F180" s="397"/>
      <c r="G180" s="397"/>
    </row>
    <row r="181" spans="1:7" ht="13.5" hidden="1" x14ac:dyDescent="0.35">
      <c r="A181" s="385" t="s">
        <v>1173</v>
      </c>
      <c r="B181" s="397" t="s">
        <v>195</v>
      </c>
      <c r="C181" s="410">
        <f>IF('User Input Sheet'!E225="D",Def_ESP_EFS,'User Input Sheet'!E225)</f>
        <v>10</v>
      </c>
      <c r="D181" s="410">
        <f>IF('User Input Sheet'!F225="D",Def_ESP_EFS,'User Input Sheet'!F225)</f>
        <v>10</v>
      </c>
      <c r="E181" s="410">
        <f>IF('User Input Sheet'!G225="D",Def_ESP_EFS,'User Input Sheet'!G225)</f>
        <v>10</v>
      </c>
      <c r="F181" s="410">
        <f>IF('User Input Sheet'!H225="D",Def_ESP_EFS,'User Input Sheet'!H225)</f>
        <v>10</v>
      </c>
      <c r="G181" s="410">
        <f>IF('User Input Sheet'!I225="D",Def_ESP_EFS,'User Input Sheet'!I225)</f>
        <v>10</v>
      </c>
    </row>
    <row r="182" spans="1:7" hidden="1" x14ac:dyDescent="0.3">
      <c r="A182" s="385" t="s">
        <v>196</v>
      </c>
      <c r="B182" s="397" t="s">
        <v>197</v>
      </c>
      <c r="C182" s="397">
        <f>IF('User Input Sheet'!E226="D",Def_Plate_Space,'User Input Sheet'!E226)</f>
        <v>12</v>
      </c>
      <c r="D182" s="397">
        <f>IF('User Input Sheet'!F226="D",Def_Plate_Space,'User Input Sheet'!F226)</f>
        <v>12</v>
      </c>
      <c r="E182" s="397">
        <f>IF('User Input Sheet'!G226="D",Def_Plate_Space,'User Input Sheet'!G226)</f>
        <v>12</v>
      </c>
      <c r="F182" s="397">
        <f>IF('User Input Sheet'!H226="D",Def_Plate_Space,'User Input Sheet'!H226)</f>
        <v>12</v>
      </c>
      <c r="G182" s="397">
        <f>IF('User Input Sheet'!I226="D",Def_Plate_Space,'User Input Sheet'!I226)</f>
        <v>12</v>
      </c>
    </row>
    <row r="183" spans="1:7" hidden="1" x14ac:dyDescent="0.3">
      <c r="A183" s="385" t="s">
        <v>198</v>
      </c>
      <c r="B183" s="397" t="s">
        <v>199</v>
      </c>
      <c r="C183" s="397">
        <f>IF('User Input Sheet'!E227="D",Def_Plate_Ht,'User Input Sheet'!E227)</f>
        <v>36</v>
      </c>
      <c r="D183" s="397">
        <f>IF('User Input Sheet'!F227="D",Def_Plate_Ht,'User Input Sheet'!F227)</f>
        <v>36</v>
      </c>
      <c r="E183" s="397">
        <f>IF('User Input Sheet'!G227="D",Def_Plate_Ht,'User Input Sheet'!G227)</f>
        <v>36</v>
      </c>
      <c r="F183" s="397">
        <f>IF('User Input Sheet'!H227="D",Def_Plate_Ht,'User Input Sheet'!H227)</f>
        <v>36</v>
      </c>
      <c r="G183" s="397">
        <f>IF('User Input Sheet'!I227="D",Def_Plate_Ht,'User Input Sheet'!I227)</f>
        <v>36</v>
      </c>
    </row>
    <row r="184" spans="1:7" hidden="1" x14ac:dyDescent="0.3">
      <c r="A184" s="385" t="s">
        <v>173</v>
      </c>
      <c r="B184" s="397" t="s">
        <v>132</v>
      </c>
      <c r="C184" s="397">
        <f>IF('User Input Sheet'!E228="D",ESP_PDrop,'User Input Sheet'!E228)</f>
        <v>3</v>
      </c>
      <c r="D184" s="397">
        <f>IF('User Input Sheet'!F228="D",ESP_PDrop,'User Input Sheet'!F228)</f>
        <v>3</v>
      </c>
      <c r="E184" s="397">
        <f>IF('User Input Sheet'!G228="D",ESP_PDrop,'User Input Sheet'!G228)</f>
        <v>3</v>
      </c>
      <c r="F184" s="397">
        <f>IF('User Input Sheet'!H228="D",ESP_PDrop,'User Input Sheet'!H228)</f>
        <v>3</v>
      </c>
      <c r="G184" s="397">
        <f>IF('User Input Sheet'!I228="D",ESP_PDrop,'User Input Sheet'!I228)</f>
        <v>3</v>
      </c>
    </row>
    <row r="185" spans="1:7" hidden="1" x14ac:dyDescent="0.3">
      <c r="A185" s="385" t="s">
        <v>189</v>
      </c>
      <c r="B185" s="397" t="s">
        <v>45</v>
      </c>
      <c r="C185" s="403">
        <f>IF('User Input Sheet'!E229="D",Def_ESPMaint,'User Input Sheet'!E229)</f>
        <v>0.05</v>
      </c>
      <c r="D185" s="403">
        <f>IF('User Input Sheet'!F229="D",Def_ESPMaint,'User Input Sheet'!F229)</f>
        <v>0.05</v>
      </c>
      <c r="E185" s="403">
        <f>IF('User Input Sheet'!G229="D",Def_ESPMaint,'User Input Sheet'!G229)</f>
        <v>0.05</v>
      </c>
      <c r="F185" s="403">
        <f>IF('User Input Sheet'!H229="D",Def_ESPMaint,'User Input Sheet'!H229)</f>
        <v>0.05</v>
      </c>
      <c r="G185" s="403">
        <f>IF('User Input Sheet'!I229="D",Def_ESPMaint,'User Input Sheet'!I229)</f>
        <v>0.05</v>
      </c>
    </row>
    <row r="186" spans="1:7" hidden="1" x14ac:dyDescent="0.3">
      <c r="A186" s="385" t="s">
        <v>190</v>
      </c>
      <c r="B186" s="397" t="s">
        <v>45</v>
      </c>
      <c r="C186" s="403">
        <f>IF('User Input Sheet'!E230="D",Def_ESPCont,'User Input Sheet'!E230)</f>
        <v>0.2</v>
      </c>
      <c r="D186" s="403">
        <f>IF('User Input Sheet'!F230="D",Def_ESPCont,'User Input Sheet'!F230)</f>
        <v>0.2</v>
      </c>
      <c r="E186" s="403">
        <f>IF('User Input Sheet'!G230="D",Def_ESPCont,'User Input Sheet'!G230)</f>
        <v>0.2</v>
      </c>
      <c r="F186" s="403">
        <f>IF('User Input Sheet'!H230="D",Def_ESPCont,'User Input Sheet'!H230)</f>
        <v>0.2</v>
      </c>
      <c r="G186" s="403">
        <f>IF('User Input Sheet'!I230="D",Def_ESPCont,'User Input Sheet'!I230)</f>
        <v>0.2</v>
      </c>
    </row>
    <row r="187" spans="1:7" hidden="1" x14ac:dyDescent="0.3">
      <c r="A187" s="385" t="s">
        <v>191</v>
      </c>
      <c r="B187" s="397" t="s">
        <v>45</v>
      </c>
      <c r="C187" s="403">
        <f>IF('User Input Sheet'!E231="D",Def_ESPGenFac,'User Input Sheet'!E231)</f>
        <v>0.1</v>
      </c>
      <c r="D187" s="403">
        <f>IF('User Input Sheet'!F231="D",Def_ESPGenFac,'User Input Sheet'!F231)</f>
        <v>0.1</v>
      </c>
      <c r="E187" s="403">
        <f>IF('User Input Sheet'!G231="D",Def_ESPGenFac,'User Input Sheet'!G231)</f>
        <v>0.1</v>
      </c>
      <c r="F187" s="403">
        <f>IF('User Input Sheet'!H231="D",Def_ESPGenFac,'User Input Sheet'!H231)</f>
        <v>0.1</v>
      </c>
      <c r="G187" s="403">
        <f>IF('User Input Sheet'!I231="D",Def_ESPGenFac,'User Input Sheet'!I231)</f>
        <v>0.1</v>
      </c>
    </row>
    <row r="188" spans="1:7" hidden="1" x14ac:dyDescent="0.3">
      <c r="A188" s="385" t="s">
        <v>192</v>
      </c>
      <c r="B188" s="397" t="s">
        <v>45</v>
      </c>
      <c r="C188" s="403">
        <f>IF('User Input Sheet'!E232="D",Def_ESPEng,'User Input Sheet'!E232)</f>
        <v>0.1</v>
      </c>
      <c r="D188" s="403">
        <f>IF('User Input Sheet'!F232="D",Def_ESPEng,'User Input Sheet'!F232)</f>
        <v>0.1</v>
      </c>
      <c r="E188" s="403">
        <f>IF('User Input Sheet'!G232="D",Def_ESPEng,'User Input Sheet'!G232)</f>
        <v>0.1</v>
      </c>
      <c r="F188" s="403">
        <f>IF('User Input Sheet'!H232="D",Def_ESPEng,'User Input Sheet'!H232)</f>
        <v>0.1</v>
      </c>
      <c r="G188" s="403">
        <f>IF('User Input Sheet'!I232="D",Def_ESPEng,'User Input Sheet'!I232)</f>
        <v>0.1</v>
      </c>
    </row>
    <row r="189" spans="1:7" hidden="1" x14ac:dyDescent="0.3">
      <c r="C189" s="397"/>
      <c r="D189" s="397"/>
      <c r="E189" s="397"/>
      <c r="F189" s="397"/>
      <c r="G189" s="397"/>
    </row>
    <row r="190" spans="1:7" ht="16" hidden="1" x14ac:dyDescent="0.4">
      <c r="A190" s="399" t="s">
        <v>200</v>
      </c>
      <c r="C190" s="397"/>
      <c r="D190" s="397"/>
      <c r="E190" s="397"/>
      <c r="F190" s="397"/>
      <c r="G190" s="397"/>
    </row>
    <row r="191" spans="1:7" hidden="1" x14ac:dyDescent="0.3">
      <c r="C191" s="397"/>
      <c r="D191" s="397"/>
      <c r="E191" s="397"/>
      <c r="F191" s="397"/>
      <c r="G191" s="397"/>
    </row>
    <row r="192" spans="1:7" hidden="1" x14ac:dyDescent="0.3">
      <c r="A192" s="411" t="s">
        <v>202</v>
      </c>
      <c r="B192" s="397"/>
      <c r="C192" s="397"/>
      <c r="D192" s="397"/>
      <c r="E192" s="397"/>
      <c r="F192" s="397"/>
      <c r="G192" s="397"/>
    </row>
    <row r="193" spans="1:7" hidden="1" x14ac:dyDescent="0.3">
      <c r="B193" s="397"/>
      <c r="C193" s="397"/>
      <c r="D193" s="397"/>
      <c r="E193" s="397"/>
      <c r="F193" s="397"/>
      <c r="G193" s="397"/>
    </row>
    <row r="194" spans="1:7" hidden="1" x14ac:dyDescent="0.3">
      <c r="A194" s="385" t="s">
        <v>207</v>
      </c>
      <c r="B194" s="397" t="s">
        <v>208</v>
      </c>
      <c r="C194" s="412">
        <f>IF('User Input Sheet'!E238="D",'User Input Sheet'!$D238,'User Input Sheet'!E238)</f>
        <v>0.9</v>
      </c>
      <c r="D194" s="412">
        <f>IF('User Input Sheet'!F238="D",'User Input Sheet'!$D238,'User Input Sheet'!F238)</f>
        <v>0.9</v>
      </c>
      <c r="E194" s="412">
        <f>IF('User Input Sheet'!G238="D",'User Input Sheet'!$D238,'User Input Sheet'!G238)</f>
        <v>0.9</v>
      </c>
      <c r="F194" s="412">
        <f>IF('User Input Sheet'!H238="D",'User Input Sheet'!$D238,'User Input Sheet'!H238)</f>
        <v>0.9</v>
      </c>
      <c r="G194" s="412">
        <f>IF('User Input Sheet'!I238="D",'User Input Sheet'!$D238,'User Input Sheet'!I238)</f>
        <v>0.9</v>
      </c>
    </row>
    <row r="195" spans="1:7" hidden="1" x14ac:dyDescent="0.3">
      <c r="A195" s="385" t="s">
        <v>213</v>
      </c>
      <c r="B195" s="397" t="s">
        <v>214</v>
      </c>
      <c r="C195" s="413">
        <f>IF('User Input Sheet'!E239="D",'User Input Sheet'!$D239,'User Input Sheet'!E239)</f>
        <v>0.7</v>
      </c>
      <c r="D195" s="413">
        <f>IF('User Input Sheet'!F239="D",'User Input Sheet'!$D239,'User Input Sheet'!F239)</f>
        <v>0.7</v>
      </c>
      <c r="E195" s="413">
        <f>IF('User Input Sheet'!G239="D",'User Input Sheet'!$D239,'User Input Sheet'!G239)</f>
        <v>0.7</v>
      </c>
      <c r="F195" s="413">
        <f>IF('User Input Sheet'!H239="D",'User Input Sheet'!$D239,'User Input Sheet'!H239)</f>
        <v>0.7</v>
      </c>
      <c r="G195" s="413">
        <f>IF('User Input Sheet'!I239="D",'User Input Sheet'!$D239,'User Input Sheet'!I239)</f>
        <v>0.7</v>
      </c>
    </row>
    <row r="196" spans="1:7" hidden="1" x14ac:dyDescent="0.3">
      <c r="A196" s="385" t="s">
        <v>220</v>
      </c>
      <c r="B196" s="404" t="s">
        <v>171</v>
      </c>
      <c r="C196" s="412">
        <f>IF('User Input Sheet'!E240="D",'User Input Sheet'!$D240,'User Input Sheet'!E240)</f>
        <v>0.36</v>
      </c>
      <c r="D196" s="412">
        <f>IF('User Input Sheet'!F240="D",'User Input Sheet'!$D240,'User Input Sheet'!F240)</f>
        <v>0.36</v>
      </c>
      <c r="E196" s="412">
        <f>IF('User Input Sheet'!G240="D",'User Input Sheet'!$D240,'User Input Sheet'!G240)</f>
        <v>0.28999999999999998</v>
      </c>
      <c r="F196" s="412">
        <f>IF('User Input Sheet'!H240="D",'User Input Sheet'!$D240,'User Input Sheet'!H240)</f>
        <v>0.44</v>
      </c>
      <c r="G196" s="412">
        <f>IF('User Input Sheet'!I240="D",'User Input Sheet'!$D240,'User Input Sheet'!I240)</f>
        <v>0.44</v>
      </c>
    </row>
    <row r="197" spans="1:7" hidden="1" x14ac:dyDescent="0.3">
      <c r="A197" s="385" t="s">
        <v>222</v>
      </c>
      <c r="B197" s="397" t="s">
        <v>223</v>
      </c>
      <c r="C197" s="412">
        <f>IF('User Input Sheet'!E241="D",'User Input Sheet'!$D241,'User Input Sheet'!E241)</f>
        <v>0</v>
      </c>
      <c r="D197" s="412">
        <f>IF('User Input Sheet'!F241="D",'User Input Sheet'!$D241,'User Input Sheet'!F241)</f>
        <v>0</v>
      </c>
      <c r="E197" s="412">
        <f>IF('User Input Sheet'!G241="D",'User Input Sheet'!$D241,'User Input Sheet'!G241)</f>
        <v>0</v>
      </c>
      <c r="F197" s="412">
        <f>IF('User Input Sheet'!H241="D",'User Input Sheet'!$D241,'User Input Sheet'!H241)</f>
        <v>0</v>
      </c>
      <c r="G197" s="412">
        <f>IF('User Input Sheet'!I241="D",'User Input Sheet'!$D241,'User Input Sheet'!I241)</f>
        <v>0</v>
      </c>
    </row>
    <row r="198" spans="1:7" hidden="1" x14ac:dyDescent="0.3">
      <c r="A198" s="385" t="s">
        <v>226</v>
      </c>
      <c r="B198" s="397" t="s">
        <v>227</v>
      </c>
      <c r="C198" s="412">
        <f>IF('User Input Sheet'!E242="D",'User Input Sheet'!$D242,'User Input Sheet'!E242)</f>
        <v>3</v>
      </c>
      <c r="D198" s="412">
        <f>IF('User Input Sheet'!F242="D",'User Input Sheet'!$D242,'User Input Sheet'!F242)</f>
        <v>3</v>
      </c>
      <c r="E198" s="412">
        <f>IF('User Input Sheet'!G242="D",'User Input Sheet'!$D242,'User Input Sheet'!G242)</f>
        <v>3</v>
      </c>
      <c r="F198" s="412">
        <f>IF('User Input Sheet'!H242="D",'User Input Sheet'!$D242,'User Input Sheet'!H242)</f>
        <v>3</v>
      </c>
      <c r="G198" s="412">
        <f>IF('User Input Sheet'!I242="D",'User Input Sheet'!$D242,'User Input Sheet'!I242)</f>
        <v>3</v>
      </c>
    </row>
    <row r="199" spans="1:7" hidden="1" x14ac:dyDescent="0.3">
      <c r="A199" s="385" t="s">
        <v>231</v>
      </c>
      <c r="B199" s="397" t="s">
        <v>139</v>
      </c>
      <c r="C199" s="412">
        <f>IF('User Input Sheet'!E243="D",'User Input Sheet'!$D243,'User Input Sheet'!E243)</f>
        <v>205.66</v>
      </c>
      <c r="D199" s="412">
        <f>IF('User Input Sheet'!F243="D",'User Input Sheet'!$D243,'User Input Sheet'!F243)</f>
        <v>205.66</v>
      </c>
      <c r="E199" s="412">
        <f>IF('User Input Sheet'!G243="D",'User Input Sheet'!$D243,'User Input Sheet'!G243)</f>
        <v>205.66</v>
      </c>
      <c r="F199" s="412">
        <f>IF('User Input Sheet'!H243="D",'User Input Sheet'!$D243,'User Input Sheet'!H243)</f>
        <v>205.66</v>
      </c>
      <c r="G199" s="412">
        <f>IF('User Input Sheet'!I243="D",'User Input Sheet'!$D243,'User Input Sheet'!I243)</f>
        <v>205.66</v>
      </c>
    </row>
    <row r="200" spans="1:7" hidden="1" x14ac:dyDescent="0.3">
      <c r="A200" s="388" t="s">
        <v>234</v>
      </c>
      <c r="B200" s="397" t="s">
        <v>235</v>
      </c>
      <c r="C200" s="412">
        <f>IF('User Input Sheet'!E244="D",'User Input Sheet'!$D244,'User Input Sheet'!E244)</f>
        <v>356.34</v>
      </c>
      <c r="D200" s="412">
        <f>IF('User Input Sheet'!F244="D",'User Input Sheet'!$D244,'User Input Sheet'!F244)</f>
        <v>356.34</v>
      </c>
      <c r="E200" s="412">
        <f>IF('User Input Sheet'!G244="D",'User Input Sheet'!$D244,'User Input Sheet'!G244)</f>
        <v>356.34</v>
      </c>
      <c r="F200" s="412">
        <f>IF('User Input Sheet'!H244="D",'User Input Sheet'!$D244,'User Input Sheet'!H244)</f>
        <v>356.34</v>
      </c>
      <c r="G200" s="412">
        <f>IF('User Input Sheet'!I244="D",'User Input Sheet'!$D244,'User Input Sheet'!I244)</f>
        <v>356.34</v>
      </c>
    </row>
    <row r="201" spans="1:7" hidden="1" x14ac:dyDescent="0.3">
      <c r="A201" s="388" t="s">
        <v>237</v>
      </c>
      <c r="B201" s="397" t="s">
        <v>139</v>
      </c>
      <c r="C201" s="412">
        <f>IF('User Input Sheet'!E245="D",'User Input Sheet'!$D245,'User Input Sheet'!E245)</f>
        <v>11.48</v>
      </c>
      <c r="D201" s="412">
        <f>IF('User Input Sheet'!F245="D",'User Input Sheet'!$D245,'User Input Sheet'!F245)</f>
        <v>11.48</v>
      </c>
      <c r="E201" s="412">
        <f>IF('User Input Sheet'!G245="D",'User Input Sheet'!$D245,'User Input Sheet'!G245)</f>
        <v>11.48</v>
      </c>
      <c r="F201" s="412">
        <f>IF('User Input Sheet'!H245="D",'User Input Sheet'!$D245,'User Input Sheet'!H245)</f>
        <v>11.48</v>
      </c>
      <c r="G201" s="412">
        <f>IF('User Input Sheet'!I245="D",'User Input Sheet'!$D245,'User Input Sheet'!I245)</f>
        <v>11.48</v>
      </c>
    </row>
    <row r="202" spans="1:7" hidden="1" x14ac:dyDescent="0.3">
      <c r="A202" s="385" t="s">
        <v>239</v>
      </c>
      <c r="B202" s="397" t="s">
        <v>45</v>
      </c>
      <c r="C202" s="414">
        <f>IF('User Input Sheet'!E246="D",'User Input Sheet'!$D246,'User Input Sheet'!E246)</f>
        <v>1.4999999999999999E-2</v>
      </c>
      <c r="D202" s="414">
        <f>IF('User Input Sheet'!F246="D",'User Input Sheet'!$D246,'User Input Sheet'!F246)</f>
        <v>1.4999999999999999E-2</v>
      </c>
      <c r="E202" s="414">
        <f>IF('User Input Sheet'!G246="D",'User Input Sheet'!$D246,'User Input Sheet'!G246)</f>
        <v>1.4999999999999999E-2</v>
      </c>
      <c r="F202" s="414">
        <f>IF('User Input Sheet'!H246="D",'User Input Sheet'!$D246,'User Input Sheet'!H246)</f>
        <v>1.4999999999999999E-2</v>
      </c>
      <c r="G202" s="414">
        <f>IF('User Input Sheet'!I246="D",'User Input Sheet'!$D246,'User Input Sheet'!I246)</f>
        <v>1.4999999999999999E-2</v>
      </c>
    </row>
    <row r="203" spans="1:7" hidden="1" x14ac:dyDescent="0.3">
      <c r="A203" s="385" t="s">
        <v>240</v>
      </c>
      <c r="B203" s="397" t="s">
        <v>45</v>
      </c>
      <c r="C203" s="403">
        <f>IF('User Input Sheet'!E247="D",'User Input Sheet'!$D247,'User Input Sheet'!E247)</f>
        <v>0.2</v>
      </c>
      <c r="D203" s="403">
        <f>IF('User Input Sheet'!F247="D",'User Input Sheet'!$D247,'User Input Sheet'!F247)</f>
        <v>0.2</v>
      </c>
      <c r="E203" s="403">
        <f>IF('User Input Sheet'!G247="D",'User Input Sheet'!$D247,'User Input Sheet'!G247)</f>
        <v>0.2</v>
      </c>
      <c r="F203" s="403">
        <f>IF('User Input Sheet'!H247="D",'User Input Sheet'!$D247,'User Input Sheet'!H247)</f>
        <v>0.2</v>
      </c>
      <c r="G203" s="403">
        <f>IF('User Input Sheet'!I247="D",'User Input Sheet'!$D247,'User Input Sheet'!I247)</f>
        <v>0.2</v>
      </c>
    </row>
    <row r="204" spans="1:7" hidden="1" x14ac:dyDescent="0.3">
      <c r="A204" s="385" t="s">
        <v>242</v>
      </c>
      <c r="B204" s="397" t="s">
        <v>45</v>
      </c>
      <c r="C204" s="403">
        <f>IF('User Input Sheet'!E248="D",'User Input Sheet'!$D248,'User Input Sheet'!E248)</f>
        <v>0.05</v>
      </c>
      <c r="D204" s="403">
        <f>IF('User Input Sheet'!F248="D",'User Input Sheet'!$D248,'User Input Sheet'!F248)</f>
        <v>0.05</v>
      </c>
      <c r="E204" s="403">
        <f>IF('User Input Sheet'!G248="D",'User Input Sheet'!$D248,'User Input Sheet'!G248)</f>
        <v>0.05</v>
      </c>
      <c r="F204" s="403">
        <f>IF('User Input Sheet'!H248="D",'User Input Sheet'!$D248,'User Input Sheet'!H248)</f>
        <v>0.05</v>
      </c>
      <c r="G204" s="403">
        <f>IF('User Input Sheet'!I248="D",'User Input Sheet'!$D248,'User Input Sheet'!I248)</f>
        <v>0.05</v>
      </c>
    </row>
    <row r="205" spans="1:7" hidden="1" x14ac:dyDescent="0.3">
      <c r="A205" s="385" t="s">
        <v>243</v>
      </c>
      <c r="B205" s="397" t="s">
        <v>45</v>
      </c>
      <c r="C205" s="403">
        <f>IF('User Input Sheet'!E249="D",'User Input Sheet'!$D249,'User Input Sheet'!E249)</f>
        <v>0.1</v>
      </c>
      <c r="D205" s="403">
        <f>IF('User Input Sheet'!F249="D",'User Input Sheet'!$D249,'User Input Sheet'!F249)</f>
        <v>0.1</v>
      </c>
      <c r="E205" s="403">
        <f>IF('User Input Sheet'!G249="D",'User Input Sheet'!$D249,'User Input Sheet'!G249)</f>
        <v>0.1</v>
      </c>
      <c r="F205" s="403">
        <f>IF('User Input Sheet'!H249="D",'User Input Sheet'!$D249,'User Input Sheet'!H249)</f>
        <v>0.1</v>
      </c>
      <c r="G205" s="403">
        <f>IF('User Input Sheet'!I249="D",'User Input Sheet'!$D249,'User Input Sheet'!I249)</f>
        <v>0.1</v>
      </c>
    </row>
    <row r="206" spans="1:7" hidden="1" x14ac:dyDescent="0.3">
      <c r="A206" s="385" t="s">
        <v>244</v>
      </c>
      <c r="B206" s="397" t="s">
        <v>245</v>
      </c>
      <c r="C206" s="412">
        <f>IF('User Input Sheet'!E250="D",'User Input Sheet'!$D250,'User Input Sheet'!E250)</f>
        <v>1</v>
      </c>
      <c r="D206" s="412">
        <f>IF('User Input Sheet'!F250="D",'User Input Sheet'!$D250,'User Input Sheet'!F250)</f>
        <v>1</v>
      </c>
      <c r="E206" s="412">
        <f>IF('User Input Sheet'!G250="D",'User Input Sheet'!$D250,'User Input Sheet'!G250)</f>
        <v>1</v>
      </c>
      <c r="F206" s="412">
        <f>IF('User Input Sheet'!H250="D",'User Input Sheet'!$D250,'User Input Sheet'!H250)</f>
        <v>1</v>
      </c>
      <c r="G206" s="412">
        <f>IF('User Input Sheet'!I250="D",'User Input Sheet'!$D250,'User Input Sheet'!I250)</f>
        <v>1</v>
      </c>
    </row>
    <row r="207" spans="1:7" hidden="1" x14ac:dyDescent="0.3">
      <c r="A207" s="385" t="s">
        <v>247</v>
      </c>
      <c r="B207" s="397" t="s">
        <v>245</v>
      </c>
      <c r="C207" s="412">
        <f>IF('User Input Sheet'!E251="D",'User Input Sheet'!$D251,'User Input Sheet'!E251)</f>
        <v>1</v>
      </c>
      <c r="D207" s="412">
        <f>IF('User Input Sheet'!F251="D",'User Input Sheet'!$D251,'User Input Sheet'!F251)</f>
        <v>1</v>
      </c>
      <c r="E207" s="412">
        <f>IF('User Input Sheet'!G251="D",'User Input Sheet'!$D251,'User Input Sheet'!G251)</f>
        <v>1</v>
      </c>
      <c r="F207" s="412">
        <f>IF('User Input Sheet'!H251="D",'User Input Sheet'!$D251,'User Input Sheet'!H251)</f>
        <v>1</v>
      </c>
      <c r="G207" s="412">
        <f>IF('User Input Sheet'!I251="D",'User Input Sheet'!$D251,'User Input Sheet'!I251)</f>
        <v>1</v>
      </c>
    </row>
    <row r="208" spans="1:7" hidden="1" x14ac:dyDescent="0.3">
      <c r="B208" s="397"/>
      <c r="C208" s="403"/>
      <c r="D208" s="403"/>
      <c r="E208" s="403"/>
      <c r="F208" s="403"/>
      <c r="G208" s="403"/>
    </row>
    <row r="209" spans="1:7" hidden="1" x14ac:dyDescent="0.3">
      <c r="A209" s="411" t="s">
        <v>249</v>
      </c>
      <c r="B209" s="397"/>
      <c r="C209" s="397"/>
      <c r="D209" s="397"/>
      <c r="E209" s="397"/>
      <c r="F209" s="397"/>
      <c r="G209" s="397"/>
    </row>
    <row r="210" spans="1:7" hidden="1" x14ac:dyDescent="0.3">
      <c r="B210" s="397"/>
      <c r="C210" s="397"/>
      <c r="D210" s="397"/>
      <c r="E210" s="397"/>
      <c r="F210" s="397"/>
      <c r="G210" s="397"/>
    </row>
    <row r="211" spans="1:7" hidden="1" x14ac:dyDescent="0.3">
      <c r="A211" s="385" t="s">
        <v>250</v>
      </c>
      <c r="B211" s="397" t="s">
        <v>251</v>
      </c>
      <c r="C211" s="412">
        <f>IF('User Input Sheet'!E255="D",'User Input Sheet'!$D255,'User Input Sheet'!E255)</f>
        <v>1</v>
      </c>
      <c r="D211" s="412">
        <f>IF('User Input Sheet'!F255="D",'User Input Sheet'!$D255,'User Input Sheet'!F255)</f>
        <v>1</v>
      </c>
      <c r="E211" s="412">
        <f>IF('User Input Sheet'!G255="D",'User Input Sheet'!$D255,'User Input Sheet'!G255)</f>
        <v>1</v>
      </c>
      <c r="F211" s="412">
        <f>IF('User Input Sheet'!H255="D",'User Input Sheet'!$D255,'User Input Sheet'!H255)</f>
        <v>1</v>
      </c>
      <c r="G211" s="412">
        <f>IF('User Input Sheet'!I255="D",'User Input Sheet'!$D255,'User Input Sheet'!I255)</f>
        <v>1</v>
      </c>
    </row>
    <row r="212" spans="1:7" hidden="1" x14ac:dyDescent="0.3">
      <c r="A212" s="385" t="s">
        <v>253</v>
      </c>
      <c r="B212" s="397" t="s">
        <v>245</v>
      </c>
      <c r="C212" s="412">
        <f>IF('User Input Sheet'!E256="D",'User Input Sheet'!$D256,'User Input Sheet'!E256)</f>
        <v>3</v>
      </c>
      <c r="D212" s="412">
        <f>IF('User Input Sheet'!F256="D",'User Input Sheet'!$D256,'User Input Sheet'!F256)</f>
        <v>3</v>
      </c>
      <c r="E212" s="412">
        <f>IF('User Input Sheet'!G256="D",'User Input Sheet'!$D256,'User Input Sheet'!G256)</f>
        <v>3</v>
      </c>
      <c r="F212" s="412">
        <f>IF('User Input Sheet'!H256="D",'User Input Sheet'!$D256,'User Input Sheet'!H256)</f>
        <v>3</v>
      </c>
      <c r="G212" s="412">
        <f>IF('User Input Sheet'!I256="D",'User Input Sheet'!$D256,'User Input Sheet'!I256)</f>
        <v>3</v>
      </c>
    </row>
    <row r="213" spans="1:7" hidden="1" x14ac:dyDescent="0.3">
      <c r="A213" s="385" t="s">
        <v>255</v>
      </c>
      <c r="B213" s="397" t="s">
        <v>245</v>
      </c>
      <c r="C213" s="412">
        <f>IF('User Input Sheet'!E257="D",'User Input Sheet'!$D257,'User Input Sheet'!E257)</f>
        <v>18</v>
      </c>
      <c r="D213" s="412">
        <f>IF('User Input Sheet'!F257="D",'User Input Sheet'!$D257,'User Input Sheet'!F257)</f>
        <v>18</v>
      </c>
      <c r="E213" s="412">
        <f>IF('User Input Sheet'!G257="D",'User Input Sheet'!$D257,'User Input Sheet'!G257)</f>
        <v>18</v>
      </c>
      <c r="F213" s="412">
        <f>IF('User Input Sheet'!H257="D",'User Input Sheet'!$D257,'User Input Sheet'!H257)</f>
        <v>18</v>
      </c>
      <c r="G213" s="412">
        <f>IF('User Input Sheet'!I257="D",'User Input Sheet'!$D257,'User Input Sheet'!I257)</f>
        <v>18</v>
      </c>
    </row>
    <row r="214" spans="1:7" hidden="1" x14ac:dyDescent="0.3">
      <c r="A214" s="385" t="s">
        <v>256</v>
      </c>
      <c r="B214" s="397" t="s">
        <v>245</v>
      </c>
      <c r="C214" s="412">
        <f>IF('User Input Sheet'!E258="D",'User Input Sheet'!$D258,'User Input Sheet'!E258)</f>
        <v>0</v>
      </c>
      <c r="D214" s="412">
        <f>IF('User Input Sheet'!F258="D",'User Input Sheet'!$D258,'User Input Sheet'!F258)</f>
        <v>0</v>
      </c>
      <c r="E214" s="412">
        <f>IF('User Input Sheet'!G258="D",'User Input Sheet'!$D258,'User Input Sheet'!G258)</f>
        <v>0</v>
      </c>
      <c r="F214" s="412">
        <f>IF('User Input Sheet'!H258="D",'User Input Sheet'!$D258,'User Input Sheet'!H258)</f>
        <v>0</v>
      </c>
      <c r="G214" s="412">
        <f>IF('User Input Sheet'!I258="D",'User Input Sheet'!$D258,'User Input Sheet'!I258)</f>
        <v>0</v>
      </c>
    </row>
    <row r="215" spans="1:7" hidden="1" x14ac:dyDescent="0.3">
      <c r="A215" s="385" t="s">
        <v>258</v>
      </c>
      <c r="B215" s="397" t="s">
        <v>245</v>
      </c>
      <c r="C215" s="412">
        <f>IF('User Input Sheet'!E259="D",'User Input Sheet'!$D259,'User Input Sheet'!E259)</f>
        <v>0</v>
      </c>
      <c r="D215" s="412">
        <f>IF('User Input Sheet'!F259="D",'User Input Sheet'!$D259,'User Input Sheet'!F259)</f>
        <v>0</v>
      </c>
      <c r="E215" s="412">
        <f>IF('User Input Sheet'!G259="D",'User Input Sheet'!$D259,'User Input Sheet'!G259)</f>
        <v>0</v>
      </c>
      <c r="F215" s="412">
        <f>IF('User Input Sheet'!H259="D",'User Input Sheet'!$D259,'User Input Sheet'!H259)</f>
        <v>0</v>
      </c>
      <c r="G215" s="412">
        <f>IF('User Input Sheet'!I259="D",'User Input Sheet'!$D259,'User Input Sheet'!I259)</f>
        <v>0</v>
      </c>
    </row>
    <row r="216" spans="1:7" hidden="1" x14ac:dyDescent="0.3">
      <c r="A216" s="385" t="s">
        <v>259</v>
      </c>
      <c r="B216" s="397" t="s">
        <v>245</v>
      </c>
      <c r="C216" s="412">
        <f>IF('User Input Sheet'!E260="D",'User Input Sheet'!$D260,'User Input Sheet'!E260)</f>
        <v>1</v>
      </c>
      <c r="D216" s="412">
        <f>IF('User Input Sheet'!F260="D",'User Input Sheet'!$D260,'User Input Sheet'!F260)</f>
        <v>1</v>
      </c>
      <c r="E216" s="412">
        <f>IF('User Input Sheet'!G260="D",'User Input Sheet'!$D260,'User Input Sheet'!G260)</f>
        <v>1</v>
      </c>
      <c r="F216" s="412">
        <f>IF('User Input Sheet'!H260="D",'User Input Sheet'!$D260,'User Input Sheet'!H260)</f>
        <v>1</v>
      </c>
      <c r="G216" s="412">
        <f>IF('User Input Sheet'!I260="D",'User Input Sheet'!$D260,'User Input Sheet'!I260)</f>
        <v>1</v>
      </c>
    </row>
    <row r="217" spans="1:7" hidden="1" x14ac:dyDescent="0.3">
      <c r="A217" s="385" t="s">
        <v>213</v>
      </c>
      <c r="B217" s="397" t="s">
        <v>214</v>
      </c>
      <c r="C217" s="413">
        <f>IF('User Input Sheet'!E261="D",'User Input Sheet'!$D261,'User Input Sheet'!E261)</f>
        <v>0.5</v>
      </c>
      <c r="D217" s="413">
        <f>IF('User Input Sheet'!F261="D",'User Input Sheet'!$D261,'User Input Sheet'!F261)</f>
        <v>0.5</v>
      </c>
      <c r="E217" s="413">
        <f>IF('User Input Sheet'!G261="D",'User Input Sheet'!$D261,'User Input Sheet'!G261)</f>
        <v>0.5</v>
      </c>
      <c r="F217" s="413">
        <f>IF('User Input Sheet'!H261="D",'User Input Sheet'!$D261,'User Input Sheet'!H261)</f>
        <v>0.5</v>
      </c>
      <c r="G217" s="413">
        <f>IF('User Input Sheet'!I261="D",'User Input Sheet'!$D261,'User Input Sheet'!I261)</f>
        <v>0.5</v>
      </c>
    </row>
    <row r="218" spans="1:7" hidden="1" x14ac:dyDescent="0.3">
      <c r="A218" s="385" t="s">
        <v>220</v>
      </c>
      <c r="B218" s="404" t="s">
        <v>171</v>
      </c>
      <c r="C218" s="412">
        <f>IF('User Input Sheet'!E262="D",'User Input Sheet'!$D262,'User Input Sheet'!E262)</f>
        <v>0.36</v>
      </c>
      <c r="D218" s="412">
        <f>IF('User Input Sheet'!F262="D",'User Input Sheet'!$D262,'User Input Sheet'!F262)</f>
        <v>0.36</v>
      </c>
      <c r="E218" s="412">
        <f>IF('User Input Sheet'!G262="D",'User Input Sheet'!$D262,'User Input Sheet'!G262)</f>
        <v>0.28999999999999998</v>
      </c>
      <c r="F218" s="412">
        <f>IF('User Input Sheet'!H262="D",'User Input Sheet'!$D262,'User Input Sheet'!H262)</f>
        <v>0.44</v>
      </c>
      <c r="G218" s="412">
        <f>IF('User Input Sheet'!I262="D",'User Input Sheet'!$D262,'User Input Sheet'!I262)</f>
        <v>0.44</v>
      </c>
    </row>
    <row r="219" spans="1:7" hidden="1" x14ac:dyDescent="0.3">
      <c r="A219" s="385" t="s">
        <v>207</v>
      </c>
      <c r="B219" s="397" t="s">
        <v>208</v>
      </c>
      <c r="C219" s="412">
        <f>IF('User Input Sheet'!E263="D",'User Input Sheet'!$D263,'User Input Sheet'!E263)</f>
        <v>1.2</v>
      </c>
      <c r="D219" s="412">
        <f>IF('User Input Sheet'!F263="D",'User Input Sheet'!$D263,'User Input Sheet'!F263)</f>
        <v>1.2</v>
      </c>
      <c r="E219" s="412">
        <f>IF('User Input Sheet'!G263="D",'User Input Sheet'!$D263,'User Input Sheet'!G263)</f>
        <v>1.2</v>
      </c>
      <c r="F219" s="412">
        <f>IF('User Input Sheet'!H263="D",'User Input Sheet'!$D263,'User Input Sheet'!H263)</f>
        <v>1.2</v>
      </c>
      <c r="G219" s="412">
        <f>IF('User Input Sheet'!I263="D",'User Input Sheet'!$D263,'User Input Sheet'!I263)</f>
        <v>1.2</v>
      </c>
    </row>
    <row r="220" spans="1:7" hidden="1" x14ac:dyDescent="0.3">
      <c r="A220" s="385" t="s">
        <v>264</v>
      </c>
      <c r="B220" s="397" t="s">
        <v>265</v>
      </c>
      <c r="C220" s="412">
        <f>IF('User Input Sheet'!E264="D",'User Input Sheet'!$D264,'User Input Sheet'!E264)</f>
        <v>1.2</v>
      </c>
      <c r="D220" s="412">
        <f>IF('User Input Sheet'!F264="D",'User Input Sheet'!$D264,'User Input Sheet'!F264)</f>
        <v>1.2</v>
      </c>
      <c r="E220" s="412">
        <f>IF('User Input Sheet'!G264="D",'User Input Sheet'!$D264,'User Input Sheet'!G264)</f>
        <v>1.2</v>
      </c>
      <c r="F220" s="412">
        <f>IF('User Input Sheet'!H264="D",'User Input Sheet'!$D264,'User Input Sheet'!H264)</f>
        <v>1.2</v>
      </c>
      <c r="G220" s="412">
        <f>IF('User Input Sheet'!I264="D",'User Input Sheet'!$D264,'User Input Sheet'!I264)</f>
        <v>1.2</v>
      </c>
    </row>
    <row r="221" spans="1:7" hidden="1" x14ac:dyDescent="0.3">
      <c r="A221" s="385" t="s">
        <v>268</v>
      </c>
      <c r="B221" s="397" t="s">
        <v>139</v>
      </c>
      <c r="C221" s="415">
        <f>IF('User Input Sheet'!E265="D",'User Input Sheet'!$D265,'User Input Sheet'!E265)</f>
        <v>224.95</v>
      </c>
      <c r="D221" s="412">
        <f>IF('User Input Sheet'!F265="D",'User Input Sheet'!$D265,'User Input Sheet'!F265)</f>
        <v>224.95</v>
      </c>
      <c r="E221" s="412">
        <f>IF('User Input Sheet'!G265="D",'User Input Sheet'!$D265,'User Input Sheet'!G265)</f>
        <v>224.95</v>
      </c>
      <c r="F221" s="412">
        <f>IF('User Input Sheet'!H265="D",'User Input Sheet'!$D265,'User Input Sheet'!H265)</f>
        <v>224.95</v>
      </c>
      <c r="G221" s="412">
        <f>IF('User Input Sheet'!I265="D",'User Input Sheet'!$D265,'User Input Sheet'!I265)</f>
        <v>224.95</v>
      </c>
    </row>
    <row r="222" spans="1:7" hidden="1" x14ac:dyDescent="0.3">
      <c r="A222" s="385" t="s">
        <v>231</v>
      </c>
      <c r="B222" s="397" t="s">
        <v>139</v>
      </c>
      <c r="C222" s="412">
        <f>IF('User Input Sheet'!E266="D",'User Input Sheet'!$D266,'User Input Sheet'!E266)</f>
        <v>205.66</v>
      </c>
      <c r="D222" s="412">
        <f>IF('User Input Sheet'!F266="D",'User Input Sheet'!$D266,'User Input Sheet'!F266)</f>
        <v>205.66</v>
      </c>
      <c r="E222" s="412">
        <f>IF('User Input Sheet'!G266="D",'User Input Sheet'!$D266,'User Input Sheet'!G266)</f>
        <v>205.66</v>
      </c>
      <c r="F222" s="412">
        <f>IF('User Input Sheet'!H266="D",'User Input Sheet'!$D266,'User Input Sheet'!H266)</f>
        <v>205.66</v>
      </c>
      <c r="G222" s="412">
        <f>IF('User Input Sheet'!I266="D",'User Input Sheet'!$D266,'User Input Sheet'!I266)</f>
        <v>205.66</v>
      </c>
    </row>
    <row r="223" spans="1:7" hidden="1" x14ac:dyDescent="0.3">
      <c r="A223" s="388" t="s">
        <v>271</v>
      </c>
      <c r="B223" s="397" t="s">
        <v>272</v>
      </c>
      <c r="C223" s="412">
        <f>IF('User Input Sheet'!E267="D",'User Input Sheet'!$D267,'User Input Sheet'!E267)</f>
        <v>0.40699999999999997</v>
      </c>
      <c r="D223" s="412">
        <f>IF('User Input Sheet'!F267="D",'User Input Sheet'!$D267,'User Input Sheet'!F267)</f>
        <v>0.40699999999999997</v>
      </c>
      <c r="E223" s="412">
        <f>IF('User Input Sheet'!G267="D",'User Input Sheet'!$D267,'User Input Sheet'!G267)</f>
        <v>0.40699999999999997</v>
      </c>
      <c r="F223" s="412">
        <f>IF('User Input Sheet'!H267="D",'User Input Sheet'!$D267,'User Input Sheet'!H267)</f>
        <v>0.40699999999999997</v>
      </c>
      <c r="G223" s="412">
        <f>IF('User Input Sheet'!I267="D",'User Input Sheet'!$D267,'User Input Sheet'!I267)</f>
        <v>0.40699999999999997</v>
      </c>
    </row>
    <row r="224" spans="1:7" hidden="1" x14ac:dyDescent="0.3">
      <c r="A224" s="385" t="s">
        <v>239</v>
      </c>
      <c r="B224" s="397" t="s">
        <v>45</v>
      </c>
      <c r="C224" s="414">
        <f>IF('User Input Sheet'!E268="D",'User Input Sheet'!$D268,'User Input Sheet'!E268)</f>
        <v>1.4999999999999999E-2</v>
      </c>
      <c r="D224" s="414">
        <f>IF('User Input Sheet'!F268="D",'User Input Sheet'!$D268,'User Input Sheet'!F268)</f>
        <v>1.4999999999999999E-2</v>
      </c>
      <c r="E224" s="414">
        <f>IF('User Input Sheet'!G268="D",'User Input Sheet'!$D268,'User Input Sheet'!G268)</f>
        <v>1.4999999999999999E-2</v>
      </c>
      <c r="F224" s="414">
        <f>IF('User Input Sheet'!H268="D",'User Input Sheet'!$D268,'User Input Sheet'!H268)</f>
        <v>1.4999999999999999E-2</v>
      </c>
      <c r="G224" s="414">
        <f>IF('User Input Sheet'!I268="D",'User Input Sheet'!$D268,'User Input Sheet'!I268)</f>
        <v>1.4999999999999999E-2</v>
      </c>
    </row>
    <row r="225" spans="1:7" hidden="1" x14ac:dyDescent="0.3">
      <c r="A225" s="385" t="s">
        <v>240</v>
      </c>
      <c r="B225" s="397" t="s">
        <v>45</v>
      </c>
      <c r="C225" s="403">
        <f>IF('User Input Sheet'!E269="D",'User Input Sheet'!$D269,'User Input Sheet'!E269)</f>
        <v>0.2</v>
      </c>
      <c r="D225" s="403">
        <f>IF('User Input Sheet'!F269="D",'User Input Sheet'!$D269,'User Input Sheet'!F269)</f>
        <v>0.2</v>
      </c>
      <c r="E225" s="403">
        <f>IF('User Input Sheet'!G269="D",'User Input Sheet'!$D269,'User Input Sheet'!G269)</f>
        <v>0.2</v>
      </c>
      <c r="F225" s="403">
        <f>IF('User Input Sheet'!H269="D",'User Input Sheet'!$D269,'User Input Sheet'!H269)</f>
        <v>0.2</v>
      </c>
      <c r="G225" s="403">
        <f>IF('User Input Sheet'!I269="D",'User Input Sheet'!$D269,'User Input Sheet'!I269)</f>
        <v>0.2</v>
      </c>
    </row>
    <row r="226" spans="1:7" hidden="1" x14ac:dyDescent="0.3">
      <c r="A226" s="385" t="s">
        <v>242</v>
      </c>
      <c r="B226" s="397" t="s">
        <v>45</v>
      </c>
      <c r="C226" s="403">
        <f>IF('User Input Sheet'!E270="D",'User Input Sheet'!$D270,'User Input Sheet'!E270)</f>
        <v>0.05</v>
      </c>
      <c r="D226" s="403">
        <f>IF('User Input Sheet'!F270="D",'User Input Sheet'!$D270,'User Input Sheet'!F270)</f>
        <v>0.05</v>
      </c>
      <c r="E226" s="403">
        <f>IF('User Input Sheet'!G270="D",'User Input Sheet'!$D270,'User Input Sheet'!G270)</f>
        <v>0.05</v>
      </c>
      <c r="F226" s="403">
        <f>IF('User Input Sheet'!H270="D",'User Input Sheet'!$D270,'User Input Sheet'!H270)</f>
        <v>0.05</v>
      </c>
      <c r="G226" s="403">
        <f>IF('User Input Sheet'!I270="D",'User Input Sheet'!$D270,'User Input Sheet'!I270)</f>
        <v>0.05</v>
      </c>
    </row>
    <row r="227" spans="1:7" hidden="1" x14ac:dyDescent="0.3">
      <c r="A227" s="385" t="s">
        <v>243</v>
      </c>
      <c r="B227" s="397" t="s">
        <v>45</v>
      </c>
      <c r="C227" s="403">
        <f>IF('User Input Sheet'!E271="D",'User Input Sheet'!$D271,'User Input Sheet'!E271)</f>
        <v>0.1</v>
      </c>
      <c r="D227" s="403">
        <f>IF('User Input Sheet'!F271="D",'User Input Sheet'!$D271,'User Input Sheet'!F271)</f>
        <v>0.1</v>
      </c>
      <c r="E227" s="403">
        <f>IF('User Input Sheet'!G271="D",'User Input Sheet'!$D271,'User Input Sheet'!G271)</f>
        <v>0.1</v>
      </c>
      <c r="F227" s="403">
        <f>IF('User Input Sheet'!H271="D",'User Input Sheet'!$D271,'User Input Sheet'!H271)</f>
        <v>0.1</v>
      </c>
      <c r="G227" s="403">
        <f>IF('User Input Sheet'!I271="D",'User Input Sheet'!$D271,'User Input Sheet'!I271)</f>
        <v>0.1</v>
      </c>
    </row>
    <row r="228" spans="1:7" hidden="1" x14ac:dyDescent="0.3">
      <c r="B228" s="397"/>
      <c r="C228" s="412"/>
      <c r="D228" s="412"/>
      <c r="E228" s="412"/>
      <c r="F228" s="412"/>
      <c r="G228" s="412"/>
    </row>
    <row r="229" spans="1:7" hidden="1" x14ac:dyDescent="0.3">
      <c r="A229" s="411" t="s">
        <v>275</v>
      </c>
      <c r="B229" s="397"/>
      <c r="C229" s="412"/>
      <c r="D229" s="412"/>
      <c r="E229" s="412"/>
      <c r="F229" s="412"/>
      <c r="G229" s="412"/>
    </row>
    <row r="230" spans="1:7" hidden="1" x14ac:dyDescent="0.3">
      <c r="B230" s="397"/>
      <c r="C230" s="397"/>
      <c r="D230" s="397"/>
      <c r="E230" s="397"/>
      <c r="F230" s="397"/>
      <c r="G230" s="397"/>
    </row>
    <row r="231" spans="1:7" hidden="1" x14ac:dyDescent="0.3">
      <c r="A231" s="385" t="s">
        <v>213</v>
      </c>
      <c r="B231" s="397" t="s">
        <v>261</v>
      </c>
      <c r="C231" s="413">
        <f>IF('User Input Sheet'!E275="D",'User Input Sheet'!$D275,'User Input Sheet'!E275)</f>
        <v>0.35</v>
      </c>
      <c r="D231" s="413">
        <f>IF('User Input Sheet'!F275="D",'User Input Sheet'!$D275,'User Input Sheet'!F275)</f>
        <v>0.35</v>
      </c>
      <c r="E231" s="413">
        <f>IF('User Input Sheet'!G275="D",'User Input Sheet'!$D275,'User Input Sheet'!G275)</f>
        <v>0.35</v>
      </c>
      <c r="F231" s="413">
        <f>IF('User Input Sheet'!H275="D",'User Input Sheet'!$D275,'User Input Sheet'!H275)</f>
        <v>0.35</v>
      </c>
      <c r="G231" s="413">
        <f>IF('User Input Sheet'!I275="D",'User Input Sheet'!$D275,'User Input Sheet'!I275)</f>
        <v>0.35</v>
      </c>
    </row>
    <row r="232" spans="1:7" hidden="1" x14ac:dyDescent="0.3">
      <c r="A232" s="385" t="s">
        <v>278</v>
      </c>
      <c r="B232" s="416" t="s">
        <v>279</v>
      </c>
      <c r="C232" s="403" t="str">
        <f>IF('User Input Sheet'!E276="D",'User Input Sheet'!$D276,'User Input Sheet'!E276)</f>
        <v>T</v>
      </c>
      <c r="D232" s="403" t="str">
        <f>IF('User Input Sheet'!F276="D",'User Input Sheet'!$D276,'User Input Sheet'!F276)</f>
        <v>T</v>
      </c>
      <c r="E232" s="403" t="str">
        <f>IF('User Input Sheet'!G276="D",'User Input Sheet'!$D276,'User Input Sheet'!G276)</f>
        <v>T</v>
      </c>
      <c r="F232" s="403" t="str">
        <f>IF('User Input Sheet'!H276="D",'User Input Sheet'!$D276,'User Input Sheet'!H276)</f>
        <v>T</v>
      </c>
      <c r="G232" s="403" t="str">
        <f>IF('User Input Sheet'!I276="D",'User Input Sheet'!$D276,'User Input Sheet'!I276)</f>
        <v>T</v>
      </c>
    </row>
    <row r="233" spans="1:7" hidden="1" x14ac:dyDescent="0.3">
      <c r="A233" s="385" t="s">
        <v>281</v>
      </c>
      <c r="B233" s="416" t="s">
        <v>282</v>
      </c>
      <c r="C233" s="403" t="str">
        <f>IF('User Input Sheet'!E277="D",'User Input Sheet'!$D277,'User Input Sheet'!E277)</f>
        <v>H</v>
      </c>
      <c r="D233" s="403" t="str">
        <f>IF('User Input Sheet'!F277="D",'User Input Sheet'!$D277,'User Input Sheet'!F277)</f>
        <v>H</v>
      </c>
      <c r="E233" s="403" t="str">
        <f>IF('User Input Sheet'!G277="D",'User Input Sheet'!$D277,'User Input Sheet'!G277)</f>
        <v>H</v>
      </c>
      <c r="F233" s="403" t="str">
        <f>IF('User Input Sheet'!H277="D",'User Input Sheet'!$D277,'User Input Sheet'!H277)</f>
        <v>H</v>
      </c>
      <c r="G233" s="403" t="str">
        <f>IF('User Input Sheet'!I277="D",'User Input Sheet'!$D277,'User Input Sheet'!I277)</f>
        <v>A</v>
      </c>
    </row>
    <row r="234" spans="1:7" hidden="1" x14ac:dyDescent="0.3">
      <c r="A234" s="385" t="s">
        <v>284</v>
      </c>
      <c r="B234" s="397" t="s">
        <v>45</v>
      </c>
      <c r="C234" s="414">
        <f>IF('User Input Sheet'!E278="D",'User Input Sheet'!$D278,'User Input Sheet'!E278)</f>
        <v>8.0000000000000002E-3</v>
      </c>
      <c r="D234" s="414">
        <f>IF('User Input Sheet'!F278="D",'User Input Sheet'!$D278,'User Input Sheet'!F278)</f>
        <v>8.0000000000000002E-3</v>
      </c>
      <c r="E234" s="414">
        <f>IF('User Input Sheet'!G278="D",'User Input Sheet'!$D278,'User Input Sheet'!G278)</f>
        <v>8.0000000000000002E-3</v>
      </c>
      <c r="F234" s="414">
        <f>IF('User Input Sheet'!H278="D",'User Input Sheet'!$D278,'User Input Sheet'!H278)</f>
        <v>8.0000000000000002E-3</v>
      </c>
      <c r="G234" s="414">
        <f>IF('User Input Sheet'!I278="D",'User Input Sheet'!$D278,'User Input Sheet'!I278)</f>
        <v>8.0000000000000002E-3</v>
      </c>
    </row>
    <row r="235" spans="1:7" hidden="1" x14ac:dyDescent="0.3">
      <c r="A235" s="385" t="s">
        <v>285</v>
      </c>
      <c r="B235" s="397" t="s">
        <v>45</v>
      </c>
      <c r="C235" s="414">
        <f>IF('User Input Sheet'!E279="D",'User Input Sheet'!$D279,'User Input Sheet'!E279)</f>
        <v>1.2E-2</v>
      </c>
      <c r="D235" s="414">
        <f>IF('User Input Sheet'!F279="D",'User Input Sheet'!$D279,'User Input Sheet'!F279)</f>
        <v>1.2E-2</v>
      </c>
      <c r="E235" s="414">
        <f>IF('User Input Sheet'!G279="D",'User Input Sheet'!$D279,'User Input Sheet'!G279)</f>
        <v>1.2E-2</v>
      </c>
      <c r="F235" s="414">
        <f>IF('User Input Sheet'!H279="D",'User Input Sheet'!$D279,'User Input Sheet'!H279)</f>
        <v>1.2E-2</v>
      </c>
      <c r="G235" s="414">
        <f>IF('User Input Sheet'!I279="D",'User Input Sheet'!$D279,'User Input Sheet'!I279)</f>
        <v>1.2E-2</v>
      </c>
    </row>
    <row r="236" spans="1:7" hidden="1" x14ac:dyDescent="0.3">
      <c r="B236" s="397"/>
      <c r="C236" s="397"/>
      <c r="D236" s="397"/>
      <c r="E236" s="397"/>
      <c r="F236" s="397"/>
      <c r="G236" s="397"/>
    </row>
    <row r="237" spans="1:7" hidden="1" x14ac:dyDescent="0.3">
      <c r="A237" s="411" t="s">
        <v>286</v>
      </c>
      <c r="B237" s="397"/>
      <c r="C237" s="397"/>
      <c r="D237" s="397"/>
      <c r="E237" s="397"/>
      <c r="F237" s="397"/>
      <c r="G237" s="397"/>
    </row>
    <row r="238" spans="1:7" hidden="1" x14ac:dyDescent="0.3">
      <c r="B238" s="397"/>
      <c r="C238" s="397"/>
      <c r="D238" s="397"/>
      <c r="E238" s="397"/>
      <c r="F238" s="397"/>
      <c r="G238" s="397"/>
    </row>
    <row r="239" spans="1:7" hidden="1" x14ac:dyDescent="0.3">
      <c r="A239" s="385" t="s">
        <v>213</v>
      </c>
      <c r="B239" s="397" t="s">
        <v>261</v>
      </c>
      <c r="C239" s="413">
        <f>IF('User Input Sheet'!E283="D",'User Input Sheet'!$D283,'User Input Sheet'!E283)</f>
        <v>0.61</v>
      </c>
      <c r="D239" s="413">
        <f>IF('User Input Sheet'!F283="D",'User Input Sheet'!$D283,'User Input Sheet'!F283)</f>
        <v>0.61</v>
      </c>
      <c r="E239" s="413">
        <f>IF('User Input Sheet'!G283="D",'User Input Sheet'!$D283,'User Input Sheet'!G283)</f>
        <v>0.61</v>
      </c>
      <c r="F239" s="413">
        <f>IF('User Input Sheet'!H283="D",'User Input Sheet'!$D283,'User Input Sheet'!H283)</f>
        <v>0.61</v>
      </c>
      <c r="G239" s="413">
        <f>IF('User Input Sheet'!I283="D",'User Input Sheet'!$D283,'User Input Sheet'!I283)</f>
        <v>0.61</v>
      </c>
    </row>
    <row r="240" spans="1:7" hidden="1" x14ac:dyDescent="0.3">
      <c r="A240" s="385" t="s">
        <v>288</v>
      </c>
      <c r="B240" s="397" t="s">
        <v>261</v>
      </c>
      <c r="C240" s="417">
        <f>IF('User Input Sheet'!E284="D",'User Input Sheet'!$D284,'User Input Sheet'!E284)</f>
        <v>0.15</v>
      </c>
      <c r="D240" s="417">
        <f>IF('User Input Sheet'!F284="D",'User Input Sheet'!$D284,'User Input Sheet'!F284)</f>
        <v>0.15</v>
      </c>
      <c r="E240" s="417">
        <f>IF('User Input Sheet'!G284="D",'User Input Sheet'!$D284,'User Input Sheet'!G284)</f>
        <v>0.15</v>
      </c>
      <c r="F240" s="417">
        <f>IF('User Input Sheet'!H284="D",'User Input Sheet'!$D284,'User Input Sheet'!H284)</f>
        <v>0.15</v>
      </c>
      <c r="G240" s="417">
        <f>IF('User Input Sheet'!I284="D",'User Input Sheet'!$D284,'User Input Sheet'!I284)</f>
        <v>0.15</v>
      </c>
    </row>
    <row r="241" spans="1:7" hidden="1" x14ac:dyDescent="0.3">
      <c r="A241" s="385" t="s">
        <v>290</v>
      </c>
      <c r="B241" s="397" t="s">
        <v>139</v>
      </c>
      <c r="C241" s="417">
        <f>IF('User Input Sheet'!E285="D",'User Input Sheet'!$D285,'User Input Sheet'!E285)</f>
        <v>11.48</v>
      </c>
      <c r="D241" s="417">
        <f>IF('User Input Sheet'!F285="D",'User Input Sheet'!$D285,'User Input Sheet'!F285)</f>
        <v>11.48</v>
      </c>
      <c r="E241" s="417">
        <f>IF('User Input Sheet'!G285="D",'User Input Sheet'!$D285,'User Input Sheet'!G285)</f>
        <v>11.48</v>
      </c>
      <c r="F241" s="417">
        <f>IF('User Input Sheet'!H285="D",'User Input Sheet'!$D285,'User Input Sheet'!H285)</f>
        <v>11.48</v>
      </c>
      <c r="G241" s="417">
        <f>IF('User Input Sheet'!I285="D",'User Input Sheet'!$D285,'User Input Sheet'!I285)</f>
        <v>11.48</v>
      </c>
    </row>
    <row r="242" spans="1:7" hidden="1" x14ac:dyDescent="0.3">
      <c r="A242" s="385" t="s">
        <v>291</v>
      </c>
      <c r="B242" s="397" t="s">
        <v>292</v>
      </c>
      <c r="C242" s="417">
        <f>IF('User Input Sheet'!E286="D",'User Input Sheet'!$D286,'User Input Sheet'!E286)</f>
        <v>2.31</v>
      </c>
      <c r="D242" s="417">
        <f>IF('User Input Sheet'!F286="D",'User Input Sheet'!$D286,'User Input Sheet'!F286)</f>
        <v>2.31</v>
      </c>
      <c r="E242" s="417">
        <f>IF('User Input Sheet'!G286="D",'User Input Sheet'!$D286,'User Input Sheet'!G286)</f>
        <v>2.31</v>
      </c>
      <c r="F242" s="417">
        <f>IF('User Input Sheet'!H286="D",'User Input Sheet'!$D286,'User Input Sheet'!H286)</f>
        <v>2.31</v>
      </c>
      <c r="G242" s="417">
        <f>IF('User Input Sheet'!I286="D",'User Input Sheet'!$D286,'User Input Sheet'!I286)</f>
        <v>2.31</v>
      </c>
    </row>
    <row r="243" spans="1:7" hidden="1" x14ac:dyDescent="0.3">
      <c r="A243" s="385" t="s">
        <v>239</v>
      </c>
      <c r="B243" s="397" t="s">
        <v>45</v>
      </c>
      <c r="C243" s="414">
        <f>IF('User Input Sheet'!E287="D",'User Input Sheet'!$D287,'User Input Sheet'!E287)</f>
        <v>1.4999999999999999E-2</v>
      </c>
      <c r="D243" s="414">
        <f>IF('User Input Sheet'!F287="D",'User Input Sheet'!$D287,'User Input Sheet'!F287)</f>
        <v>1.4999999999999999E-2</v>
      </c>
      <c r="E243" s="414">
        <f>IF('User Input Sheet'!G287="D",'User Input Sheet'!$D287,'User Input Sheet'!G287)</f>
        <v>1.4999999999999999E-2</v>
      </c>
      <c r="F243" s="414">
        <f>IF('User Input Sheet'!H287="D",'User Input Sheet'!$D287,'User Input Sheet'!H287)</f>
        <v>1.4999999999999999E-2</v>
      </c>
      <c r="G243" s="414">
        <f>IF('User Input Sheet'!I287="D",'User Input Sheet'!$D287,'User Input Sheet'!I287)</f>
        <v>1.4999999999999999E-2</v>
      </c>
    </row>
    <row r="244" spans="1:7" hidden="1" x14ac:dyDescent="0.3">
      <c r="A244" s="385" t="s">
        <v>240</v>
      </c>
      <c r="B244" s="397" t="s">
        <v>45</v>
      </c>
      <c r="C244" s="403">
        <f>IF('User Input Sheet'!E288="D",'User Input Sheet'!$D288,'User Input Sheet'!E288)</f>
        <v>0.2</v>
      </c>
      <c r="D244" s="403">
        <f>IF('User Input Sheet'!F288="D",'User Input Sheet'!$D288,'User Input Sheet'!F288)</f>
        <v>0.2</v>
      </c>
      <c r="E244" s="403">
        <f>IF('User Input Sheet'!G288="D",'User Input Sheet'!$D288,'User Input Sheet'!G288)</f>
        <v>0.2</v>
      </c>
      <c r="F244" s="403">
        <f>IF('User Input Sheet'!H288="D",'User Input Sheet'!$D288,'User Input Sheet'!H288)</f>
        <v>0.2</v>
      </c>
      <c r="G244" s="403">
        <f>IF('User Input Sheet'!I288="D",'User Input Sheet'!$D288,'User Input Sheet'!I288)</f>
        <v>0.2</v>
      </c>
    </row>
    <row r="245" spans="1:7" hidden="1" x14ac:dyDescent="0.3">
      <c r="A245" s="385" t="s">
        <v>242</v>
      </c>
      <c r="B245" s="397" t="s">
        <v>45</v>
      </c>
      <c r="C245" s="403">
        <f>IF('User Input Sheet'!E289="D",'User Input Sheet'!$D289,'User Input Sheet'!E289)</f>
        <v>0.02</v>
      </c>
      <c r="D245" s="403">
        <f>IF('User Input Sheet'!F289="D",'User Input Sheet'!$D289,'User Input Sheet'!F289)</f>
        <v>0.02</v>
      </c>
      <c r="E245" s="403">
        <f>IF('User Input Sheet'!G289="D",'User Input Sheet'!$D289,'User Input Sheet'!G289)</f>
        <v>0.02</v>
      </c>
      <c r="F245" s="403">
        <f>IF('User Input Sheet'!H289="D",'User Input Sheet'!$D289,'User Input Sheet'!H289)</f>
        <v>0.02</v>
      </c>
      <c r="G245" s="403">
        <f>IF('User Input Sheet'!I289="D",'User Input Sheet'!$D289,'User Input Sheet'!I289)</f>
        <v>0.02</v>
      </c>
    </row>
    <row r="246" spans="1:7" hidden="1" x14ac:dyDescent="0.3">
      <c r="A246" s="385" t="s">
        <v>243</v>
      </c>
      <c r="B246" s="397" t="s">
        <v>45</v>
      </c>
      <c r="C246" s="403">
        <f>IF('User Input Sheet'!E290="D",'User Input Sheet'!$D290,'User Input Sheet'!E290)</f>
        <v>0.1</v>
      </c>
      <c r="D246" s="403">
        <f>IF('User Input Sheet'!F290="D",'User Input Sheet'!$D290,'User Input Sheet'!F290)</f>
        <v>0.1</v>
      </c>
      <c r="E246" s="403">
        <f>IF('User Input Sheet'!G290="D",'User Input Sheet'!$D290,'User Input Sheet'!G290)</f>
        <v>0.1</v>
      </c>
      <c r="F246" s="403">
        <f>IF('User Input Sheet'!H290="D",'User Input Sheet'!$D290,'User Input Sheet'!H290)</f>
        <v>0.1</v>
      </c>
      <c r="G246" s="403">
        <f>IF('User Input Sheet'!I290="D",'User Input Sheet'!$D290,'User Input Sheet'!I290)</f>
        <v>0.1</v>
      </c>
    </row>
    <row r="247" spans="1:7" hidden="1" x14ac:dyDescent="0.3">
      <c r="B247" s="397"/>
      <c r="C247" s="418"/>
      <c r="D247" s="418"/>
      <c r="E247" s="418"/>
      <c r="F247" s="418"/>
      <c r="G247" s="418"/>
    </row>
    <row r="248" spans="1:7" hidden="1" x14ac:dyDescent="0.3">
      <c r="B248" s="397"/>
      <c r="C248" s="418"/>
      <c r="D248" s="418"/>
      <c r="E248" s="418"/>
      <c r="F248" s="418"/>
      <c r="G248" s="418"/>
    </row>
    <row r="249" spans="1:7" hidden="1" x14ac:dyDescent="0.3">
      <c r="B249" s="397"/>
      <c r="C249" s="418"/>
      <c r="D249" s="418"/>
      <c r="E249" s="418"/>
      <c r="F249" s="418"/>
      <c r="G249" s="418"/>
    </row>
    <row r="250" spans="1:7" hidden="1" x14ac:dyDescent="0.3">
      <c r="B250" s="397"/>
      <c r="C250" s="418"/>
      <c r="D250" s="418"/>
      <c r="E250" s="418"/>
      <c r="F250" s="418"/>
      <c r="G250" s="418"/>
    </row>
    <row r="251" spans="1:7" hidden="1" x14ac:dyDescent="0.3">
      <c r="B251" s="397"/>
      <c r="C251" s="418"/>
      <c r="D251" s="418"/>
      <c r="E251" s="418"/>
      <c r="F251" s="418"/>
      <c r="G251" s="418"/>
    </row>
    <row r="252" spans="1:7" hidden="1" x14ac:dyDescent="0.3">
      <c r="B252" s="397"/>
      <c r="C252" s="418"/>
      <c r="D252" s="418"/>
      <c r="E252" s="418"/>
      <c r="F252" s="418"/>
      <c r="G252" s="418"/>
    </row>
    <row r="253" spans="1:7" hidden="1" x14ac:dyDescent="0.3">
      <c r="B253" s="397"/>
      <c r="C253" s="418"/>
      <c r="D253" s="418"/>
      <c r="E253" s="418"/>
      <c r="F253" s="418"/>
      <c r="G253" s="418"/>
    </row>
    <row r="254" spans="1:7" hidden="1" x14ac:dyDescent="0.3">
      <c r="B254" s="397"/>
      <c r="C254" s="418"/>
      <c r="D254" s="418"/>
      <c r="E254" s="418"/>
      <c r="F254" s="418"/>
      <c r="G254" s="418"/>
    </row>
    <row r="255" spans="1:7" hidden="1" x14ac:dyDescent="0.3">
      <c r="B255" s="397"/>
      <c r="C255" s="418"/>
      <c r="D255" s="418"/>
      <c r="E255" s="418"/>
      <c r="F255" s="418"/>
      <c r="G255" s="418"/>
    </row>
    <row r="256" spans="1:7" hidden="1" x14ac:dyDescent="0.3">
      <c r="B256" s="397"/>
      <c r="C256" s="418"/>
      <c r="D256" s="418"/>
      <c r="E256" s="418"/>
      <c r="F256" s="418"/>
      <c r="G256" s="418"/>
    </row>
    <row r="257" spans="1:7" hidden="1" x14ac:dyDescent="0.3">
      <c r="B257" s="397"/>
      <c r="C257" s="418"/>
      <c r="D257" s="418"/>
      <c r="E257" s="418"/>
      <c r="F257" s="418"/>
      <c r="G257" s="418"/>
    </row>
    <row r="258" spans="1:7" hidden="1" x14ac:dyDescent="0.3">
      <c r="C258" s="397"/>
      <c r="D258" s="397"/>
      <c r="E258" s="397"/>
      <c r="F258" s="397"/>
      <c r="G258" s="397"/>
    </row>
    <row r="259" spans="1:7" ht="13.5" thickBot="1" x14ac:dyDescent="0.35">
      <c r="A259" s="477"/>
      <c r="B259" s="477"/>
      <c r="C259" s="404"/>
      <c r="D259" s="419"/>
      <c r="E259" s="419"/>
      <c r="F259" s="419"/>
      <c r="G259" s="419"/>
    </row>
    <row r="260" spans="1:7" ht="21.5" thickBot="1" x14ac:dyDescent="0.55000000000000004">
      <c r="A260" s="478" t="s">
        <v>298</v>
      </c>
      <c r="B260" s="479"/>
      <c r="C260" s="480"/>
      <c r="D260" s="420"/>
      <c r="E260" s="421"/>
      <c r="F260" s="421"/>
      <c r="G260" s="422"/>
    </row>
    <row r="261" spans="1:7" x14ac:dyDescent="0.3">
      <c r="A261" s="481"/>
      <c r="B261" s="423"/>
      <c r="C261" s="482"/>
      <c r="D261" s="423"/>
      <c r="E261" s="424"/>
      <c r="F261" s="424"/>
      <c r="G261" s="395"/>
    </row>
    <row r="262" spans="1:7" ht="13.5" thickBot="1" x14ac:dyDescent="0.35">
      <c r="A262" s="483" t="s">
        <v>14</v>
      </c>
      <c r="B262" s="425" t="s">
        <v>15</v>
      </c>
      <c r="C262" s="484" t="s">
        <v>18</v>
      </c>
      <c r="D262" s="425" t="s">
        <v>19</v>
      </c>
      <c r="E262" s="426" t="s">
        <v>20</v>
      </c>
      <c r="F262" s="426" t="s">
        <v>21</v>
      </c>
      <c r="G262" s="396" t="s">
        <v>22</v>
      </c>
    </row>
    <row r="263" spans="1:7" ht="13.5" thickBot="1" x14ac:dyDescent="0.35">
      <c r="A263" s="485"/>
      <c r="B263" s="427"/>
      <c r="C263" s="486"/>
      <c r="D263" s="427"/>
      <c r="E263" s="428"/>
      <c r="F263" s="428"/>
    </row>
    <row r="264" spans="1:7" ht="16.5" hidden="1" thickBot="1" x14ac:dyDescent="0.45">
      <c r="A264" s="487" t="s">
        <v>299</v>
      </c>
      <c r="B264" s="427"/>
      <c r="C264" s="486"/>
      <c r="D264" s="427"/>
      <c r="E264" s="428"/>
      <c r="F264" s="428"/>
    </row>
    <row r="265" spans="1:7" ht="13.5" hidden="1" thickBot="1" x14ac:dyDescent="0.35">
      <c r="A265" s="485" t="s">
        <v>29</v>
      </c>
      <c r="B265" s="427"/>
      <c r="C265" s="488" t="str">
        <f>IF(C14=1,"SCR",IF(C14=2,"SNCR",IF(C14=3,"LNCFS and LNBs","NGR")))</f>
        <v>SCR</v>
      </c>
      <c r="D265" s="460" t="str">
        <f>IF(D14=1,"SCR",IF(D14=2,"SNCR",IF(D14=3,"LNCFS and LNBs","NGR")))</f>
        <v>SCR</v>
      </c>
      <c r="E265" s="430" t="str">
        <f>IF(E14=1,"SCR",IF(E14=2,"SNCR",IF(E14=3,"LNCFS and LNBs","NGR")))</f>
        <v>SNCR</v>
      </c>
      <c r="F265" s="430" t="str">
        <f>IF(F14=1,"SCR",IF(F14=2,"SNCR",IF(F14=3,"LNCFS and LNBs","NGR")))</f>
        <v>SNCR</v>
      </c>
      <c r="G265" s="397" t="str">
        <f>IF(G14=1,"SCR",IF(G14=2,"SNCR",IF(G14=3,"LNCFS and LNBs","NGR")))</f>
        <v>LNCFS and LNBs</v>
      </c>
    </row>
    <row r="266" spans="1:7" ht="13.5" hidden="1" thickBot="1" x14ac:dyDescent="0.35">
      <c r="A266" s="485" t="s">
        <v>27</v>
      </c>
      <c r="B266" s="427"/>
      <c r="C266" s="488" t="str">
        <f>IF(C12=2,"ESP",IF(C167=1,"RGFF","PJFF"))</f>
        <v>PJFF</v>
      </c>
      <c r="D266" s="429" t="str">
        <f>IF(D12=2,"ESP",IF(D167=1,"RGFF","PJFF"))</f>
        <v>PJFF</v>
      </c>
      <c r="E266" s="430" t="str">
        <f>IF(E12=2,"ESP",IF(E167=1,"RGFF","PJFF"))</f>
        <v>PJFF</v>
      </c>
      <c r="F266" s="430" t="str">
        <f>IF(F12=2,"ESP",IF(F167=1,"RGFF","PJFF"))</f>
        <v>PJFF</v>
      </c>
      <c r="G266" s="397" t="str">
        <f>IF(G12=2,"ESP",IF(G167=1,"RGFF","PJFF"))</f>
        <v>PJFF</v>
      </c>
    </row>
    <row r="267" spans="1:7" ht="13.5" hidden="1" thickBot="1" x14ac:dyDescent="0.35">
      <c r="A267" s="485" t="s">
        <v>300</v>
      </c>
      <c r="B267" s="427"/>
      <c r="C267" s="489" t="str">
        <f>IF(C10=1,"LSFO","LSD")</f>
        <v>LSFO</v>
      </c>
      <c r="D267" s="431" t="str">
        <f>IF(D10=1,"LSFO","LSD")</f>
        <v>LSD</v>
      </c>
      <c r="E267" s="432" t="str">
        <f>IF(E10=1,"LSFO","LSD")</f>
        <v>LSD</v>
      </c>
      <c r="F267" s="432" t="str">
        <f>IF(F10=1,"LSFO","LSD")</f>
        <v>LSD</v>
      </c>
      <c r="G267" s="433" t="str">
        <f>IF(G10=1,"LSFO","LSD")</f>
        <v>LSFO</v>
      </c>
    </row>
    <row r="268" spans="1:7" ht="13.5" hidden="1" thickBot="1" x14ac:dyDescent="0.35">
      <c r="A268" s="485"/>
      <c r="B268" s="427"/>
      <c r="C268" s="490" t="s">
        <v>1167</v>
      </c>
      <c r="D268" s="434" t="s">
        <v>1167</v>
      </c>
      <c r="E268" s="435" t="s">
        <v>1169</v>
      </c>
      <c r="F268" s="435" t="s">
        <v>1168</v>
      </c>
      <c r="G268" s="436" t="s">
        <v>1168</v>
      </c>
    </row>
    <row r="269" spans="1:7" ht="16.5" hidden="1" thickBot="1" x14ac:dyDescent="0.45">
      <c r="A269" s="487" t="s">
        <v>301</v>
      </c>
      <c r="B269" s="427"/>
      <c r="C269" s="491" t="str">
        <f>C265</f>
        <v>SCR</v>
      </c>
      <c r="D269" s="461" t="str">
        <f>D265</f>
        <v>SCR</v>
      </c>
      <c r="E269" s="439" t="str">
        <f>E265</f>
        <v>SNCR</v>
      </c>
      <c r="F269" s="439" t="str">
        <f>F265</f>
        <v>SNCR</v>
      </c>
      <c r="G269" s="440" t="str">
        <f>G265</f>
        <v>LNCFS and LNBs</v>
      </c>
    </row>
    <row r="270" spans="1:7" ht="13.5" hidden="1" thickBot="1" x14ac:dyDescent="0.35">
      <c r="A270" s="492" t="s">
        <v>302</v>
      </c>
      <c r="B270" s="429" t="s">
        <v>303</v>
      </c>
      <c r="C270" s="493">
        <f>IF(C14=1,'NOX Cost &amp; Tech. Results'!D43,IF(C14=2,'NOX Cost &amp; Tech. Results'!D97,IF(C14=3,'NOX Cost &amp; Tech. Results'!D121,'NOX Cost &amp; Tech. Results'!D166)))</f>
        <v>16131899.229618587</v>
      </c>
      <c r="D270" s="462">
        <f>IF(D14=1,'NOX Cost &amp; Tech. Results'!E43,IF(D14=2,'NOX Cost &amp; Tech. Results'!E97,IF(D14=3,'NOX Cost &amp; Tech. Results'!E121,'NOX Cost &amp; Tech. Results'!E166)))</f>
        <v>33115791.306969017</v>
      </c>
      <c r="E270" s="443">
        <f>IF(E14=1,'NOX Cost &amp; Tech. Results'!F43,IF(E14=2,'NOX Cost &amp; Tech. Results'!F97,IF(E14=3,'NOX Cost &amp; Tech. Results'!F121,'NOX Cost &amp; Tech. Results'!F166)))</f>
        <v>3275232.680479533</v>
      </c>
      <c r="F270" s="443">
        <f>IF(F14=1,'NOX Cost &amp; Tech. Results'!G43,IF(F14=2,'NOX Cost &amp; Tech. Results'!G97,IF(F14=3,'NOX Cost &amp; Tech. Results'!G121,'NOX Cost &amp; Tech. Results'!G166)))</f>
        <v>2268399.7903079535</v>
      </c>
      <c r="G270" s="407">
        <f>IF(G14=1,'NOX Cost &amp; Tech. Results'!H43,IF(G14=2,'NOX Cost &amp; Tech. Results'!H97,IF(G14=3,'NOX Cost &amp; Tech. Results'!H121,'NOX Cost &amp; Tech. Results'!H166)))</f>
        <v>1882494.9367626896</v>
      </c>
    </row>
    <row r="271" spans="1:7" ht="13.5" hidden="1" thickBot="1" x14ac:dyDescent="0.35">
      <c r="A271" s="494"/>
      <c r="B271" s="429" t="s">
        <v>304</v>
      </c>
      <c r="C271" s="495">
        <f>IF(C14=1,'NOX Cost &amp; Tech. Results'!D44,IF(C14=2,'NOX Cost &amp; Tech. Results'!D98,IF(C14=3,'NOX Cost &amp; Tech. Results'!D122,'NOX Cost &amp; Tech. Results'!D167)))</f>
        <v>107.54599486412391</v>
      </c>
      <c r="D271" s="463">
        <f>IF(D14=1,'NOX Cost &amp; Tech. Results'!E44,IF(D14=2,'NOX Cost &amp; Tech. Results'!E98,IF(D14=3,'NOX Cost &amp; Tech. Results'!E122,'NOX Cost &amp; Tech. Results'!E167)))</f>
        <v>220.77194204646011</v>
      </c>
      <c r="E271" s="446">
        <f>IF(E14=1,'NOX Cost &amp; Tech. Results'!F44,IF(E14=2,'NOX Cost &amp; Tech. Results'!F98,IF(E14=3,'NOX Cost &amp; Tech. Results'!F122,'NOX Cost &amp; Tech. Results'!F167)))</f>
        <v>41.458641525057381</v>
      </c>
      <c r="F271" s="446">
        <f>IF(F14=1,'NOX Cost &amp; Tech. Results'!G44,IF(F14=2,'NOX Cost &amp; Tech. Results'!G98,IF(F14=3,'NOX Cost &amp; Tech. Results'!G122,'NOX Cost &amp; Tech. Results'!G167)))</f>
        <v>103.10908137763425</v>
      </c>
      <c r="G271" s="447">
        <f>IF(G14=1,'NOX Cost &amp; Tech. Results'!H44,IF(G14=2,'NOX Cost &amp; Tech. Results'!H98,IF(G14=3,'NOX Cost &amp; Tech. Results'!H122,'NOX Cost &amp; Tech. Results'!H167)))</f>
        <v>85.567951671031352</v>
      </c>
    </row>
    <row r="272" spans="1:7" ht="13.5" hidden="1" thickBot="1" x14ac:dyDescent="0.35">
      <c r="A272" s="492" t="s">
        <v>305</v>
      </c>
      <c r="B272" s="429"/>
      <c r="C272" s="495"/>
      <c r="D272" s="463"/>
      <c r="E272" s="446"/>
      <c r="F272" s="446"/>
      <c r="G272" s="447"/>
    </row>
    <row r="273" spans="1:7" ht="14" hidden="1" thickBot="1" x14ac:dyDescent="0.4">
      <c r="A273" s="496" t="s">
        <v>306</v>
      </c>
      <c r="B273" s="429" t="s">
        <v>303</v>
      </c>
      <c r="C273" s="493">
        <f>IF(C$14=1,'NOX Cost &amp; Tech. Results'!D56+'NOX Cost &amp; Tech. Results'!D57,IF(C$14=2,'NOX Cost &amp; Tech. Results'!D105+'NOX Cost &amp; Tech. Results'!D106,IF(C$14=3,'NOX Cost &amp; Tech. Results'!D129+'NOX Cost &amp; Tech. Results'!D130+'NOX Cost &amp; Tech. Results'!D131,'NOX Cost &amp; Tech. Results'!D175)))</f>
        <v>344867.01245947112</v>
      </c>
      <c r="D273" s="462">
        <f>IF(D$14=1,'NOX Cost &amp; Tech. Results'!E56+'NOX Cost &amp; Tech. Results'!E57,IF(D$14=2,'NOX Cost &amp; Tech. Results'!E105+'NOX Cost &amp; Tech. Results'!E106,IF(D$14=3,'NOX Cost &amp; Tech. Results'!E129+'NOX Cost &amp; Tech. Results'!E130+'NOX Cost &amp; Tech. Results'!E131,'NOX Cost &amp; Tech. Results'!E175)))</f>
        <v>536499.64270098461</v>
      </c>
      <c r="E273" s="443">
        <f>IF(E$14=1,'NOX Cost &amp; Tech. Results'!F56+'NOX Cost &amp; Tech. Results'!F57,IF(E$14=2,'NOX Cost &amp; Tech. Results'!F105+'NOX Cost &amp; Tech. Results'!F106,IF(E$14=3,'NOX Cost &amp; Tech. Results'!F129+'NOX Cost &amp; Tech. Results'!F130+'NOX Cost &amp; Tech. Results'!F131,'NOX Cost &amp; Tech. Results'!F175)))</f>
        <v>183943.16346187011</v>
      </c>
      <c r="F273" s="443">
        <f>IF(F$14=1,'NOX Cost &amp; Tech. Results'!G56+'NOX Cost &amp; Tech. Results'!G57,IF(F$14=2,'NOX Cost &amp; Tech. Results'!G105+'NOX Cost &amp; Tech. Results'!G106,IF(F$14=3,'NOX Cost &amp; Tech. Results'!G129+'NOX Cost &amp; Tech. Results'!G130+'NOX Cost &amp; Tech. Results'!G131,'NOX Cost &amp; Tech. Results'!G175)))</f>
        <v>169911.43445413216</v>
      </c>
      <c r="G273" s="407">
        <f>IF(G$14=1,'NOX Cost &amp; Tech. Results'!H56+'NOX Cost &amp; Tech. Results'!H57,IF(G$14=2,'NOX Cost &amp; Tech. Results'!H105+'NOX Cost &amp; Tech. Results'!H106,IF(G$14=3,'NOX Cost &amp; Tech. Results'!H129+'NOX Cost &amp; Tech. Results'!H130+'NOX Cost &amp; Tech. Results'!H131,'NOX Cost &amp; Tech. Results'!H175)))</f>
        <v>42167.886583484251</v>
      </c>
    </row>
    <row r="274" spans="1:7" ht="14" hidden="1" thickBot="1" x14ac:dyDescent="0.4">
      <c r="A274" s="496"/>
      <c r="B274" s="429" t="s">
        <v>307</v>
      </c>
      <c r="C274" s="497">
        <f>C273/(C$25*1000)</f>
        <v>2.2991134163964744</v>
      </c>
      <c r="D274" s="464">
        <f>D273/(D$25*1000)</f>
        <v>3.5766642846732308</v>
      </c>
      <c r="E274" s="450">
        <f>E273/(E$25*1000)</f>
        <v>2.3283944742008873</v>
      </c>
      <c r="F274" s="450">
        <f>F273/(F$25*1000)</f>
        <v>7.7232470206423711</v>
      </c>
      <c r="G274" s="408">
        <f>G273/(G$25*1000)</f>
        <v>1.9167221174311022</v>
      </c>
    </row>
    <row r="275" spans="1:7" ht="14" hidden="1" thickBot="1" x14ac:dyDescent="0.4">
      <c r="A275" s="496"/>
      <c r="B275" s="429" t="s">
        <v>308</v>
      </c>
      <c r="C275" s="497">
        <f>C273/(C$25*1000*8760*C$27)*1000</f>
        <v>0.40377826069484968</v>
      </c>
      <c r="D275" s="464">
        <f>D273/(D$25*1000*8760*D$27)*1000</f>
        <v>0.62814616871675988</v>
      </c>
      <c r="E275" s="450">
        <f>E273/(E$25*1000*8760*E$27)*1000</f>
        <v>0.40892070147539294</v>
      </c>
      <c r="F275" s="450">
        <f>F273/(F$25*1000*8760*F$27)*1000</f>
        <v>1.356383389645657</v>
      </c>
      <c r="G275" s="408">
        <f>G273/(G$25*1000*8760*G$27)*1000</f>
        <v>0.33662137643679352</v>
      </c>
    </row>
    <row r="276" spans="1:7" ht="14" hidden="1" thickBot="1" x14ac:dyDescent="0.4">
      <c r="A276" s="496"/>
      <c r="B276" s="429" t="s">
        <v>309</v>
      </c>
      <c r="C276" s="493">
        <f>C273/IF(C$14=1,C$195*Constants_CC!E$410*Constants_CC!E$491*8760/2000*C$27,IF(C$14=2,C$217*Constants_CC!E$410*Constants_CC!E$491*8760/2000*C$27,IF(C$14=3,C$231*Constants_CC!E$410*Constants_CC!E$491*8760/2000*C$27,C$239*Constants_CC!E$410*Constants_CC!E$491*8760/2000*C$27)))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1154.2435460519021</v>
      </c>
      <c r="D276" s="462">
        <f>D273/IF(D$14=1,D$195*Constants_CC!F$410*Constants_CC!F$491*8760/2000*D$27,IF(D$14=2,D$217*Constants_CC!F$410*Constants_CC!F$491*8760/2000*D$27,IF(D$14=3,D$231*Constants_CC!F$410*Constants_CC!F$491*8760/2000*D$27,D$239*Constants_CC!F$410*Constants_CC!F$491*8760/2000*D$27)))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502.78869280450732</v>
      </c>
      <c r="E276" s="443">
        <f>E273/IF(E$14=1,E$195*Constants_CC!G$410*Constants_CC!G$491*8760/2000*E$27,IF(E$14=2,E$217*Constants_CC!G$410*Constants_CC!G$491*8760/2000*E$27,IF(E$14=3,E$231*Constants_CC!G$410*Constants_CC!G$491*8760/2000*E$27,E$239*Constants_CC!G$410*Constants_CC!G$491*8760/2000*E$27)))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458.23886425312679</v>
      </c>
      <c r="F276" s="443">
        <f>F273/IF(F$14=1,F$195*Constants_CC!H$410*Constants_CC!H$491*8760/2000*F$27,IF(F$14=2,F$217*Constants_CC!H$410*Constants_CC!H$491*8760/2000*F$27,IF(F$14=3,F$231*Constants_CC!H$410*Constants_CC!H$491*8760/2000*F$27,F$239*Constants_CC!H$410*Constants_CC!H$491*8760/2000*F$27)))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1519.9709423379097</v>
      </c>
      <c r="G276" s="407">
        <f>G273/IF(G$14=1,G$195*Constants_CC!I$410*Constants_CC!I$491*8760/2000*G$27,IF(G$14=2,G$217*Constants_CC!I$410*Constants_CC!I$491*8760/2000*G$27,IF(G$14=3,G$231*Constants_CC!I$410*Constants_CC!I$491*8760/2000*G$27,G$239*Constants_CC!I$410*Constants_CC!I$491*8760/2000*G$27)))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538.88547047725888</v>
      </c>
    </row>
    <row r="277" spans="1:7" ht="14" hidden="1" thickBot="1" x14ac:dyDescent="0.4">
      <c r="A277" s="496" t="s">
        <v>310</v>
      </c>
      <c r="B277" s="429" t="s">
        <v>303</v>
      </c>
      <c r="C277" s="493">
        <f>IF(C$14=1,'NOX Cost &amp; Tech. Results'!D51+'NOX Cost &amp; Tech. Results'!D52+'NOX Cost &amp; Tech. Results'!D53+'NOX Cost &amp; Tech. Results'!D54+'NOX Cost &amp; Tech. Results'!D55,IF(C$14=2,'NOX Cost &amp; Tech. Results'!D107+'NOX Cost &amp; Tech. Results'!D108+'NOX Cost &amp; Tech. Results'!D109+'NOX Cost &amp; Tech. Results'!D110,IF(C$14=3,0,'NOX Cost &amp; Tech. Results'!D174+'NOX Cost &amp; Tech. Results'!D176+'NOX Cost &amp; Tech. Results'!D177)))</f>
        <v>633871.18648442545</v>
      </c>
      <c r="D277" s="462">
        <f>IF(D$14=1,'NOX Cost &amp; Tech. Results'!E51+'NOX Cost &amp; Tech. Results'!E52+'NOX Cost &amp; Tech. Results'!E53+'NOX Cost &amp; Tech. Results'!E54+'NOX Cost &amp; Tech. Results'!E55,IF(D$14=2,'NOX Cost &amp; Tech. Results'!E107+'NOX Cost &amp; Tech. Results'!E108+'NOX Cost &amp; Tech. Results'!E109+'NOX Cost &amp; Tech. Results'!E110,IF(D$14=3,0,'NOX Cost &amp; Tech. Results'!E174+'NOX Cost &amp; Tech. Results'!E176+'NOX Cost &amp; Tech. Results'!E177)))</f>
        <v>1938182.1546076227</v>
      </c>
      <c r="E277" s="443">
        <f>IF(E$14=1,'NOX Cost &amp; Tech. Results'!F51+'NOX Cost &amp; Tech. Results'!F52+'NOX Cost &amp; Tech. Results'!F53+'NOX Cost &amp; Tech. Results'!F54+'NOX Cost &amp; Tech. Results'!F55,IF(E$14=2,'NOX Cost &amp; Tech. Results'!F107+'NOX Cost &amp; Tech. Results'!F108+'NOX Cost &amp; Tech. Results'!F109+'NOX Cost &amp; Tech. Results'!F110,IF(E$14=3,0,'NOX Cost &amp; Tech. Results'!F174+'NOX Cost &amp; Tech. Results'!F176+'NOX Cost &amp; Tech. Results'!F177)))</f>
        <v>139517.37620502201</v>
      </c>
      <c r="F277" s="443">
        <f>IF(F$14=1,'NOX Cost &amp; Tech. Results'!G51+'NOX Cost &amp; Tech. Results'!G52+'NOX Cost &amp; Tech. Results'!G53+'NOX Cost &amp; Tech. Results'!G54+'NOX Cost &amp; Tech. Results'!G55,IF(F$14=2,'NOX Cost &amp; Tech. Results'!G107+'NOX Cost &amp; Tech. Results'!G108+'NOX Cost &amp; Tech. Results'!G109+'NOX Cost &amp; Tech. Results'!G110,IF(F$14=3,0,'NOX Cost &amp; Tech. Results'!G174+'NOX Cost &amp; Tech. Results'!G176+'NOX Cost &amp; Tech. Results'!G177)))</f>
        <v>61314.491019066481</v>
      </c>
      <c r="G277" s="407">
        <f>IF(G$14=1,'NOX Cost &amp; Tech. Results'!H51+'NOX Cost &amp; Tech. Results'!H52+'NOX Cost &amp; Tech. Results'!H53+'NOX Cost &amp; Tech. Results'!H54+'NOX Cost &amp; Tech. Results'!H55,IF(G$14=2,'NOX Cost &amp; Tech. Results'!H107+'NOX Cost &amp; Tech. Results'!H108+'NOX Cost &amp; Tech. Results'!H109+'NOX Cost &amp; Tech. Results'!H110,IF(G$14=3,0,'NOX Cost &amp; Tech. Results'!H174+'NOX Cost &amp; Tech. Results'!H176+'NOX Cost &amp; Tech. Results'!H177)))</f>
        <v>0</v>
      </c>
    </row>
    <row r="278" spans="1:7" ht="14" hidden="1" thickBot="1" x14ac:dyDescent="0.4">
      <c r="A278" s="496"/>
      <c r="B278" s="429" t="s">
        <v>307</v>
      </c>
      <c r="C278" s="497">
        <f>C277/(C$25*1000)</f>
        <v>4.2258079098961696</v>
      </c>
      <c r="D278" s="464">
        <f>D277/(D$25*1000)</f>
        <v>12.921214364050817</v>
      </c>
      <c r="E278" s="450">
        <f>E277/(E$25*1000)</f>
        <v>1.7660427367724305</v>
      </c>
      <c r="F278" s="450">
        <f>F277/(F$25*1000)</f>
        <v>2.7870223190484764</v>
      </c>
      <c r="G278" s="408">
        <f>G277/(G$25*1000)</f>
        <v>0</v>
      </c>
    </row>
    <row r="279" spans="1:7" ht="14" hidden="1" thickBot="1" x14ac:dyDescent="0.4">
      <c r="A279" s="496"/>
      <c r="B279" s="429" t="s">
        <v>308</v>
      </c>
      <c r="C279" s="497">
        <f>C277/(C$25*1000*8760*C$27)*1000</f>
        <v>0.74215102035408675</v>
      </c>
      <c r="D279" s="464">
        <f>D277/(D$25*1000*8760*D$27)*1000</f>
        <v>2.2692684165877797</v>
      </c>
      <c r="E279" s="450">
        <f>E277/(E$25*1000*8760*E$27)*1000</f>
        <v>0.31015854175841773</v>
      </c>
      <c r="F279" s="450">
        <f>F277/(F$25*1000*8760*F$27)*1000</f>
        <v>0.48946651195090912</v>
      </c>
      <c r="G279" s="408">
        <f>G277/(G$25*1000*8760*G$27)*1000</f>
        <v>0</v>
      </c>
    </row>
    <row r="280" spans="1:7" ht="14" hidden="1" thickBot="1" x14ac:dyDescent="0.4">
      <c r="A280" s="496"/>
      <c r="B280" s="429" t="s">
        <v>309</v>
      </c>
      <c r="C280" s="493">
        <f>C277/IF(C$14=1,C$195*Constants_CC!E$410*Constants_CC!E$491*8760/2000*C$27,IF(C$14=2,C$217*Constants_CC!E$410*Constants_CC!E$491*8760/2000*C$27,IF(C$14=3,C$231*Constants_CC!E$410*Constants_CC!E$491*8760/2000*C$27,C$239*Constants_CC!E$410*Constants_CC!E$491*8760/2000*C$27)))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2121.5184392676365</v>
      </c>
      <c r="D280" s="462">
        <f>D277/IF(D$14=1,D$195*Constants_CC!F$410*Constants_CC!F$491*8760/2000*D$27,IF(D$14=2,D$217*Constants_CC!F$410*Constants_CC!F$491*8760/2000*D$27,IF(D$14=3,D$231*Constants_CC!F$410*Constants_CC!F$491*8760/2000*D$27,D$239*Constants_CC!F$410*Constants_CC!F$491*8760/2000*D$27)))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1816.3964975375029</v>
      </c>
      <c r="E280" s="443">
        <f>E277/IF(E$14=1,E$195*Constants_CC!G$410*Constants_CC!G$491*8760/2000*E$27,IF(E$14=2,E$217*Constants_CC!G$410*Constants_CC!G$491*8760/2000*E$27,IF(E$14=3,E$231*Constants_CC!G$410*Constants_CC!G$491*8760/2000*E$27,E$239*Constants_CC!G$410*Constants_CC!G$491*8760/2000*E$27)))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347.5654262574327</v>
      </c>
      <c r="F280" s="443">
        <f>F277/IF(F$14=1,F$195*Constants_CC!H$410*Constants_CC!H$491*8760/2000*F$27,IF(F$14=2,F$217*Constants_CC!H$410*Constants_CC!H$491*8760/2000*F$27,IF(F$14=3,F$231*Constants_CC!H$410*Constants_CC!H$491*8760/2000*F$27,F$239*Constants_CC!H$410*Constants_CC!H$491*8760/2000*F$27)))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548.49895766360703</v>
      </c>
      <c r="G280" s="407">
        <f>G277/IF(G$14=1,G$195*Constants_CC!I$410*Constants_CC!I$491*8760/2000*G$27,IF(G$14=2,G$217*Constants_CC!I$410*Constants_CC!I$491*8760/2000*G$27,IF(G$14=3,G$231*Constants_CC!I$410*Constants_CC!I$491*8760/2000*G$27,G$239*Constants_CC!I$410*Constants_CC!I$491*8760/2000*G$27)))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0</v>
      </c>
    </row>
    <row r="281" spans="1:7" ht="14" hidden="1" thickBot="1" x14ac:dyDescent="0.4">
      <c r="A281" s="496" t="s">
        <v>311</v>
      </c>
      <c r="B281" s="429" t="s">
        <v>303</v>
      </c>
      <c r="C281" s="493">
        <f>C270*C$51</f>
        <v>3597413.5282049449</v>
      </c>
      <c r="D281" s="462">
        <f>D270*D$51</f>
        <v>7384821.4614540907</v>
      </c>
      <c r="E281" s="443">
        <f>E270*E$51</f>
        <v>730376.88774693583</v>
      </c>
      <c r="F281" s="443">
        <f>F270*F$51</f>
        <v>505853.15323867364</v>
      </c>
      <c r="G281" s="407">
        <f>G270*G$51</f>
        <v>419796.37089807977</v>
      </c>
    </row>
    <row r="282" spans="1:7" ht="14" hidden="1" thickBot="1" x14ac:dyDescent="0.4">
      <c r="A282" s="496"/>
      <c r="B282" s="429" t="s">
        <v>307</v>
      </c>
      <c r="C282" s="497">
        <f>C281/(C$25*1000)</f>
        <v>23.982756854699634</v>
      </c>
      <c r="D282" s="464">
        <f>D281/(D$25*1000)</f>
        <v>49.232143076360607</v>
      </c>
      <c r="E282" s="450">
        <f>E281/(E$25*1000)</f>
        <v>9.2452770600877958</v>
      </c>
      <c r="F282" s="450">
        <f>F281/(F$25*1000)</f>
        <v>22.993325147212438</v>
      </c>
      <c r="G282" s="408">
        <f>G281/(G$25*1000)</f>
        <v>19.081653222639989</v>
      </c>
    </row>
    <row r="283" spans="1:7" ht="14" hidden="1" thickBot="1" x14ac:dyDescent="0.4">
      <c r="A283" s="496"/>
      <c r="B283" s="429" t="s">
        <v>308</v>
      </c>
      <c r="C283" s="497">
        <f>C281/(C$25*1000*8760*C$27)*1000</f>
        <v>4.2119348181769638</v>
      </c>
      <c r="D283" s="464">
        <f>D281/(D$25*1000*8760*D$27)*1000</f>
        <v>8.6463194724904469</v>
      </c>
      <c r="E283" s="450">
        <f>E281/(E$25*1000*8760*E$27)*1000</f>
        <v>1.6236875764116254</v>
      </c>
      <c r="F283" s="450">
        <f>F281/(F$25*1000*8760*F$27)*1000</f>
        <v>4.0381673950144785</v>
      </c>
      <c r="G283" s="408">
        <f>G281/(G$25*1000*8760*G$27)*1000</f>
        <v>3.351186024348435</v>
      </c>
    </row>
    <row r="284" spans="1:7" ht="14" hidden="1" thickBot="1" x14ac:dyDescent="0.4">
      <c r="A284" s="496"/>
      <c r="B284" s="429" t="s">
        <v>309</v>
      </c>
      <c r="C284" s="493">
        <f>C281/IF(C$14=1,C$195*Constants_CC!E$410*Constants_CC!E$491*8760/2000*C$27,IF(C$14=2,C$217*Constants_CC!E$410*Constants_CC!E$491*8760/2000*C$27,IF(C$14=3,C$231*Constants_CC!E$410*Constants_CC!E$491*8760/2000*C$27,C$239*Constants_CC!E$410*Constants_CC!E$491*8760/2000*C$27)))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12040.26826978222</v>
      </c>
      <c r="D284" s="462">
        <f>D281/IF(D$14=1,D$195*Constants_CC!F$410*Constants_CC!F$491*8760/2000*D$27,IF(D$14=2,D$217*Constants_CC!F$410*Constants_CC!F$491*8760/2000*D$27,IF(D$14=3,D$231*Constants_CC!F$410*Constants_CC!F$491*8760/2000*D$27,D$239*Constants_CC!F$410*Constants_CC!F$491*8760/2000*D$27)))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6920.7962758487765</v>
      </c>
      <c r="E284" s="443">
        <f>E281/IF(E$14=1,E$195*Constants_CC!G$410*Constants_CC!G$491*8760/2000*E$27,IF(E$14=2,E$217*Constants_CC!G$410*Constants_CC!G$491*8760/2000*E$27,IF(E$14=3,E$231*Constants_CC!G$410*Constants_CC!G$491*8760/2000*E$27,E$239*Constants_CC!G$410*Constants_CC!G$491*8760/2000*E$27)))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1819.5135346102015</v>
      </c>
      <c r="F284" s="443">
        <f>F281/IF(F$14=1,F$195*Constants_CC!H$410*Constants_CC!H$491*8760/2000*F$27,IF(F$14=2,F$217*Constants_CC!H$410*Constants_CC!H$491*8760/2000*F$27,IF(F$14=3,F$231*Constants_CC!H$410*Constants_CC!H$491*8760/2000*F$27,F$239*Constants_CC!H$410*Constants_CC!H$491*8760/2000*F$27)))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4525.1933543080677</v>
      </c>
      <c r="G284" s="407">
        <f>G281/IF(G$14=1,G$195*Constants_CC!I$410*Constants_CC!I$491*8760/2000*G$27,IF(G$14=2,G$217*Constants_CC!I$410*Constants_CC!I$491*8760/2000*G$27,IF(G$14=3,G$231*Constants_CC!I$410*Constants_CC!I$491*8760/2000*G$27,G$239*Constants_CC!I$410*Constants_CC!I$491*8760/2000*G$27)))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5364.7973176977102</v>
      </c>
    </row>
    <row r="285" spans="1:7" ht="14" hidden="1" thickBot="1" x14ac:dyDescent="0.4">
      <c r="A285" s="496" t="s">
        <v>312</v>
      </c>
      <c r="B285" s="429" t="s">
        <v>303</v>
      </c>
      <c r="C285" s="493">
        <f t="shared" ref="C285:G288" si="0">C273+C277+C281</f>
        <v>4576151.7271488411</v>
      </c>
      <c r="D285" s="462">
        <f t="shared" si="0"/>
        <v>9859503.2587626986</v>
      </c>
      <c r="E285" s="443">
        <f t="shared" si="0"/>
        <v>1053837.427413828</v>
      </c>
      <c r="F285" s="443">
        <f t="shared" si="0"/>
        <v>737079.07871187222</v>
      </c>
      <c r="G285" s="407">
        <f t="shared" si="0"/>
        <v>461964.25748156401</v>
      </c>
    </row>
    <row r="286" spans="1:7" ht="14" hidden="1" thickBot="1" x14ac:dyDescent="0.4">
      <c r="A286" s="496"/>
      <c r="B286" s="429" t="s">
        <v>307</v>
      </c>
      <c r="C286" s="497">
        <f t="shared" si="0"/>
        <v>30.507678180992279</v>
      </c>
      <c r="D286" s="464">
        <f t="shared" si="0"/>
        <v>65.730021725084654</v>
      </c>
      <c r="E286" s="450">
        <f t="shared" si="0"/>
        <v>13.339714271061114</v>
      </c>
      <c r="F286" s="450">
        <f t="shared" si="0"/>
        <v>33.503594486903282</v>
      </c>
      <c r="G286" s="408">
        <f t="shared" si="0"/>
        <v>20.998375340071092</v>
      </c>
    </row>
    <row r="287" spans="1:7" ht="14" hidden="1" thickBot="1" x14ac:dyDescent="0.4">
      <c r="A287" s="496"/>
      <c r="B287" s="429" t="s">
        <v>308</v>
      </c>
      <c r="C287" s="497">
        <f t="shared" si="0"/>
        <v>5.3578640992258997</v>
      </c>
      <c r="D287" s="464">
        <f t="shared" si="0"/>
        <v>11.543734057794985</v>
      </c>
      <c r="E287" s="450">
        <f t="shared" si="0"/>
        <v>2.3427668196454361</v>
      </c>
      <c r="F287" s="450">
        <f t="shared" si="0"/>
        <v>5.8840172966110451</v>
      </c>
      <c r="G287" s="408">
        <f t="shared" si="0"/>
        <v>3.6878074007852284</v>
      </c>
    </row>
    <row r="288" spans="1:7" ht="14" hidden="1" thickBot="1" x14ac:dyDescent="0.4">
      <c r="A288" s="496"/>
      <c r="B288" s="429" t="s">
        <v>309</v>
      </c>
      <c r="C288" s="493">
        <f t="shared" si="0"/>
        <v>15316.030255101759</v>
      </c>
      <c r="D288" s="462">
        <f t="shared" si="0"/>
        <v>9239.9814661907876</v>
      </c>
      <c r="E288" s="443">
        <f t="shared" si="0"/>
        <v>2625.317825120761</v>
      </c>
      <c r="F288" s="443">
        <f t="shared" si="0"/>
        <v>6593.6632543095839</v>
      </c>
      <c r="G288" s="407">
        <f t="shared" si="0"/>
        <v>5903.6827881749687</v>
      </c>
    </row>
    <row r="289" spans="1:7" ht="13.5" hidden="1" thickBot="1" x14ac:dyDescent="0.35">
      <c r="A289" s="492" t="s">
        <v>313</v>
      </c>
      <c r="B289" s="429"/>
      <c r="C289" s="495"/>
      <c r="D289" s="463"/>
      <c r="E289" s="446"/>
      <c r="F289" s="446"/>
      <c r="G289" s="447"/>
    </row>
    <row r="290" spans="1:7" ht="14" hidden="1" thickBot="1" x14ac:dyDescent="0.4">
      <c r="A290" s="496" t="s">
        <v>306</v>
      </c>
      <c r="B290" s="429" t="s">
        <v>307</v>
      </c>
      <c r="C290" s="497">
        <f>C274*Constants_CC!E$537</f>
        <v>3.1286692009826607</v>
      </c>
      <c r="D290" s="464">
        <f>D274*Constants_CC!F$537</f>
        <v>4.8671802399599864</v>
      </c>
      <c r="E290" s="450">
        <f>E274*Constants_CC!G$537</f>
        <v>3.1685153186519868</v>
      </c>
      <c r="F290" s="450">
        <f>F274*Constants_CC!H$537</f>
        <v>10.509914349044001</v>
      </c>
      <c r="G290" s="408">
        <f>G274*Constants_CC!I$537</f>
        <v>2.6083051896796179</v>
      </c>
    </row>
    <row r="291" spans="1:7" ht="14" hidden="1" thickBot="1" x14ac:dyDescent="0.4">
      <c r="A291" s="496"/>
      <c r="B291" s="429" t="s">
        <v>308</v>
      </c>
      <c r="C291" s="497">
        <f>C275*Constants_CC!E$537</f>
        <v>0.54946772058002469</v>
      </c>
      <c r="D291" s="464">
        <f>D275*Constants_CC!F$537</f>
        <v>0.85479105022128321</v>
      </c>
      <c r="E291" s="450">
        <f>E275*Constants_CC!G$537</f>
        <v>0.55646563376395974</v>
      </c>
      <c r="F291" s="450">
        <f>F275*Constants_CC!H$537</f>
        <v>1.8457875569097297</v>
      </c>
      <c r="G291" s="408">
        <f>G275*Constants_CC!I$537</f>
        <v>0.45807959074106391</v>
      </c>
    </row>
    <row r="292" spans="1:7" ht="14" hidden="1" thickBot="1" x14ac:dyDescent="0.4">
      <c r="A292" s="496"/>
      <c r="B292" s="429" t="s">
        <v>309</v>
      </c>
      <c r="C292" s="493">
        <f>C290*C$25*1000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1570.7125221450365</v>
      </c>
      <c r="D292" s="462">
        <f>D290*D$25*1000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684.20265244910627</v>
      </c>
      <c r="E292" s="443">
        <f>E290*E$25*1000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623.57855469745095</v>
      </c>
      <c r="F292" s="443">
        <f>F290*F$25*1000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2068.4000361907947</v>
      </c>
      <c r="G292" s="407">
        <f>G290*G$25*1000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733.32370744101934</v>
      </c>
    </row>
    <row r="293" spans="1:7" ht="14" hidden="1" thickBot="1" x14ac:dyDescent="0.4">
      <c r="A293" s="496" t="s">
        <v>310</v>
      </c>
      <c r="B293" s="429" t="s">
        <v>307</v>
      </c>
      <c r="C293" s="497">
        <f>C278*Constants_CC!E$537</f>
        <v>5.7505449547083645</v>
      </c>
      <c r="D293" s="464">
        <f>D278*Constants_CC!F$537</f>
        <v>17.583388941056565</v>
      </c>
      <c r="E293" s="450">
        <f>E278*Constants_CC!G$537</f>
        <v>2.4032583511339927</v>
      </c>
      <c r="F293" s="450">
        <f>F278*Constants_CC!H$537</f>
        <v>3.7926232041762664</v>
      </c>
      <c r="G293" s="408">
        <f>G278*Constants_CC!I$537</f>
        <v>0</v>
      </c>
    </row>
    <row r="294" spans="1:7" ht="14" hidden="1" thickBot="1" x14ac:dyDescent="0.4">
      <c r="A294" s="496"/>
      <c r="B294" s="429" t="s">
        <v>308</v>
      </c>
      <c r="C294" s="497">
        <f>C279*Constants_CC!E$537</f>
        <v>1.0099306207777248</v>
      </c>
      <c r="D294" s="464">
        <f>D279*Constants_CC!F$537</f>
        <v>3.0880556622860147</v>
      </c>
      <c r="E294" s="450">
        <f>E279*Constants_CC!G$537</f>
        <v>0.42206855481805278</v>
      </c>
      <c r="F294" s="450">
        <f>F279*Constants_CC!H$537</f>
        <v>0.66607362208926346</v>
      </c>
      <c r="G294" s="408">
        <f>G279*Constants_CC!I$537</f>
        <v>0</v>
      </c>
    </row>
    <row r="295" spans="1:7" ht="14" hidden="1" thickBot="1" x14ac:dyDescent="0.4">
      <c r="A295" s="496"/>
      <c r="B295" s="429" t="s">
        <v>309</v>
      </c>
      <c r="C295" s="493">
        <f>C293*C$25*1000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2886.9952012444946</v>
      </c>
      <c r="D295" s="462">
        <f>D293*D$25*1000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2471.7805298728958</v>
      </c>
      <c r="E295" s="443">
        <f>E293*E$25*1000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472.97242350158092</v>
      </c>
      <c r="F295" s="443">
        <f>F293*F$25*1000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746.405889929046</v>
      </c>
      <c r="G295" s="407">
        <f>G293*G$25*1000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0</v>
      </c>
    </row>
    <row r="296" spans="1:7" ht="14" hidden="1" thickBot="1" x14ac:dyDescent="0.4">
      <c r="A296" s="496" t="s">
        <v>311</v>
      </c>
      <c r="B296" s="429" t="s">
        <v>307</v>
      </c>
      <c r="C296" s="497">
        <f t="shared" ref="C296:G297" si="1">C282/C$51*C$52</f>
        <v>18.175273132036942</v>
      </c>
      <c r="D296" s="464">
        <f t="shared" si="1"/>
        <v>37.310458205851759</v>
      </c>
      <c r="E296" s="450">
        <f t="shared" si="1"/>
        <v>7.006510417734698</v>
      </c>
      <c r="F296" s="450">
        <f t="shared" si="1"/>
        <v>17.425434752820191</v>
      </c>
      <c r="G296" s="408">
        <f t="shared" si="1"/>
        <v>14.460983832404297</v>
      </c>
    </row>
    <row r="297" spans="1:7" ht="14" hidden="1" thickBot="1" x14ac:dyDescent="0.4">
      <c r="A297" s="496"/>
      <c r="B297" s="429" t="s">
        <v>308</v>
      </c>
      <c r="C297" s="497">
        <f t="shared" si="1"/>
        <v>3.1920044137753676</v>
      </c>
      <c r="D297" s="464">
        <f t="shared" si="1"/>
        <v>6.5525918872237021</v>
      </c>
      <c r="E297" s="450">
        <f t="shared" si="1"/>
        <v>1.2305076251729359</v>
      </c>
      <c r="F297" s="450">
        <f t="shared" si="1"/>
        <v>3.0603152007060399</v>
      </c>
      <c r="G297" s="408">
        <f t="shared" si="1"/>
        <v>2.539688063295451</v>
      </c>
    </row>
    <row r="298" spans="1:7" ht="14" hidden="1" thickBot="1" x14ac:dyDescent="0.4">
      <c r="A298" s="496"/>
      <c r="B298" s="429" t="s">
        <v>309</v>
      </c>
      <c r="C298" s="493">
        <f>C$284/C$51*C$52</f>
        <v>9124.6876125255385</v>
      </c>
      <c r="D298" s="462">
        <f>D$284/D$51*D$52</f>
        <v>5244.9083884235124</v>
      </c>
      <c r="E298" s="443">
        <f>E$284/E$51*E$52</f>
        <v>1378.9138446149061</v>
      </c>
      <c r="F298" s="443">
        <f>F$284/F$51*F$52</f>
        <v>3429.4066227715848</v>
      </c>
      <c r="G298" s="407">
        <f>G$284/G$51*G$52</f>
        <v>4065.698415654319</v>
      </c>
    </row>
    <row r="299" spans="1:7" ht="14" hidden="1" thickBot="1" x14ac:dyDescent="0.4">
      <c r="A299" s="496" t="s">
        <v>312</v>
      </c>
      <c r="B299" s="429" t="s">
        <v>307</v>
      </c>
      <c r="C299" s="497">
        <f t="shared" ref="C299:G301" si="2">C290+C293+C296</f>
        <v>27.054487287727966</v>
      </c>
      <c r="D299" s="464">
        <f t="shared" si="2"/>
        <v>59.761027386868307</v>
      </c>
      <c r="E299" s="450">
        <f t="shared" si="2"/>
        <v>12.578284087520679</v>
      </c>
      <c r="F299" s="450">
        <f t="shared" si="2"/>
        <v>31.727972306040456</v>
      </c>
      <c r="G299" s="408">
        <f t="shared" si="2"/>
        <v>17.069289022083915</v>
      </c>
    </row>
    <row r="300" spans="1:7" ht="14" hidden="1" thickBot="1" x14ac:dyDescent="0.4">
      <c r="A300" s="496"/>
      <c r="B300" s="429" t="s">
        <v>308</v>
      </c>
      <c r="C300" s="497">
        <f t="shared" si="2"/>
        <v>4.7514027551331175</v>
      </c>
      <c r="D300" s="464">
        <f t="shared" si="2"/>
        <v>10.495438599730999</v>
      </c>
      <c r="E300" s="450">
        <f t="shared" si="2"/>
        <v>2.2090418137549483</v>
      </c>
      <c r="F300" s="450">
        <f t="shared" si="2"/>
        <v>5.5721763797050325</v>
      </c>
      <c r="G300" s="408">
        <f t="shared" si="2"/>
        <v>2.9977676540365148</v>
      </c>
    </row>
    <row r="301" spans="1:7" ht="14" hidden="1" thickBot="1" x14ac:dyDescent="0.4">
      <c r="A301" s="496"/>
      <c r="B301" s="429" t="s">
        <v>309</v>
      </c>
      <c r="C301" s="493">
        <f t="shared" si="2"/>
        <v>13582.395335915069</v>
      </c>
      <c r="D301" s="462">
        <f t="shared" si="2"/>
        <v>8400.8915707455144</v>
      </c>
      <c r="E301" s="443">
        <f t="shared" si="2"/>
        <v>2475.4648228139376</v>
      </c>
      <c r="F301" s="443">
        <f t="shared" si="2"/>
        <v>6244.2125488914253</v>
      </c>
      <c r="G301" s="407">
        <f t="shared" si="2"/>
        <v>4799.0221230953384</v>
      </c>
    </row>
    <row r="302" spans="1:7" ht="13.5" hidden="1" thickBot="1" x14ac:dyDescent="0.35">
      <c r="A302" s="492" t="s">
        <v>314</v>
      </c>
      <c r="B302" s="429"/>
      <c r="C302" s="495"/>
      <c r="D302" s="463"/>
      <c r="E302" s="446"/>
      <c r="F302" s="446"/>
      <c r="G302" s="447"/>
    </row>
    <row r="303" spans="1:7" ht="14" hidden="1" thickBot="1" x14ac:dyDescent="0.4">
      <c r="A303" s="496" t="s">
        <v>306</v>
      </c>
      <c r="B303" s="429" t="s">
        <v>307</v>
      </c>
      <c r="C303" s="497">
        <f>C274*Constants_CC!E$547</f>
        <v>2.2991134163964748</v>
      </c>
      <c r="D303" s="464">
        <f>D274*Constants_CC!F$547</f>
        <v>3.5766642846732317</v>
      </c>
      <c r="E303" s="450">
        <f>E274*Constants_CC!G$547</f>
        <v>2.3283944742008877</v>
      </c>
      <c r="F303" s="450">
        <f>F274*Constants_CC!H$547</f>
        <v>7.7232470206423729</v>
      </c>
      <c r="G303" s="408">
        <f>G274*Constants_CC!I$547</f>
        <v>1.9167221174311027</v>
      </c>
    </row>
    <row r="304" spans="1:7" ht="14" hidden="1" thickBot="1" x14ac:dyDescent="0.4">
      <c r="A304" s="496"/>
      <c r="B304" s="429" t="s">
        <v>308</v>
      </c>
      <c r="C304" s="497">
        <f>C275*Constants_CC!E$547</f>
        <v>0.40377826069484979</v>
      </c>
      <c r="D304" s="464">
        <f>D275*Constants_CC!F$547</f>
        <v>0.62814616871675999</v>
      </c>
      <c r="E304" s="450">
        <f>E275*Constants_CC!G$547</f>
        <v>0.40892070147539306</v>
      </c>
      <c r="F304" s="450">
        <f>F275*Constants_CC!H$547</f>
        <v>1.3563833896456572</v>
      </c>
      <c r="G304" s="408">
        <f>G275*Constants_CC!I$547</f>
        <v>0.33662137643679357</v>
      </c>
    </row>
    <row r="305" spans="1:7" ht="14" hidden="1" thickBot="1" x14ac:dyDescent="0.4">
      <c r="A305" s="496"/>
      <c r="B305" s="429" t="s">
        <v>309</v>
      </c>
      <c r="C305" s="493">
        <f>C303*C$25*1000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1154.2435460519023</v>
      </c>
      <c r="D305" s="462">
        <f>D303*D$25*1000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502.78869280450743</v>
      </c>
      <c r="E305" s="443">
        <f>E303*E$25*1000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458.23886425312685</v>
      </c>
      <c r="F305" s="443">
        <f>F303*F$25*1000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1519.9709423379099</v>
      </c>
      <c r="G305" s="407">
        <f>G303*G$25*1000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538.88547047725899</v>
      </c>
    </row>
    <row r="306" spans="1:7" ht="14" hidden="1" thickBot="1" x14ac:dyDescent="0.4">
      <c r="A306" s="496" t="s">
        <v>310</v>
      </c>
      <c r="B306" s="429" t="s">
        <v>307</v>
      </c>
      <c r="C306" s="497">
        <f>C278*Constants_CC!E$547</f>
        <v>4.2258079098961705</v>
      </c>
      <c r="D306" s="464">
        <f>D278*Constants_CC!F$547</f>
        <v>12.921214364050821</v>
      </c>
      <c r="E306" s="450">
        <f>E278*Constants_CC!G$547</f>
        <v>1.766042736772431</v>
      </c>
      <c r="F306" s="450">
        <f>F278*Constants_CC!H$547</f>
        <v>2.7870223190484769</v>
      </c>
      <c r="G306" s="408">
        <f>G278*Constants_CC!I$547</f>
        <v>0</v>
      </c>
    </row>
    <row r="307" spans="1:7" ht="14" hidden="1" thickBot="1" x14ac:dyDescent="0.4">
      <c r="A307" s="496"/>
      <c r="B307" s="429" t="s">
        <v>308</v>
      </c>
      <c r="C307" s="497">
        <f>C279*Constants_CC!E$547</f>
        <v>0.74215102035408687</v>
      </c>
      <c r="D307" s="464">
        <f>D279*Constants_CC!F$547</f>
        <v>2.2692684165877801</v>
      </c>
      <c r="E307" s="450">
        <f>E279*Constants_CC!G$547</f>
        <v>0.31015854175841778</v>
      </c>
      <c r="F307" s="450">
        <f>F279*Constants_CC!H$547</f>
        <v>0.48946651195090923</v>
      </c>
      <c r="G307" s="408">
        <f>G279*Constants_CC!I$547</f>
        <v>0</v>
      </c>
    </row>
    <row r="308" spans="1:7" ht="14" hidden="1" thickBot="1" x14ac:dyDescent="0.4">
      <c r="A308" s="496"/>
      <c r="B308" s="429" t="s">
        <v>309</v>
      </c>
      <c r="C308" s="493">
        <f>C306*C$25*1000/IF(C$14=1,C$195*Constants_CC!E$410*Constants_CC!E$491*8760/2000*C$27,IF(C$14=2,C$217*Constants_CC!E$410*Constants_CC!E$491*8760/2000*C$27,IF(C$14=3,C$231*Constants_CC!E$410*Constants_CC!E$491*8760/2000*C$27,C$239*Constants_CC!E$410*Constants_CC!E$491*8760/2000*C$27)))</f>
        <v>2121.5184392676369</v>
      </c>
      <c r="D308" s="462">
        <f>D306*D$25*1000/IF(D$14=1,D$195*Constants_CC!F$410*Constants_CC!F$491*8760/2000*D$27,IF(D$14=2,D$217*Constants_CC!F$410*Constants_CC!F$491*8760/2000*D$27,IF(D$14=3,D$231*Constants_CC!F$410*Constants_CC!F$491*8760/2000*D$27,D$239*Constants_CC!F$410*Constants_CC!F$491*8760/2000*D$27)))</f>
        <v>1816.3964975375031</v>
      </c>
      <c r="E308" s="443">
        <f>E306*E$25*1000/IF(E$14=1,E$195*Constants_CC!G$410*Constants_CC!G$491*8760/2000*E$27,IF(E$14=2,E$217*Constants_CC!G$410*Constants_CC!G$491*8760/2000*E$27,IF(E$14=3,E$231*Constants_CC!G$410*Constants_CC!G$491*8760/2000*E$27,E$239*Constants_CC!G$410*Constants_CC!G$491*8760/2000*E$27)))</f>
        <v>347.56542625743276</v>
      </c>
      <c r="F308" s="443">
        <f>F306*F$25*1000/IF(F$14=1,F$195*Constants_CC!H$410*Constants_CC!H$491*8760/2000*F$27,IF(F$14=2,F$217*Constants_CC!H$410*Constants_CC!H$491*8760/2000*F$27,IF(F$14=3,F$231*Constants_CC!H$410*Constants_CC!H$491*8760/2000*F$27,F$239*Constants_CC!H$410*Constants_CC!H$491*8760/2000*F$27)))</f>
        <v>548.49895766360714</v>
      </c>
      <c r="G308" s="407">
        <f>G306*G$25*1000/IF(G$14=1,G$195*Constants_CC!I$410*Constants_CC!I$491*8760/2000*G$27,IF(G$14=2,G$217*Constants_CC!I$410*Constants_CC!I$491*8760/2000*G$27,IF(G$14=3,G$231*Constants_CC!I$410*Constants_CC!I$491*8760/2000*G$27,G$239*Constants_CC!I$410*Constants_CC!I$491*8760/2000*G$27)))</f>
        <v>0</v>
      </c>
    </row>
    <row r="309" spans="1:7" ht="14" hidden="1" thickBot="1" x14ac:dyDescent="0.4">
      <c r="A309" s="496" t="s">
        <v>311</v>
      </c>
      <c r="B309" s="429" t="s">
        <v>307</v>
      </c>
      <c r="C309" s="497">
        <f>C282/C$51*C$54</f>
        <v>12.582881399102499</v>
      </c>
      <c r="D309" s="464">
        <f>D282/D$51*D$54</f>
        <v>25.830317219435834</v>
      </c>
      <c r="E309" s="450">
        <f>E282/E$51*E$54</f>
        <v>4.8506610584317142</v>
      </c>
      <c r="F309" s="450">
        <f>F282/F$51*F$54</f>
        <v>12.063762521183209</v>
      </c>
      <c r="G309" s="408">
        <f>G282/G$51*G$54</f>
        <v>10.011450345510667</v>
      </c>
    </row>
    <row r="310" spans="1:7" ht="14" hidden="1" thickBot="1" x14ac:dyDescent="0.4">
      <c r="A310" s="496"/>
      <c r="B310" s="429" t="s">
        <v>308</v>
      </c>
      <c r="C310" s="497">
        <f>C283/C$53*C$54</f>
        <v>3.1388304059025787</v>
      </c>
      <c r="D310" s="464">
        <f>D283/D$53*D$54</f>
        <v>6.4434355304546642</v>
      </c>
      <c r="E310" s="450">
        <f>E283/E$53*E$54</f>
        <v>1.2100092129946509</v>
      </c>
      <c r="F310" s="450">
        <f>F283/F$53*F$54</f>
        <v>3.0093349376859493</v>
      </c>
      <c r="G310" s="408">
        <f>G283/G$53*G$54</f>
        <v>2.4973806678265409</v>
      </c>
    </row>
    <row r="311" spans="1:7" ht="14" hidden="1" thickBot="1" x14ac:dyDescent="0.4">
      <c r="A311" s="496"/>
      <c r="B311" s="429" t="s">
        <v>309</v>
      </c>
      <c r="C311" s="493">
        <f>C$284/C$53*C$54</f>
        <v>8972.6839972262405</v>
      </c>
      <c r="D311" s="462">
        <f>D$284/D$53*D$54</f>
        <v>5157.5360781802983</v>
      </c>
      <c r="E311" s="443">
        <f>E$284/E$53*E$54</f>
        <v>1355.9432073209784</v>
      </c>
      <c r="F311" s="443">
        <f>F$284/F$53*F$54</f>
        <v>3372.2778500257577</v>
      </c>
      <c r="G311" s="407">
        <f>G$284/G$53*G$54</f>
        <v>3997.9699756091218</v>
      </c>
    </row>
    <row r="312" spans="1:7" ht="14" hidden="1" thickBot="1" x14ac:dyDescent="0.4">
      <c r="A312" s="496" t="s">
        <v>312</v>
      </c>
      <c r="B312" s="429" t="s">
        <v>307</v>
      </c>
      <c r="C312" s="497">
        <f t="shared" ref="C312:G314" si="3">C303+C306+C309</f>
        <v>19.107802725395146</v>
      </c>
      <c r="D312" s="464">
        <f t="shared" si="3"/>
        <v>42.328195868159888</v>
      </c>
      <c r="E312" s="450">
        <f t="shared" si="3"/>
        <v>8.9450982694050332</v>
      </c>
      <c r="F312" s="450">
        <f t="shared" si="3"/>
        <v>22.574031860874058</v>
      </c>
      <c r="G312" s="408">
        <f t="shared" si="3"/>
        <v>11.92817246294177</v>
      </c>
    </row>
    <row r="313" spans="1:7" ht="14" hidden="1" thickBot="1" x14ac:dyDescent="0.4">
      <c r="A313" s="496"/>
      <c r="B313" s="429" t="s">
        <v>308</v>
      </c>
      <c r="C313" s="497">
        <f t="shared" si="3"/>
        <v>4.2847596869515154</v>
      </c>
      <c r="D313" s="464">
        <f t="shared" si="3"/>
        <v>9.3408501157592045</v>
      </c>
      <c r="E313" s="450">
        <f t="shared" si="3"/>
        <v>1.9290884562284618</v>
      </c>
      <c r="F313" s="450">
        <f t="shared" si="3"/>
        <v>4.8551848392825159</v>
      </c>
      <c r="G313" s="408">
        <f t="shared" si="3"/>
        <v>2.8340020442633342</v>
      </c>
    </row>
    <row r="314" spans="1:7" ht="14" hidden="1" thickBot="1" x14ac:dyDescent="0.4">
      <c r="A314" s="496"/>
      <c r="B314" s="429" t="s">
        <v>309</v>
      </c>
      <c r="C314" s="493">
        <f t="shared" si="3"/>
        <v>12248.44598254578</v>
      </c>
      <c r="D314" s="462">
        <f t="shared" si="3"/>
        <v>7476.7212685223094</v>
      </c>
      <c r="E314" s="443">
        <f t="shared" si="3"/>
        <v>2161.7474978315381</v>
      </c>
      <c r="F314" s="443">
        <f t="shared" si="3"/>
        <v>5440.7477500272744</v>
      </c>
      <c r="G314" s="407">
        <f>G305+G308+G311</f>
        <v>4536.8554460863807</v>
      </c>
    </row>
    <row r="315" spans="1:7" ht="13.5" hidden="1" thickBot="1" x14ac:dyDescent="0.35">
      <c r="A315" s="485"/>
      <c r="B315" s="427"/>
      <c r="C315" s="488"/>
      <c r="D315" s="429"/>
      <c r="E315" s="430"/>
      <c r="F315" s="430"/>
      <c r="G315" s="397"/>
    </row>
    <row r="316" spans="1:7" ht="16.5" hidden="1" thickBot="1" x14ac:dyDescent="0.45">
      <c r="A316" s="487" t="s">
        <v>315</v>
      </c>
      <c r="B316" s="427"/>
      <c r="C316" s="488" t="str">
        <f>C266</f>
        <v>PJFF</v>
      </c>
      <c r="D316" s="429" t="str">
        <f>D266</f>
        <v>PJFF</v>
      </c>
      <c r="E316" s="430" t="str">
        <f>E266</f>
        <v>PJFF</v>
      </c>
      <c r="F316" s="430" t="str">
        <f>F266</f>
        <v>PJFF</v>
      </c>
      <c r="G316" s="397" t="str">
        <f>G266</f>
        <v>PJFF</v>
      </c>
    </row>
    <row r="317" spans="1:7" ht="13.5" hidden="1" thickBot="1" x14ac:dyDescent="0.35">
      <c r="A317" s="492" t="s">
        <v>302</v>
      </c>
      <c r="B317" s="429" t="s">
        <v>303</v>
      </c>
      <c r="C317" s="493">
        <f>IF(C$12=2,'FF ESP Cost &amp; Tech. Results'!D228,'FF ESP Cost &amp; Tech. Results'!D82)</f>
        <v>17565252.172591858</v>
      </c>
      <c r="D317" s="441">
        <f>IF(D$12=2,'FF ESP Cost &amp; Tech. Results'!E228,'FF ESP Cost &amp; Tech. Results'!E82)</f>
        <v>40384436.356673069</v>
      </c>
      <c r="E317" s="443">
        <f>IF(E$12=2,'FF ESP Cost &amp; Tech. Results'!F228,'FF ESP Cost &amp; Tech. Results'!F82)</f>
        <v>25619606.445985116</v>
      </c>
      <c r="F317" s="443">
        <f>IF(F$12=2,'FF ESP Cost &amp; Tech. Results'!G228,'FF ESP Cost &amp; Tech. Results'!G82)</f>
        <v>11083014.604538701</v>
      </c>
      <c r="G317" s="407">
        <f>IF(G$12=2,'FF ESP Cost &amp; Tech. Results'!H228,'FF ESP Cost &amp; Tech. Results'!H82)</f>
        <v>11569915.945984144</v>
      </c>
    </row>
    <row r="318" spans="1:7" ht="13.5" hidden="1" thickBot="1" x14ac:dyDescent="0.35">
      <c r="A318" s="494"/>
      <c r="B318" s="429" t="s">
        <v>304</v>
      </c>
      <c r="C318" s="493">
        <f>IF(C$12=2,'FF ESP Cost &amp; Tech. Results'!D229,'FF ESP Cost &amp; Tech. Results'!D83)</f>
        <v>117.10168115061238</v>
      </c>
      <c r="D318" s="441">
        <f>IF(D$12=2,'FF ESP Cost &amp; Tech. Results'!E229,'FF ESP Cost &amp; Tech. Results'!E83)</f>
        <v>269.22957571115381</v>
      </c>
      <c r="E318" s="443">
        <f>IF(E$12=2,'FF ESP Cost &amp; Tech. Results'!F229,'FF ESP Cost &amp; Tech. Results'!F83)</f>
        <v>324.29881577196352</v>
      </c>
      <c r="F318" s="443">
        <f>IF(F$12=2,'FF ESP Cost &amp; Tech. Results'!G229,'FF ESP Cost &amp; Tech. Results'!G83)</f>
        <v>503.7733911153955</v>
      </c>
      <c r="G318" s="407">
        <f>IF(G$12=2,'FF ESP Cost &amp; Tech. Results'!H229,'FF ESP Cost &amp; Tech. Results'!H83)</f>
        <v>525.90527027200653</v>
      </c>
    </row>
    <row r="319" spans="1:7" ht="13.5" hidden="1" thickBot="1" x14ac:dyDescent="0.35">
      <c r="A319" s="492" t="s">
        <v>305</v>
      </c>
      <c r="B319" s="429"/>
      <c r="C319" s="493"/>
      <c r="D319" s="441"/>
      <c r="E319" s="443"/>
      <c r="F319" s="443"/>
      <c r="G319" s="407"/>
    </row>
    <row r="320" spans="1:7" ht="14" hidden="1" thickBot="1" x14ac:dyDescent="0.4">
      <c r="A320" s="496" t="s">
        <v>306</v>
      </c>
      <c r="B320" s="429" t="s">
        <v>303</v>
      </c>
      <c r="C320" s="493">
        <f>IF(C$12=2,'FF ESP Cost &amp; Tech. Results'!D240,'FF ESP Cost &amp; Tech. Results'!D94)</f>
        <v>503415.44268373906</v>
      </c>
      <c r="D320" s="441">
        <f>IF(D$12=2,'FF ESP Cost &amp; Tech. Results'!E240,'FF ESP Cost &amp; Tech. Results'!E94)</f>
        <v>1157407.1756140369</v>
      </c>
      <c r="E320" s="443">
        <f>IF(E$12=2,'FF ESP Cost &amp; Tech. Results'!F240,'FF ESP Cost &amp; Tech. Results'!F94)</f>
        <v>734251.08809500793</v>
      </c>
      <c r="F320" s="443">
        <f>IF(F$12=2,'FF ESP Cost &amp; Tech. Results'!G240,'FF ESP Cost &amp; Tech. Results'!G94)</f>
        <v>317636.24277025845</v>
      </c>
      <c r="G320" s="407">
        <f>IF(G$12=2,'FF ESP Cost &amp; Tech. Results'!H240,'FF ESP Cost &amp; Tech. Results'!H94)</f>
        <v>331590.70536143775</v>
      </c>
    </row>
    <row r="321" spans="1:7" ht="14" hidden="1" thickBot="1" x14ac:dyDescent="0.4">
      <c r="A321" s="496"/>
      <c r="B321" s="429" t="s">
        <v>307</v>
      </c>
      <c r="C321" s="497">
        <f>C320/(C$25*1000)</f>
        <v>3.3561029512249272</v>
      </c>
      <c r="D321" s="448">
        <f>D320/(D$25*1000)</f>
        <v>7.7160478374269124</v>
      </c>
      <c r="E321" s="450">
        <f>E320/(E$25*1000)</f>
        <v>9.2943175708228853</v>
      </c>
      <c r="F321" s="450">
        <f>F320/(F$25*1000)</f>
        <v>14.438011035011748</v>
      </c>
      <c r="G321" s="408">
        <f>G320/(G$25*1000)</f>
        <v>15.072304789156261</v>
      </c>
    </row>
    <row r="322" spans="1:7" ht="14" hidden="1" thickBot="1" x14ac:dyDescent="0.4">
      <c r="A322" s="496"/>
      <c r="B322" s="429" t="s">
        <v>308</v>
      </c>
      <c r="C322" s="497">
        <f>C320/(C$25*1000*8760*C$27)*1000</f>
        <v>0.58941042346767247</v>
      </c>
      <c r="D322" s="448">
        <f>D320/(D$25*1000*8760*D$27)*1000</f>
        <v>1.3551190441564651</v>
      </c>
      <c r="E322" s="450">
        <f>E320/(E$25*1000*8760*E$27)*1000</f>
        <v>1.6323002407486626</v>
      </c>
      <c r="F322" s="450">
        <f>F320/(F$25*1000*8760*F$27)*1000</f>
        <v>2.5356535010558043</v>
      </c>
      <c r="G322" s="408">
        <f>G320/(G$25*1000*8760*G$27)*1000</f>
        <v>2.6470503669048577</v>
      </c>
    </row>
    <row r="323" spans="1:7" ht="14" hidden="1" thickBot="1" x14ac:dyDescent="0.4">
      <c r="A323" s="496"/>
      <c r="B323" s="429" t="s">
        <v>316</v>
      </c>
      <c r="C323" s="495">
        <f>C320/(('FF ESP Cost &amp; Tech. Results'!D$35-(C$164*Constants_CC!E$491))*8760/2000*C$27)</f>
        <v>45.920134917811325</v>
      </c>
      <c r="D323" s="444">
        <f>D320/(('FF ESP Cost &amp; Tech. Results'!E$35-(D$164*Constants_CC!F$491))*8760/2000*D$27)</f>
        <v>8.4646183953780838</v>
      </c>
      <c r="E323" s="446">
        <f>E320/(('FF ESP Cost &amp; Tech. Results'!F$35-(E$164*Constants_CC!G$491))*8760/2000*E$27)</f>
        <v>10.196003594076773</v>
      </c>
      <c r="F323" s="446">
        <f>F320/(('FF ESP Cost &amp; Tech. Results'!G$35-(F$164*Constants_CC!H$491))*8760/2000*F$27)</f>
        <v>15.838711264442678</v>
      </c>
      <c r="G323" s="447">
        <f>G320/(('FF ESP Cost &amp; Tech. Results'!H$35-(G$164*Constants_CC!I$491))*8760/2000*G$27)</f>
        <v>57.745455787913983</v>
      </c>
    </row>
    <row r="324" spans="1:7" ht="14" hidden="1" thickBot="1" x14ac:dyDescent="0.4">
      <c r="A324" s="496" t="s">
        <v>310</v>
      </c>
      <c r="B324" s="429" t="s">
        <v>303</v>
      </c>
      <c r="C324" s="493">
        <f>IF(C$12=2,'FF ESP Cost &amp; Tech. Results'!D239,'FF ESP Cost &amp; Tech. Results'!D95+'FF ESP Cost &amp; Tech. Results'!D93)</f>
        <v>312466.13308363809</v>
      </c>
      <c r="D324" s="441">
        <f>IF(D$12=2,'FF ESP Cost &amp; Tech. Results'!E239,'FF ESP Cost &amp; Tech. Results'!E95+'FF ESP Cost &amp; Tech. Results'!E93)</f>
        <v>1064939.3811587344</v>
      </c>
      <c r="E324" s="443">
        <f>IF(E$12=2,'FF ESP Cost &amp; Tech. Results'!F239,'FF ESP Cost &amp; Tech. Results'!F95+'FF ESP Cost &amp; Tech. Results'!F93)</f>
        <v>565461.94811528502</v>
      </c>
      <c r="F324" s="443">
        <f>IF(F$12=2,'FF ESP Cost &amp; Tech. Results'!G239,'FF ESP Cost &amp; Tech. Results'!G95+'FF ESP Cost &amp; Tech. Results'!G93)</f>
        <v>163387.74551921446</v>
      </c>
      <c r="G324" s="407">
        <f>IF(G$12=2,'FF ESP Cost &amp; Tech. Results'!H239,'FF ESP Cost &amp; Tech. Results'!H95+'FF ESP Cost &amp; Tech. Results'!H93)</f>
        <v>186500.0305178042</v>
      </c>
    </row>
    <row r="325" spans="1:7" ht="14" hidden="1" thickBot="1" x14ac:dyDescent="0.4">
      <c r="A325" s="496"/>
      <c r="B325" s="429" t="s">
        <v>307</v>
      </c>
      <c r="C325" s="497">
        <f>C324/(C$25*1000)</f>
        <v>2.0831075538909207</v>
      </c>
      <c r="D325" s="448">
        <f>D324/(D$25*1000)</f>
        <v>7.0995958743915626</v>
      </c>
      <c r="E325" s="450">
        <f>E324/(E$25*1000)</f>
        <v>7.1577461786744943</v>
      </c>
      <c r="F325" s="450">
        <f>F324/(F$25*1000)</f>
        <v>7.4267157054188386</v>
      </c>
      <c r="G325" s="408">
        <f>G324/(G$25*1000)</f>
        <v>8.4772741144456454</v>
      </c>
    </row>
    <row r="326" spans="1:7" ht="14" hidden="1" thickBot="1" x14ac:dyDescent="0.4">
      <c r="A326" s="496"/>
      <c r="B326" s="429" t="s">
        <v>308</v>
      </c>
      <c r="C326" s="497">
        <f>C324/(C$25*1000*8760*C$27)*1000</f>
        <v>0.36584256302966639</v>
      </c>
      <c r="D326" s="448">
        <f>D324/(D$25*1000*8760*D$27)*1000</f>
        <v>1.246855615453383</v>
      </c>
      <c r="E326" s="450">
        <f>E324/(E$25*1000*8760*E$27)*1000</f>
        <v>1.2570681732831916</v>
      </c>
      <c r="F326" s="450">
        <f>F324/(F$25*1000*8760*F$27)*1000</f>
        <v>1.3043055330907689</v>
      </c>
      <c r="G326" s="408">
        <f>G324/(G$25*1000*8760*G$27)*1000</f>
        <v>1.4888082392774229</v>
      </c>
    </row>
    <row r="327" spans="1:7" ht="14" hidden="1" thickBot="1" x14ac:dyDescent="0.4">
      <c r="A327" s="496"/>
      <c r="B327" s="429" t="s">
        <v>316</v>
      </c>
      <c r="C327" s="495">
        <f>C324/(('FF ESP Cost &amp; Tech. Results'!D$35-(C$164*Constants_CC!E$491))*8760/2000*C$27)</f>
        <v>28.502278181922218</v>
      </c>
      <c r="D327" s="444">
        <f>D324/(('FF ESP Cost &amp; Tech. Results'!E$35-(D$164*Constants_CC!F$491))*8760/2000*D$27)</f>
        <v>7.7883614907920684</v>
      </c>
      <c r="E327" s="446">
        <f>E324/(('FF ESP Cost &amp; Tech. Results'!F$35-(E$164*Constants_CC!G$491))*8760/2000*E$27)</f>
        <v>7.8521532331063879</v>
      </c>
      <c r="F327" s="446">
        <f>F324/(('FF ESP Cost &amp; Tech. Results'!G$35-(F$164*Constants_CC!H$491))*8760/2000*F$27)</f>
        <v>8.147216774940981</v>
      </c>
      <c r="G327" s="447">
        <f>G324/(('FF ESP Cost &amp; Tech. Results'!H$35-(G$164*Constants_CC!I$491))*8760/2000*G$27)</f>
        <v>32.478381005799179</v>
      </c>
    </row>
    <row r="328" spans="1:7" ht="14" hidden="1" thickBot="1" x14ac:dyDescent="0.4">
      <c r="A328" s="496" t="s">
        <v>311</v>
      </c>
      <c r="B328" s="429" t="s">
        <v>303</v>
      </c>
      <c r="C328" s="493">
        <f>C317*C$51</f>
        <v>3917051.2344879843</v>
      </c>
      <c r="D328" s="441">
        <f>D317*D$51</f>
        <v>9005729.307538094</v>
      </c>
      <c r="E328" s="443">
        <f>E317*E$51</f>
        <v>5713172.2374546807</v>
      </c>
      <c r="F328" s="443">
        <f>F317*F$51</f>
        <v>2471512.2568121306</v>
      </c>
      <c r="G328" s="407">
        <f>G317*G$51</f>
        <v>2580091.255954464</v>
      </c>
    </row>
    <row r="329" spans="1:7" ht="14" hidden="1" thickBot="1" x14ac:dyDescent="0.4">
      <c r="A329" s="496"/>
      <c r="B329" s="429" t="s">
        <v>307</v>
      </c>
      <c r="C329" s="497">
        <f>C328/(C$25*1000)</f>
        <v>26.113674896586563</v>
      </c>
      <c r="D329" s="448">
        <f>D328/(D$25*1000)</f>
        <v>60.038195383587293</v>
      </c>
      <c r="E329" s="450">
        <f>E328/(E$25*1000)</f>
        <v>72.318635917147859</v>
      </c>
      <c r="F329" s="450">
        <f>F328/(F$25*1000)</f>
        <v>112.3414662187332</v>
      </c>
      <c r="G329" s="408">
        <f>G328/(G$25*1000)</f>
        <v>117.27687527065746</v>
      </c>
    </row>
    <row r="330" spans="1:7" ht="14" hidden="1" thickBot="1" x14ac:dyDescent="0.4">
      <c r="A330" s="496"/>
      <c r="B330" s="429" t="s">
        <v>308</v>
      </c>
      <c r="C330" s="497">
        <f>C328/(C$25*1000*8760*C$27)*1000</f>
        <v>4.5861740246902984</v>
      </c>
      <c r="D330" s="448">
        <f>D328/(D$25*1000*8760*D$27)*1000</f>
        <v>10.544115803229239</v>
      </c>
      <c r="E330" s="450">
        <f>E328/(E$25*1000*8760*E$27)*1000</f>
        <v>12.700849300517714</v>
      </c>
      <c r="F330" s="450">
        <f>F328/(F$25*1000*8760*F$27)*1000</f>
        <v>19.729797368938041</v>
      </c>
      <c r="G330" s="408">
        <f>G328/(G$25*1000*8760*G$27)*1000</f>
        <v>20.596570999412972</v>
      </c>
    </row>
    <row r="331" spans="1:7" ht="14" hidden="1" thickBot="1" x14ac:dyDescent="0.4">
      <c r="A331" s="496"/>
      <c r="B331" s="429" t="s">
        <v>316</v>
      </c>
      <c r="C331" s="495">
        <f>C328/(('FF ESP Cost &amp; Tech. Results'!D$35-(C$164*Constants_CC!E$491))*8760/2000*C$27)</f>
        <v>357.30235093457082</v>
      </c>
      <c r="D331" s="444">
        <f>D328/(('FF ESP Cost &amp; Tech. Results'!E$35-(D$164*Constants_CC!F$491))*8760/2000*D$27)</f>
        <v>65.862786724076003</v>
      </c>
      <c r="E331" s="446">
        <f>E328/(('FF ESP Cost &amp; Tech. Results'!F$35-(E$164*Constants_CC!G$491))*8760/2000*E$27)</f>
        <v>79.334611294617716</v>
      </c>
      <c r="F331" s="446">
        <f>F328/(('FF ESP Cost &amp; Tech. Results'!G$35-(F$164*Constants_CC!H$491))*8760/2000*F$27)</f>
        <v>123.24024702210019</v>
      </c>
      <c r="G331" s="447">
        <f>G328/(('FF ESP Cost &amp; Tech. Results'!H$35-(G$164*Constants_CC!I$491))*8760/2000*G$27)</f>
        <v>449.31460122533497</v>
      </c>
    </row>
    <row r="332" spans="1:7" ht="14" hidden="1" thickBot="1" x14ac:dyDescent="0.4">
      <c r="A332" s="496" t="s">
        <v>312</v>
      </c>
      <c r="B332" s="429" t="s">
        <v>303</v>
      </c>
      <c r="C332" s="493">
        <f t="shared" ref="C332:G335" si="4">C320+C324+C328</f>
        <v>4732932.8102553617</v>
      </c>
      <c r="D332" s="441">
        <f t="shared" si="4"/>
        <v>11228075.864310864</v>
      </c>
      <c r="E332" s="443">
        <f t="shared" si="4"/>
        <v>7012885.2736649737</v>
      </c>
      <c r="F332" s="443">
        <f t="shared" si="4"/>
        <v>2952536.2451016037</v>
      </c>
      <c r="G332" s="407">
        <f t="shared" si="4"/>
        <v>3098181.9918337059</v>
      </c>
    </row>
    <row r="333" spans="1:7" ht="14" hidden="1" thickBot="1" x14ac:dyDescent="0.4">
      <c r="A333" s="496"/>
      <c r="B333" s="429" t="s">
        <v>307</v>
      </c>
      <c r="C333" s="497">
        <f t="shared" si="4"/>
        <v>31.552885401702412</v>
      </c>
      <c r="D333" s="448">
        <f t="shared" si="4"/>
        <v>74.85383909540576</v>
      </c>
      <c r="E333" s="450">
        <f t="shared" si="4"/>
        <v>88.770699666645243</v>
      </c>
      <c r="F333" s="450">
        <f t="shared" si="4"/>
        <v>134.20619295916379</v>
      </c>
      <c r="G333" s="408">
        <f t="shared" si="4"/>
        <v>140.82645417425937</v>
      </c>
    </row>
    <row r="334" spans="1:7" ht="14" hidden="1" thickBot="1" x14ac:dyDescent="0.4">
      <c r="A334" s="496"/>
      <c r="B334" s="429" t="s">
        <v>308</v>
      </c>
      <c r="C334" s="497">
        <f t="shared" si="4"/>
        <v>5.5414270111876371</v>
      </c>
      <c r="D334" s="448">
        <f t="shared" si="4"/>
        <v>13.146090462839087</v>
      </c>
      <c r="E334" s="450">
        <f t="shared" si="4"/>
        <v>15.590217714549567</v>
      </c>
      <c r="F334" s="450">
        <f t="shared" si="4"/>
        <v>23.569756403084615</v>
      </c>
      <c r="G334" s="408">
        <f t="shared" si="4"/>
        <v>24.73242960559525</v>
      </c>
    </row>
    <row r="335" spans="1:7" ht="14" hidden="1" thickBot="1" x14ac:dyDescent="0.4">
      <c r="A335" s="496"/>
      <c r="B335" s="429" t="s">
        <v>316</v>
      </c>
      <c r="C335" s="495">
        <f t="shared" si="4"/>
        <v>431.72476403430437</v>
      </c>
      <c r="D335" s="444">
        <f t="shared" si="4"/>
        <v>82.115766610246155</v>
      </c>
      <c r="E335" s="446">
        <f t="shared" si="4"/>
        <v>97.382768121800879</v>
      </c>
      <c r="F335" s="446">
        <f t="shared" si="4"/>
        <v>147.22617506148384</v>
      </c>
      <c r="G335" s="447">
        <f t="shared" si="4"/>
        <v>539.53843801904816</v>
      </c>
    </row>
    <row r="336" spans="1:7" ht="13.5" hidden="1" thickBot="1" x14ac:dyDescent="0.35">
      <c r="A336" s="492" t="s">
        <v>313</v>
      </c>
      <c r="B336" s="429"/>
      <c r="C336" s="493"/>
      <c r="D336" s="441"/>
      <c r="E336" s="443"/>
      <c r="F336" s="443"/>
      <c r="G336" s="407"/>
    </row>
    <row r="337" spans="1:7" ht="14" hidden="1" thickBot="1" x14ac:dyDescent="0.4">
      <c r="A337" s="496" t="s">
        <v>306</v>
      </c>
      <c r="B337" s="429" t="s">
        <v>307</v>
      </c>
      <c r="C337" s="497">
        <f>C321*Constants_CC!E$537</f>
        <v>4.5670369560462474</v>
      </c>
      <c r="D337" s="448">
        <f>D321*Constants_CC!F$537</f>
        <v>10.500117588850353</v>
      </c>
      <c r="E337" s="450">
        <f>E321*Constants_CC!G$537</f>
        <v>12.64785152424642</v>
      </c>
      <c r="F337" s="450">
        <f>F321*Constants_CC!H$537</f>
        <v>19.647469379518128</v>
      </c>
      <c r="G337" s="408">
        <f>G321*Constants_CC!I$537</f>
        <v>20.510626159351119</v>
      </c>
    </row>
    <row r="338" spans="1:7" ht="14" hidden="1" thickBot="1" x14ac:dyDescent="0.4">
      <c r="A338" s="496"/>
      <c r="B338" s="429" t="s">
        <v>308</v>
      </c>
      <c r="C338" s="497">
        <f>C322*Constants_CC!E$537</f>
        <v>0.80207884721570899</v>
      </c>
      <c r="D338" s="448">
        <f>D322*Constants_CC!F$537</f>
        <v>1.8440670159554535</v>
      </c>
      <c r="E338" s="450">
        <f>E322*Constants_CC!G$537</f>
        <v>2.2212594879252578</v>
      </c>
      <c r="F338" s="450">
        <f>F322*Constants_CC!H$537</f>
        <v>3.4505566174074693</v>
      </c>
      <c r="G338" s="408">
        <f>G322*Constants_CC!I$537</f>
        <v>3.6021472004480359</v>
      </c>
    </row>
    <row r="339" spans="1:7" ht="14" hidden="1" thickBot="1" x14ac:dyDescent="0.4">
      <c r="A339" s="496"/>
      <c r="B339" s="429" t="s">
        <v>316</v>
      </c>
      <c r="C339" s="495">
        <f>C337*C$25*1000/(('FF ESP Cost &amp; Tech. Results'!D$35-(C$164*Constants_CC!E$491))*8760/2000*C$27)</f>
        <v>62.488831911348178</v>
      </c>
      <c r="D339" s="444">
        <f>D337*D$25*1000/(('FF ESP Cost &amp; Tech. Results'!E$35-(D$164*Constants_CC!F$491))*8760/2000*D$27)</f>
        <v>11.518784015970347</v>
      </c>
      <c r="E339" s="446">
        <f>E337*E$25*1000/(('FF ESP Cost &amp; Tech. Results'!F$35-(E$164*Constants_CC!G$491))*8760/2000*E$27)</f>
        <v>13.874879851684307</v>
      </c>
      <c r="F339" s="446">
        <f>F337*F$25*1000/(('FF ESP Cost &amp; Tech. Results'!G$35-(F$164*Constants_CC!H$491))*8760/2000*F$27)</f>
        <v>21.553563979452463</v>
      </c>
      <c r="G339" s="447">
        <f>G337*G$25*1000/(('FF ESP Cost &amp; Tech. Results'!H$35-(G$164*Constants_CC!I$491))*8760/2000*G$27)</f>
        <v>78.580911986291099</v>
      </c>
    </row>
    <row r="340" spans="1:7" ht="14" hidden="1" thickBot="1" x14ac:dyDescent="0.4">
      <c r="A340" s="496" t="s">
        <v>310</v>
      </c>
      <c r="B340" s="429" t="s">
        <v>307</v>
      </c>
      <c r="C340" s="497">
        <f>C325*Constants_CC!E$537</f>
        <v>2.8347250725924851</v>
      </c>
      <c r="D340" s="448">
        <f>D325*Constants_CC!F$537</f>
        <v>9.6612401951213744</v>
      </c>
      <c r="E340" s="450">
        <f>E325*Constants_CC!G$537</f>
        <v>9.7403720312197137</v>
      </c>
      <c r="F340" s="450">
        <f>F325*Constants_CC!H$537</f>
        <v>10.106389935480768</v>
      </c>
      <c r="G340" s="408">
        <f>G325*Constants_CC!I$537</f>
        <v>11.536006114793564</v>
      </c>
    </row>
    <row r="341" spans="1:7" ht="14" hidden="1" thickBot="1" x14ac:dyDescent="0.4">
      <c r="A341" s="496"/>
      <c r="B341" s="429" t="s">
        <v>308</v>
      </c>
      <c r="C341" s="497">
        <f>C326*Constants_CC!E$537</f>
        <v>0.49784423473700112</v>
      </c>
      <c r="D341" s="448">
        <f>D326*Constants_CC!F$537</f>
        <v>1.696740462789142</v>
      </c>
      <c r="E341" s="450">
        <f>E326*Constants_CC!G$537</f>
        <v>1.7106378699016003</v>
      </c>
      <c r="F341" s="450">
        <f>F326*Constants_CC!H$537</f>
        <v>1.7749192018757936</v>
      </c>
      <c r="G341" s="408">
        <f>G326*Constants_CC!I$537</f>
        <v>2.0259933464688382</v>
      </c>
    </row>
    <row r="342" spans="1:7" ht="14" hidden="1" thickBot="1" x14ac:dyDescent="0.4">
      <c r="A342" s="496"/>
      <c r="B342" s="429" t="s">
        <v>316</v>
      </c>
      <c r="C342" s="495">
        <f>C340*C$25*1000/(('FF ESP Cost &amp; Tech. Results'!D$35-(C$164*Constants_CC!E$491))*8760/2000*C$27)</f>
        <v>38.7863422785761</v>
      </c>
      <c r="D342" s="444">
        <f>D340*D$25*1000/(('FF ESP Cost &amp; Tech. Results'!E$35-(D$164*Constants_CC!F$491))*8760/2000*D$27)</f>
        <v>10.598523130082286</v>
      </c>
      <c r="E342" s="446">
        <f>E340*E$25*1000/(('FF ESP Cost &amp; Tech. Results'!F$35-(E$164*Constants_CC!G$491))*8760/2000*E$27)</f>
        <v>10.685331922563979</v>
      </c>
      <c r="F342" s="446">
        <f>F340*F$25*1000/(('FF ESP Cost &amp; Tech. Results'!G$35-(F$164*Constants_CC!H$491))*8760/2000*F$27)</f>
        <v>11.086858967331375</v>
      </c>
      <c r="G342" s="447">
        <f>G340*G$25*1000/(('FF ESP Cost &amp; Tech. Results'!H$35-(G$164*Constants_CC!I$491))*8760/2000*G$27)</f>
        <v>44.197084678793033</v>
      </c>
    </row>
    <row r="343" spans="1:7" ht="14" hidden="1" thickBot="1" x14ac:dyDescent="0.4">
      <c r="A343" s="496" t="s">
        <v>311</v>
      </c>
      <c r="B343" s="429" t="s">
        <v>307</v>
      </c>
      <c r="C343" s="497">
        <f t="shared" ref="C343:G344" si="5">C329/C$51*C$52</f>
        <v>19.790184114453496</v>
      </c>
      <c r="D343" s="448">
        <f t="shared" si="5"/>
        <v>45.499798295184988</v>
      </c>
      <c r="E343" s="450">
        <f t="shared" si="5"/>
        <v>54.806499865461831</v>
      </c>
      <c r="F343" s="450">
        <f t="shared" si="5"/>
        <v>85.137703098501845</v>
      </c>
      <c r="G343" s="408">
        <f t="shared" si="5"/>
        <v>88.877990675969116</v>
      </c>
    </row>
    <row r="344" spans="1:7" ht="14" hidden="1" thickBot="1" x14ac:dyDescent="0.4">
      <c r="A344" s="496"/>
      <c r="B344" s="429" t="s">
        <v>308</v>
      </c>
      <c r="C344" s="497">
        <f t="shared" si="5"/>
        <v>3.4756206734200021</v>
      </c>
      <c r="D344" s="448">
        <f t="shared" si="5"/>
        <v>7.9908321558104998</v>
      </c>
      <c r="E344" s="450">
        <f t="shared" si="5"/>
        <v>9.6253073174327071</v>
      </c>
      <c r="F344" s="450">
        <f t="shared" si="5"/>
        <v>14.95217827511448</v>
      </c>
      <c r="G344" s="408">
        <f t="shared" si="5"/>
        <v>15.60906053318741</v>
      </c>
    </row>
    <row r="345" spans="1:7" ht="14" hidden="1" thickBot="1" x14ac:dyDescent="0.4">
      <c r="A345" s="496"/>
      <c r="B345" s="429" t="s">
        <v>316</v>
      </c>
      <c r="C345" s="495">
        <f>C$331/C$51*C$52</f>
        <v>270.78070541678238</v>
      </c>
      <c r="D345" s="444">
        <f>D$331/D$51*D$52</f>
        <v>49.913950476990337</v>
      </c>
      <c r="E345" s="446">
        <f>E$331/E$51*E$52</f>
        <v>60.123539501302226</v>
      </c>
      <c r="F345" s="446">
        <f>F$331/F$51*F$52</f>
        <v>93.397317249932428</v>
      </c>
      <c r="G345" s="447">
        <f>G$331/G$51*G$52</f>
        <v>340.51196236359471</v>
      </c>
    </row>
    <row r="346" spans="1:7" ht="14" hidden="1" thickBot="1" x14ac:dyDescent="0.4">
      <c r="A346" s="496" t="s">
        <v>312</v>
      </c>
      <c r="B346" s="429" t="s">
        <v>307</v>
      </c>
      <c r="C346" s="497">
        <f t="shared" ref="C346:G348" si="6">C337+C340+C343</f>
        <v>27.191946143092228</v>
      </c>
      <c r="D346" s="448">
        <f t="shared" si="6"/>
        <v>65.661156079156711</v>
      </c>
      <c r="E346" s="450">
        <f t="shared" si="6"/>
        <v>77.194723420927971</v>
      </c>
      <c r="F346" s="450">
        <f t="shared" si="6"/>
        <v>114.89156241350074</v>
      </c>
      <c r="G346" s="408">
        <f t="shared" si="6"/>
        <v>120.9246229501138</v>
      </c>
    </row>
    <row r="347" spans="1:7" ht="14" hidden="1" thickBot="1" x14ac:dyDescent="0.4">
      <c r="A347" s="496"/>
      <c r="B347" s="429" t="s">
        <v>308</v>
      </c>
      <c r="C347" s="497">
        <f t="shared" si="6"/>
        <v>4.7755437553727127</v>
      </c>
      <c r="D347" s="448">
        <f t="shared" si="6"/>
        <v>11.531639634555095</v>
      </c>
      <c r="E347" s="450">
        <f t="shared" si="6"/>
        <v>13.557204675259566</v>
      </c>
      <c r="F347" s="450">
        <f t="shared" si="6"/>
        <v>20.177654094397745</v>
      </c>
      <c r="G347" s="408">
        <f t="shared" si="6"/>
        <v>21.237201080104285</v>
      </c>
    </row>
    <row r="348" spans="1:7" ht="14" hidden="1" thickBot="1" x14ac:dyDescent="0.4">
      <c r="A348" s="496"/>
      <c r="B348" s="429" t="s">
        <v>316</v>
      </c>
      <c r="C348" s="495">
        <f t="shared" si="6"/>
        <v>372.05587960670664</v>
      </c>
      <c r="D348" s="444">
        <f t="shared" si="6"/>
        <v>72.031257623042961</v>
      </c>
      <c r="E348" s="446">
        <f t="shared" si="6"/>
        <v>84.68375127555052</v>
      </c>
      <c r="F348" s="446">
        <f t="shared" si="6"/>
        <v>126.03774019671627</v>
      </c>
      <c r="G348" s="447">
        <f t="shared" si="6"/>
        <v>463.28995902867882</v>
      </c>
    </row>
    <row r="349" spans="1:7" ht="13.5" hidden="1" thickBot="1" x14ac:dyDescent="0.35">
      <c r="A349" s="492" t="s">
        <v>314</v>
      </c>
      <c r="B349" s="429"/>
      <c r="C349" s="493"/>
      <c r="D349" s="441"/>
      <c r="E349" s="443"/>
      <c r="F349" s="443"/>
      <c r="G349" s="407"/>
    </row>
    <row r="350" spans="1:7" ht="14" hidden="1" thickBot="1" x14ac:dyDescent="0.4">
      <c r="A350" s="496" t="s">
        <v>306</v>
      </c>
      <c r="B350" s="429" t="s">
        <v>307</v>
      </c>
      <c r="C350" s="497">
        <f>C321*Constants_CC!E$547</f>
        <v>3.3561029512249281</v>
      </c>
      <c r="D350" s="448">
        <f>D321*Constants_CC!F$547</f>
        <v>7.7160478374269141</v>
      </c>
      <c r="E350" s="450">
        <f>E321*Constants_CC!G$547</f>
        <v>9.2943175708228871</v>
      </c>
      <c r="F350" s="450">
        <f>F321*Constants_CC!H$547</f>
        <v>14.438011035011751</v>
      </c>
      <c r="G350" s="408">
        <f>G321*Constants_CC!I$547</f>
        <v>15.072304789156265</v>
      </c>
    </row>
    <row r="351" spans="1:7" ht="14" hidden="1" thickBot="1" x14ac:dyDescent="0.4">
      <c r="A351" s="496"/>
      <c r="B351" s="429" t="s">
        <v>308</v>
      </c>
      <c r="C351" s="497">
        <f>C322*Constants_CC!E$547</f>
        <v>0.58941042346767258</v>
      </c>
      <c r="D351" s="448">
        <f>D322*Constants_CC!F$547</f>
        <v>1.3551190441564653</v>
      </c>
      <c r="E351" s="450">
        <f>E322*Constants_CC!G$547</f>
        <v>1.6323002407486631</v>
      </c>
      <c r="F351" s="450">
        <f>F322*Constants_CC!H$547</f>
        <v>2.5356535010558048</v>
      </c>
      <c r="G351" s="408">
        <f>G322*Constants_CC!I$547</f>
        <v>2.6470503669048582</v>
      </c>
    </row>
    <row r="352" spans="1:7" ht="14" hidden="1" thickBot="1" x14ac:dyDescent="0.4">
      <c r="A352" s="496"/>
      <c r="B352" s="429" t="s">
        <v>316</v>
      </c>
      <c r="C352" s="495">
        <f>C350*C$25*1000/(('FF ESP Cost &amp; Tech. Results'!D$35-(C$164*Constants_CC!E$491))*8760/2000*C$27)</f>
        <v>45.920134917811346</v>
      </c>
      <c r="D352" s="444">
        <f>D350*D$25*1000/(('FF ESP Cost &amp; Tech. Results'!E$35-(D$164*Constants_CC!F$491))*8760/2000*D$27)</f>
        <v>8.4646183953780874</v>
      </c>
      <c r="E352" s="446">
        <f>E350*E$25*1000/(('FF ESP Cost &amp; Tech. Results'!F$35-(E$164*Constants_CC!G$491))*8760/2000*E$27)</f>
        <v>10.196003594076775</v>
      </c>
      <c r="F352" s="446">
        <f>F350*F$25*1000/(('FF ESP Cost &amp; Tech. Results'!G$35-(F$164*Constants_CC!H$491))*8760/2000*F$27)</f>
        <v>15.838711264442685</v>
      </c>
      <c r="G352" s="447">
        <f>G350*G$25*1000/(('FF ESP Cost &amp; Tech. Results'!H$35-(G$164*Constants_CC!I$491))*8760/2000*G$27)</f>
        <v>57.74545578791399</v>
      </c>
    </row>
    <row r="353" spans="1:7" ht="14" hidden="1" thickBot="1" x14ac:dyDescent="0.4">
      <c r="A353" s="496" t="s">
        <v>310</v>
      </c>
      <c r="B353" s="429" t="s">
        <v>307</v>
      </c>
      <c r="C353" s="497">
        <f>C325*Constants_CC!E$547</f>
        <v>2.0831075538909212</v>
      </c>
      <c r="D353" s="448">
        <f>D325*Constants_CC!F$547</f>
        <v>7.0995958743915644</v>
      </c>
      <c r="E353" s="450">
        <f>E325*Constants_CC!G$547</f>
        <v>7.157746178674496</v>
      </c>
      <c r="F353" s="450">
        <f>F325*Constants_CC!H$547</f>
        <v>7.4267157054188404</v>
      </c>
      <c r="G353" s="408">
        <f>G325*Constants_CC!I$547</f>
        <v>8.4772741144456472</v>
      </c>
    </row>
    <row r="354" spans="1:7" ht="14" hidden="1" thickBot="1" x14ac:dyDescent="0.4">
      <c r="A354" s="496"/>
      <c r="B354" s="429" t="s">
        <v>308</v>
      </c>
      <c r="C354" s="497">
        <f>C326*Constants_CC!E$547</f>
        <v>0.36584256302966645</v>
      </c>
      <c r="D354" s="448">
        <f>D326*Constants_CC!F$547</f>
        <v>1.2468556154533832</v>
      </c>
      <c r="E354" s="450">
        <f>E326*Constants_CC!G$547</f>
        <v>1.2570681732831919</v>
      </c>
      <c r="F354" s="450">
        <f>F326*Constants_CC!H$547</f>
        <v>1.3043055330907691</v>
      </c>
      <c r="G354" s="408">
        <f>G326*Constants_CC!I$547</f>
        <v>1.4888082392774231</v>
      </c>
    </row>
    <row r="355" spans="1:7" ht="14" hidden="1" thickBot="1" x14ac:dyDescent="0.4">
      <c r="A355" s="496"/>
      <c r="B355" s="429" t="s">
        <v>316</v>
      </c>
      <c r="C355" s="495">
        <f>C353*C$25*1000/(('FF ESP Cost &amp; Tech. Results'!D$35-(C$164*Constants_CC!E$491))*8760/2000*C$27)</f>
        <v>28.502278181922222</v>
      </c>
      <c r="D355" s="444">
        <f>D353*D$25*1000/(('FF ESP Cost &amp; Tech. Results'!E$35-(D$164*Constants_CC!F$491))*8760/2000*D$27)</f>
        <v>7.7883614907920702</v>
      </c>
      <c r="E355" s="446">
        <f>E353*E$25*1000/(('FF ESP Cost &amp; Tech. Results'!F$35-(E$164*Constants_CC!G$491))*8760/2000*E$27)</f>
        <v>7.8521532331063897</v>
      </c>
      <c r="F355" s="446">
        <f>F353*F$25*1000/(('FF ESP Cost &amp; Tech. Results'!G$35-(F$164*Constants_CC!H$491))*8760/2000*F$27)</f>
        <v>8.1472167749409827</v>
      </c>
      <c r="G355" s="447">
        <f>G353*G$25*1000/(('FF ESP Cost &amp; Tech. Results'!H$35-(G$164*Constants_CC!I$491))*8760/2000*G$27)</f>
        <v>32.478381005799186</v>
      </c>
    </row>
    <row r="356" spans="1:7" ht="14" hidden="1" thickBot="1" x14ac:dyDescent="0.4">
      <c r="A356" s="496" t="s">
        <v>311</v>
      </c>
      <c r="B356" s="429" t="s">
        <v>307</v>
      </c>
      <c r="C356" s="497">
        <f>C329/C$51*C$54</f>
        <v>13.700896694621651</v>
      </c>
      <c r="D356" s="448">
        <f>D329/D$51*D$54</f>
        <v>31.499860358204991</v>
      </c>
      <c r="E356" s="450">
        <f>E329/E$51*E$54</f>
        <v>37.942961445319725</v>
      </c>
      <c r="F356" s="450">
        <f>F329/F$51*F$54</f>
        <v>58.941486760501277</v>
      </c>
      <c r="G356" s="408">
        <f>G329/G$51*G$54</f>
        <v>61.530916621824765</v>
      </c>
    </row>
    <row r="357" spans="1:7" ht="14" hidden="1" thickBot="1" x14ac:dyDescent="0.4">
      <c r="A357" s="496"/>
      <c r="B357" s="429" t="s">
        <v>308</v>
      </c>
      <c r="C357" s="497">
        <f>C330/C$53*C$54</f>
        <v>3.4177220438774838</v>
      </c>
      <c r="D357" s="448">
        <f>D330/D$53*D$54</f>
        <v>7.8577168724701982</v>
      </c>
      <c r="E357" s="450">
        <f>E330/E$53*E$54</f>
        <v>9.4649641284112906</v>
      </c>
      <c r="F357" s="450">
        <f>F330/F$53*F$54</f>
        <v>14.703097402329623</v>
      </c>
      <c r="G357" s="408">
        <f>G330/G$53*G$54</f>
        <v>15.34903698682368</v>
      </c>
    </row>
    <row r="358" spans="1:7" ht="14" hidden="1" thickBot="1" x14ac:dyDescent="0.4">
      <c r="A358" s="496"/>
      <c r="B358" s="429" t="s">
        <v>316</v>
      </c>
      <c r="C358" s="495">
        <f>C$331/C$53*C$54</f>
        <v>266.26990483659102</v>
      </c>
      <c r="D358" s="444">
        <f>D$331/D$53*D$54</f>
        <v>49.082458896285942</v>
      </c>
      <c r="E358" s="446">
        <f>E$331/E$53*E$54</f>
        <v>59.121971474332952</v>
      </c>
      <c r="F358" s="446">
        <f>F$331/F$53*F$54</f>
        <v>91.841457971883585</v>
      </c>
      <c r="G358" s="447">
        <f>G$331/G$53*G$54</f>
        <v>334.83954358830698</v>
      </c>
    </row>
    <row r="359" spans="1:7" ht="14" hidden="1" thickBot="1" x14ac:dyDescent="0.4">
      <c r="A359" s="496" t="s">
        <v>312</v>
      </c>
      <c r="B359" s="429" t="s">
        <v>307</v>
      </c>
      <c r="C359" s="497">
        <f t="shared" ref="C359:G361" si="7">C350+C353+C356</f>
        <v>19.1401071997375</v>
      </c>
      <c r="D359" s="448">
        <f t="shared" si="7"/>
        <v>46.315504070023465</v>
      </c>
      <c r="E359" s="450">
        <f t="shared" si="7"/>
        <v>54.395025194817109</v>
      </c>
      <c r="F359" s="450">
        <f t="shared" si="7"/>
        <v>80.806213500931875</v>
      </c>
      <c r="G359" s="408">
        <f t="shared" si="7"/>
        <v>85.08049552542667</v>
      </c>
    </row>
    <row r="360" spans="1:7" ht="14" hidden="1" thickBot="1" x14ac:dyDescent="0.4">
      <c r="A360" s="496"/>
      <c r="B360" s="429" t="s">
        <v>308</v>
      </c>
      <c r="C360" s="497">
        <f t="shared" si="7"/>
        <v>4.3729750303748229</v>
      </c>
      <c r="D360" s="448">
        <f t="shared" si="7"/>
        <v>10.459691532080047</v>
      </c>
      <c r="E360" s="450">
        <f t="shared" si="7"/>
        <v>12.354332542443146</v>
      </c>
      <c r="F360" s="450">
        <f t="shared" si="7"/>
        <v>18.543056436476199</v>
      </c>
      <c r="G360" s="408">
        <f t="shared" si="7"/>
        <v>19.484895593005962</v>
      </c>
    </row>
    <row r="361" spans="1:7" ht="14" hidden="1" thickBot="1" x14ac:dyDescent="0.4">
      <c r="A361" s="496"/>
      <c r="B361" s="429" t="s">
        <v>316</v>
      </c>
      <c r="C361" s="495">
        <f t="shared" si="7"/>
        <v>340.69231793632457</v>
      </c>
      <c r="D361" s="444">
        <f t="shared" si="7"/>
        <v>65.335438782456094</v>
      </c>
      <c r="E361" s="446">
        <f t="shared" si="7"/>
        <v>77.170128301516115</v>
      </c>
      <c r="F361" s="446">
        <f t="shared" si="7"/>
        <v>115.82738601126725</v>
      </c>
      <c r="G361" s="447">
        <f t="shared" si="7"/>
        <v>425.06338038202017</v>
      </c>
    </row>
    <row r="362" spans="1:7" ht="13.5" thickBot="1" x14ac:dyDescent="0.35">
      <c r="A362" s="485"/>
      <c r="B362" s="429"/>
      <c r="C362" s="488"/>
      <c r="D362" s="451" t="s">
        <v>1167</v>
      </c>
      <c r="E362" s="452" t="s">
        <v>1169</v>
      </c>
      <c r="F362" s="452" t="s">
        <v>1168</v>
      </c>
      <c r="G362" s="453" t="s">
        <v>1168</v>
      </c>
    </row>
    <row r="363" spans="1:7" ht="16" x14ac:dyDescent="0.4">
      <c r="A363" s="487" t="s">
        <v>317</v>
      </c>
      <c r="B363" s="429"/>
      <c r="C363" s="491" t="str">
        <f>C267</f>
        <v>LSFO</v>
      </c>
      <c r="D363" s="437" t="str">
        <f>D267</f>
        <v>LSD</v>
      </c>
      <c r="E363" s="438" t="str">
        <f>E267</f>
        <v>LSD</v>
      </c>
      <c r="F363" s="438" t="str">
        <f>F267</f>
        <v>LSD</v>
      </c>
      <c r="G363" s="454" t="str">
        <f>G267</f>
        <v>LSFO</v>
      </c>
    </row>
    <row r="364" spans="1:7" x14ac:dyDescent="0.3">
      <c r="A364" s="492" t="s">
        <v>302</v>
      </c>
      <c r="B364" s="429" t="s">
        <v>303</v>
      </c>
      <c r="C364" s="493">
        <f>IF(C$10=1,'LSFO Cost &amp; Tech. Results'!D272,'LSD Cost &amp; Tech. Results'!D291)</f>
        <v>88476054.260755017</v>
      </c>
      <c r="D364" s="441">
        <f>IF(D$10=1,'LSFO Cost &amp; Tech. Results'!E272,'LSD Cost &amp; Tech. Results'!E291)</f>
        <v>86902657.405428678</v>
      </c>
      <c r="E364" s="442">
        <f>IF(E$10=1,'LSFO Cost &amp; Tech. Results'!F272,'LSD Cost &amp; Tech. Results'!F291)</f>
        <v>71352927.156834915</v>
      </c>
      <c r="F364" s="442">
        <f>IF(F$10=1,'LSFO Cost &amp; Tech. Results'!G272,'LSD Cost &amp; Tech. Results'!G291)</f>
        <v>48861936.765707597</v>
      </c>
      <c r="G364" s="455">
        <f>IF(G$10=1,'LSFO Cost &amp; Tech. Results'!H272,'LSD Cost &amp; Tech. Results'!H291)</f>
        <v>76889228.431112424</v>
      </c>
    </row>
    <row r="365" spans="1:7" x14ac:dyDescent="0.3">
      <c r="A365" s="494"/>
      <c r="B365" s="429" t="s">
        <v>304</v>
      </c>
      <c r="C365" s="493">
        <f>IF(C$10=1,'LSFO Cost &amp; Tech. Results'!D273,'LSD Cost &amp; Tech. Results'!D292)</f>
        <v>589.84036173836682</v>
      </c>
      <c r="D365" s="441">
        <f>IF(D$10=1,'LSFO Cost &amp; Tech. Results'!E273,'LSD Cost &amp; Tech. Results'!E292)</f>
        <v>579.3510493695245</v>
      </c>
      <c r="E365" s="442">
        <f>IF(E$10=1,'LSFO Cost &amp; Tech. Results'!F273,'LSD Cost &amp; Tech. Results'!F292)</f>
        <v>903.2016095801888</v>
      </c>
      <c r="F365" s="442">
        <f>IF(F$10=1,'LSFO Cost &amp; Tech. Results'!G273,'LSD Cost &amp; Tech. Results'!G292)</f>
        <v>2220.9971257139819</v>
      </c>
      <c r="G365" s="455">
        <f>IF(G$10=1,'LSFO Cost &amp; Tech. Results'!H273,'LSD Cost &amp; Tech. Results'!H292)</f>
        <v>3494.9649286869285</v>
      </c>
    </row>
    <row r="366" spans="1:7" x14ac:dyDescent="0.3">
      <c r="A366" s="492" t="s">
        <v>305</v>
      </c>
      <c r="B366" s="429"/>
      <c r="C366" s="493"/>
      <c r="D366" s="441"/>
      <c r="E366" s="442"/>
      <c r="F366" s="442"/>
      <c r="G366" s="455"/>
    </row>
    <row r="367" spans="1:7" ht="13.5" x14ac:dyDescent="0.35">
      <c r="A367" s="496" t="s">
        <v>306</v>
      </c>
      <c r="B367" s="429" t="s">
        <v>303</v>
      </c>
      <c r="C367" s="493">
        <f>IF(C$10=1,'LSFO Cost &amp; Tech. Results'!D328,'LSD Cost &amp; Tech. Results'!D339)</f>
        <v>5133155.9871337358</v>
      </c>
      <c r="D367" s="441">
        <f>IF(D$10=1,'LSFO Cost &amp; Tech. Results'!E328,'LSD Cost &amp; Tech. Results'!E339)</f>
        <v>4701167.3033478921</v>
      </c>
      <c r="E367" s="442">
        <f>IF(E$10=1,'LSFO Cost &amp; Tech. Results'!F328,'LSD Cost &amp; Tech. Results'!F339)</f>
        <v>3546131.7183379428</v>
      </c>
      <c r="F367" s="442">
        <f>IF(F$10=1,'LSFO Cost &amp; Tech. Results'!G328,'LSD Cost &amp; Tech. Results'!G339)</f>
        <v>2086959.660916792</v>
      </c>
      <c r="G367" s="455">
        <f>IF(G$10=1,'LSFO Cost &amp; Tech. Results'!H328,'LSD Cost &amp; Tech. Results'!H339)</f>
        <v>3165254.2993131774</v>
      </c>
    </row>
    <row r="368" spans="1:7" ht="13.5" x14ac:dyDescent="0.35">
      <c r="A368" s="496"/>
      <c r="B368" s="429" t="s">
        <v>307</v>
      </c>
      <c r="C368" s="497">
        <f>C367/(C$25*1000)</f>
        <v>34.221039914224903</v>
      </c>
      <c r="D368" s="448">
        <f>D367/(D$25*1000)</f>
        <v>31.341115355652615</v>
      </c>
      <c r="E368" s="449">
        <f>E367/(E$25*1000)</f>
        <v>44.887743270100543</v>
      </c>
      <c r="F368" s="449">
        <f>F367/(F$25*1000)</f>
        <v>94.861802768945097</v>
      </c>
      <c r="G368" s="456">
        <f>G367/(G$25*1000)</f>
        <v>143.87519542332623</v>
      </c>
    </row>
    <row r="369" spans="1:7" ht="13.5" x14ac:dyDescent="0.35">
      <c r="A369" s="496"/>
      <c r="B369" s="429" t="s">
        <v>308</v>
      </c>
      <c r="C369" s="497">
        <f>C367/(C$25*1000*8760*C$27)*1000</f>
        <v>6.0100175472822102</v>
      </c>
      <c r="D369" s="448">
        <f>D367/(D$25*1000*8760*D$27)*1000</f>
        <v>5.5042352222782949</v>
      </c>
      <c r="E369" s="449">
        <f>E367/(E$25*1000*8760*E$27)*1000</f>
        <v>7.883340932578248</v>
      </c>
      <c r="F369" s="449">
        <f>F367/(F$25*1000*8760*F$27)*1000</f>
        <v>16.659958336660534</v>
      </c>
      <c r="G369" s="456">
        <f>G367/(G$25*1000*8760*G$27)*1000</f>
        <v>25.267860102445773</v>
      </c>
    </row>
    <row r="370" spans="1:7" ht="13.5" x14ac:dyDescent="0.35">
      <c r="A370" s="496"/>
      <c r="B370" s="429" t="s">
        <v>318</v>
      </c>
      <c r="C370" s="495">
        <f>C367/(IF(C$10=1,C$70*'LSFO Cost &amp; Tech. Results'!D$30*8760/2000*C$27,C$120*'LSD Cost &amp; Tech. Results'!D$30*8760/2000*C$27))</f>
        <v>18603.985597530445</v>
      </c>
      <c r="D370" s="444">
        <f>D367/(IF(D$10=1,D$70*'LSFO Cost &amp; Tech. Results'!E$30*8760/2000*D$27,D$120*'LSD Cost &amp; Tech. Results'!E$30*8760/2000*D$27))</f>
        <v>1303.7728439122063</v>
      </c>
      <c r="E370" s="445">
        <f>E367/(IF(E$10=1,E$70*'LSFO Cost &amp; Tech. Results'!F$30*8760/2000*E$27,E$120*'LSD Cost &amp; Tech. Results'!F$30*8760/2000*E$27))</f>
        <v>1867.3049773739097</v>
      </c>
      <c r="F370" s="445">
        <f>F367/(IF(F$10=1,F$70*'LSFO Cost &amp; Tech. Results'!G$30*8760/2000*F$27,F$120*'LSD Cost &amp; Tech. Results'!G$30*8760/2000*F$27))</f>
        <v>3946.1978609003145</v>
      </c>
      <c r="G370" s="457">
        <f>G367/(IF(G$10=1,G$70*'LSFO Cost &amp; Tech. Results'!H$30*8760/2000*G$27,G$120*'LSD Cost &amp; Tech. Results'!H$30*8760/2000*G$27))</f>
        <v>5670.1208290630193</v>
      </c>
    </row>
    <row r="371" spans="1:7" ht="13.5" x14ac:dyDescent="0.35">
      <c r="A371" s="496" t="s">
        <v>310</v>
      </c>
      <c r="B371" s="429" t="s">
        <v>303</v>
      </c>
      <c r="C371" s="493">
        <f>IF(C$10=1,'LSFO Cost &amp; Tech. Results'!D337,'LSD Cost &amp; Tech. Results'!D348)</f>
        <v>621703.45258888754</v>
      </c>
      <c r="D371" s="441">
        <f>IF(D$10=1,'LSFO Cost &amp; Tech. Results'!E337,'LSD Cost &amp; Tech. Results'!E348)</f>
        <v>1807847.6941283231</v>
      </c>
      <c r="E371" s="442">
        <f>IF(E$10=1,'LSFO Cost &amp; Tech. Results'!F337,'LSD Cost &amp; Tech. Results'!F348)</f>
        <v>952133.11890758446</v>
      </c>
      <c r="F371" s="442">
        <f>IF(F$10=1,'LSFO Cost &amp; Tech. Results'!G337,'LSD Cost &amp; Tech. Results'!G348)</f>
        <v>265150.99513882067</v>
      </c>
      <c r="G371" s="455">
        <f>IF(G$10=1,'LSFO Cost &amp; Tech. Results'!H337,'LSD Cost &amp; Tech. Results'!H348)</f>
        <v>173779.1150849479</v>
      </c>
    </row>
    <row r="372" spans="1:7" ht="13.5" x14ac:dyDescent="0.35">
      <c r="A372" s="496"/>
      <c r="B372" s="429" t="s">
        <v>307</v>
      </c>
      <c r="C372" s="497">
        <f>C371/(C$25*1000)</f>
        <v>4.1446896839259173</v>
      </c>
      <c r="D372" s="448">
        <f>D371/(D$25*1000)</f>
        <v>12.052317960855488</v>
      </c>
      <c r="E372" s="449">
        <f>E371/(E$25*1000)</f>
        <v>12.052317960855499</v>
      </c>
      <c r="F372" s="449">
        <f>F371/(F$25*1000)</f>
        <v>12.052317960855484</v>
      </c>
      <c r="G372" s="456">
        <f>G371/(G$25*1000)</f>
        <v>7.89905068567945</v>
      </c>
    </row>
    <row r="373" spans="1:7" ht="13.5" x14ac:dyDescent="0.35">
      <c r="A373" s="496"/>
      <c r="B373" s="429" t="s">
        <v>308</v>
      </c>
      <c r="C373" s="497">
        <f>C371/(C$25*1000*8760*C$27)*1000</f>
        <v>0.72790475657286913</v>
      </c>
      <c r="D373" s="448">
        <f>D371/(D$25*1000*8760*D$27)*1000</f>
        <v>2.1166698210143111</v>
      </c>
      <c r="E373" s="449">
        <f>E371/(E$25*1000*8760*E$27)*1000</f>
        <v>2.1166698210143133</v>
      </c>
      <c r="F373" s="449">
        <f>F371/(F$25*1000*8760*F$27)*1000</f>
        <v>2.1166698210143107</v>
      </c>
      <c r="G373" s="456">
        <f>G371/(G$25*1000*8760*G$27)*1000</f>
        <v>1.3872586381593695</v>
      </c>
    </row>
    <row r="374" spans="1:7" ht="13.5" x14ac:dyDescent="0.35">
      <c r="A374" s="496"/>
      <c r="B374" s="429" t="s">
        <v>318</v>
      </c>
      <c r="C374" s="495">
        <f>C371/(IF(C$10=1,C$70*'LSFO Cost &amp; Tech. Results'!D$30*8760/2000*C$27,C$120*'LSD Cost &amp; Tech. Results'!D$30*8760/2000*C$27))</f>
        <v>2253.2263011077825</v>
      </c>
      <c r="D374" s="444">
        <f>D371/(IF(D$10=1,D$70*'LSFO Cost &amp; Tech. Results'!E$30*8760/2000*D$27,D$120*'LSD Cost &amp; Tech. Results'!E$30*8760/2000*D$27))</f>
        <v>501.36967638979297</v>
      </c>
      <c r="E374" s="445">
        <f>E371/(IF(E$10=1,E$70*'LSFO Cost &amp; Tech. Results'!F$30*8760/2000*E$27,E$120*'LSD Cost &amp; Tech. Results'!F$30*8760/2000*E$27))</f>
        <v>501.3696763897936</v>
      </c>
      <c r="F374" s="445">
        <f>F371/(IF(F$10=1,F$70*'LSFO Cost &amp; Tech. Results'!G$30*8760/2000*F$27,F$120*'LSD Cost &amp; Tech. Results'!G$30*8760/2000*F$27))</f>
        <v>501.36967638979286</v>
      </c>
      <c r="G374" s="457">
        <f>G371/(IF(G$10=1,G$70*'LSFO Cost &amp; Tech. Results'!H$30*8760/2000*G$27,G$120*'LSD Cost &amp; Tech. Results'!H$30*8760/2000*G$27))</f>
        <v>311.30155334221064</v>
      </c>
    </row>
    <row r="375" spans="1:7" ht="13.5" x14ac:dyDescent="0.35">
      <c r="A375" s="496" t="s">
        <v>311</v>
      </c>
      <c r="B375" s="429" t="s">
        <v>303</v>
      </c>
      <c r="C375" s="493">
        <f>C364*C$51</f>
        <v>19730160.100148369</v>
      </c>
      <c r="D375" s="441">
        <f>D364*D$51</f>
        <v>19379292.601410594</v>
      </c>
      <c r="E375" s="442">
        <f>E364*E$51</f>
        <v>15911702.755974187</v>
      </c>
      <c r="F375" s="442">
        <f>F364*F$51</f>
        <v>10896211.898752794</v>
      </c>
      <c r="G375" s="455">
        <f>G364*G$51</f>
        <v>17146297.940138072</v>
      </c>
    </row>
    <row r="376" spans="1:7" ht="13.5" x14ac:dyDescent="0.35">
      <c r="A376" s="496"/>
      <c r="B376" s="429" t="s">
        <v>307</v>
      </c>
      <c r="C376" s="497">
        <f>C375/(C$25*1000)</f>
        <v>131.5344006676558</v>
      </c>
      <c r="D376" s="448">
        <f>D375/(D$25*1000)</f>
        <v>129.19528400940396</v>
      </c>
      <c r="E376" s="449">
        <f>E375/(E$25*1000)</f>
        <v>201.4139589363821</v>
      </c>
      <c r="F376" s="449">
        <f>F375/(F$25*1000)</f>
        <v>495.2823590342179</v>
      </c>
      <c r="G376" s="456">
        <f>G375/(G$25*1000)</f>
        <v>779.37717909718504</v>
      </c>
    </row>
    <row r="377" spans="1:7" ht="13.5" x14ac:dyDescent="0.35">
      <c r="A377" s="496"/>
      <c r="B377" s="429" t="s">
        <v>308</v>
      </c>
      <c r="C377" s="497">
        <f>C375/(C$25*1000*8760*C$27)*1000</f>
        <v>23.100526987645907</v>
      </c>
      <c r="D377" s="448">
        <f>D375/(D$25*1000*8760*D$27)*1000</f>
        <v>22.689723219073404</v>
      </c>
      <c r="E377" s="449">
        <f>E375/(E$25*1000*8760*E$27)*1000</f>
        <v>35.373017024303145</v>
      </c>
      <c r="F377" s="449">
        <f>F375/(F$25*1000*8760*F$27)*1000</f>
        <v>86.983203202356506</v>
      </c>
      <c r="G377" s="456">
        <f>G375/(G$25*1000*8760*G$27)*1000</f>
        <v>136.87691940589832</v>
      </c>
    </row>
    <row r="378" spans="1:7" ht="13.5" x14ac:dyDescent="0.35">
      <c r="A378" s="496"/>
      <c r="B378" s="429" t="s">
        <v>318</v>
      </c>
      <c r="C378" s="495">
        <f>C375/(IF(C$10=1,C$70*'LSFO Cost &amp; Tech. Results'!D$30*8760/2000*C$27,C$120*'LSD Cost &amp; Tech. Results'!D$30*8760/2000*C$27))</f>
        <v>71507.590118080494</v>
      </c>
      <c r="D378" s="444">
        <f>D375/(IF(D$10=1,D$70*'LSFO Cost &amp; Tech. Results'!E$30*8760/2000*D$27,D$120*'LSD Cost &amp; Tech. Results'!E$30*8760/2000*D$27))</f>
        <v>5374.4514495271815</v>
      </c>
      <c r="E378" s="445">
        <f>E375/(IF(E$10=1,E$70*'LSFO Cost &amp; Tech. Results'!F$30*8760/2000*E$27,E$120*'LSD Cost &amp; Tech. Results'!F$30*8760/2000*E$27))</f>
        <v>8378.7078751408153</v>
      </c>
      <c r="F378" s="445">
        <f>F375/(IF(F$10=1,F$70*'LSFO Cost &amp; Tech. Results'!G$30*8760/2000*F$27,F$120*'LSD Cost &amp; Tech. Results'!G$30*8760/2000*F$27))</f>
        <v>20603.468716729167</v>
      </c>
      <c r="G378" s="457">
        <f>G375/(IF(G$10=1,G$70*'LSFO Cost &amp; Tech. Results'!H$30*8760/2000*G$27,G$120*'LSD Cost &amp; Tech. Results'!H$30*8760/2000*G$27))</f>
        <v>30715.251255734223</v>
      </c>
    </row>
    <row r="379" spans="1:7" ht="13.5" x14ac:dyDescent="0.35">
      <c r="A379" s="496" t="s">
        <v>312</v>
      </c>
      <c r="B379" s="429" t="s">
        <v>303</v>
      </c>
      <c r="C379" s="493">
        <f t="shared" ref="C379:G381" si="8">C367+C371+C375</f>
        <v>25485019.539870992</v>
      </c>
      <c r="D379" s="441">
        <f t="shared" si="8"/>
        <v>25888307.59888681</v>
      </c>
      <c r="E379" s="442">
        <f t="shared" si="8"/>
        <v>20409967.593219712</v>
      </c>
      <c r="F379" s="442">
        <f t="shared" si="8"/>
        <v>13248322.554808406</v>
      </c>
      <c r="G379" s="455">
        <f t="shared" si="8"/>
        <v>20485331.354536198</v>
      </c>
    </row>
    <row r="380" spans="1:7" ht="13.5" x14ac:dyDescent="0.35">
      <c r="A380" s="496"/>
      <c r="B380" s="429" t="s">
        <v>307</v>
      </c>
      <c r="C380" s="497">
        <f t="shared" si="8"/>
        <v>169.90013026580664</v>
      </c>
      <c r="D380" s="448">
        <f t="shared" si="8"/>
        <v>172.58871732591206</v>
      </c>
      <c r="E380" s="449">
        <f t="shared" si="8"/>
        <v>258.35402016733815</v>
      </c>
      <c r="F380" s="449">
        <f t="shared" si="8"/>
        <v>602.19647976401848</v>
      </c>
      <c r="G380" s="456">
        <f t="shared" si="8"/>
        <v>931.15142520619065</v>
      </c>
    </row>
    <row r="381" spans="1:7" ht="13.5" x14ac:dyDescent="0.35">
      <c r="A381" s="496"/>
      <c r="B381" s="429" t="s">
        <v>308</v>
      </c>
      <c r="C381" s="497">
        <f t="shared" si="8"/>
        <v>29.838449291500986</v>
      </c>
      <c r="D381" s="448">
        <f t="shared" si="8"/>
        <v>30.310628262366009</v>
      </c>
      <c r="E381" s="449">
        <f t="shared" si="8"/>
        <v>45.373027777895707</v>
      </c>
      <c r="F381" s="449">
        <f t="shared" si="8"/>
        <v>105.75983136003134</v>
      </c>
      <c r="G381" s="456">
        <f t="shared" si="8"/>
        <v>163.53203814650345</v>
      </c>
    </row>
    <row r="382" spans="1:7" ht="13.5" x14ac:dyDescent="0.35">
      <c r="A382" s="496"/>
      <c r="B382" s="429" t="s">
        <v>318</v>
      </c>
      <c r="C382" s="493">
        <f>C378+C374+C370</f>
        <v>92364.802016718721</v>
      </c>
      <c r="D382" s="441">
        <f>D378+D374+D370</f>
        <v>7179.5939698291813</v>
      </c>
      <c r="E382" s="442">
        <f>E378+E374+E370</f>
        <v>10747.382528904518</v>
      </c>
      <c r="F382" s="442">
        <f>F378+F374+F370</f>
        <v>25051.036254019273</v>
      </c>
      <c r="G382" s="455">
        <f>G378+G374+G370</f>
        <v>36696.673638139451</v>
      </c>
    </row>
    <row r="383" spans="1:7" x14ac:dyDescent="0.3">
      <c r="A383" s="492" t="s">
        <v>313</v>
      </c>
      <c r="B383" s="429"/>
      <c r="C383" s="486"/>
      <c r="D383" s="427"/>
      <c r="E383" s="458"/>
      <c r="F383" s="458"/>
      <c r="G383" s="459"/>
    </row>
    <row r="384" spans="1:7" ht="13.5" x14ac:dyDescent="0.35">
      <c r="A384" s="496" t="s">
        <v>306</v>
      </c>
      <c r="B384" s="429" t="s">
        <v>307</v>
      </c>
      <c r="C384" s="497">
        <f>C368*Constants_CC!E$537</f>
        <v>46.568521953581843</v>
      </c>
      <c r="D384" s="448">
        <f>D368*Constants_CC!F$537</f>
        <v>42.649475940757874</v>
      </c>
      <c r="E384" s="449">
        <f>E368*Constants_CC!G$537</f>
        <v>61.083937342637846</v>
      </c>
      <c r="F384" s="449">
        <f>F368*Constants_CC!H$537</f>
        <v>129.08941270851579</v>
      </c>
      <c r="G384" s="456">
        <f>G368*Constants_CC!I$537</f>
        <v>195.7875977305408</v>
      </c>
    </row>
    <row r="385" spans="1:7" ht="13.5" x14ac:dyDescent="0.35">
      <c r="A385" s="496"/>
      <c r="B385" s="429" t="s">
        <v>308</v>
      </c>
      <c r="C385" s="497">
        <f>C369*Constants_CC!E$537</f>
        <v>8.1785251060031339</v>
      </c>
      <c r="D385" s="448">
        <f>D369*Constants_CC!F$537</f>
        <v>7.4902486724197166</v>
      </c>
      <c r="E385" s="449">
        <f>E369*Constants_CC!G$537</f>
        <v>10.727772627790278</v>
      </c>
      <c r="F385" s="449">
        <f>F369*Constants_CC!H$537</f>
        <v>22.671129734547904</v>
      </c>
      <c r="G385" s="456">
        <f>G369*Constants_CC!I$537</f>
        <v>34.384895983586368</v>
      </c>
    </row>
    <row r="386" spans="1:7" ht="13.5" x14ac:dyDescent="0.35">
      <c r="A386" s="496"/>
      <c r="B386" s="429" t="s">
        <v>318</v>
      </c>
      <c r="C386" s="495">
        <f>C384*C$25*1000/(IF(C$10=1,C$70*'LSFO Cost &amp; Tech. Results'!D$30*8760/2000*C$27,C$120*'LSD Cost &amp; Tech. Results'!D$30*8760/2000*C$27))</f>
        <v>25316.592186977661</v>
      </c>
      <c r="D386" s="444">
        <f>D384*D$25*1000/(IF(D$10=1,D$70*'LSFO Cost &amp; Tech. Results'!E$30*8760/2000*D$27,D$120*'LSD Cost &amp; Tech. Results'!E$30*8760/2000*D$27))</f>
        <v>1774.1943101785073</v>
      </c>
      <c r="E386" s="445">
        <f>E384*E$25*1000/(IF(E$10=1,E$70*'LSFO Cost &amp; Tech. Results'!F$30*8760/2000*E$27,E$120*'LSD Cost &amp; Tech. Results'!F$30*8760/2000*E$27))</f>
        <v>2541.0575789288991</v>
      </c>
      <c r="F386" s="445">
        <f>F384*F$25*1000/(IF(F$10=1,F$70*'LSFO Cost &amp; Tech. Results'!G$30*8760/2000*F$27,F$120*'LSD Cost &amp; Tech. Results'!G$30*8760/2000*F$27))</f>
        <v>5370.0472627111967</v>
      </c>
      <c r="G386" s="457">
        <f>G384*G$25*1000/(IF(G$10=1,G$70*'LSFO Cost &amp; Tech. Results'!H$30*8760/2000*G$27,G$120*'LSD Cost &amp; Tech. Results'!H$30*8760/2000*G$27))</f>
        <v>7715.9883793573345</v>
      </c>
    </row>
    <row r="387" spans="1:7" ht="13.5" x14ac:dyDescent="0.35">
      <c r="A387" s="496" t="s">
        <v>310</v>
      </c>
      <c r="B387" s="429" t="s">
        <v>307</v>
      </c>
      <c r="C387" s="497">
        <f>C372*Constants_CC!E$537</f>
        <v>5.6401580144984891</v>
      </c>
      <c r="D387" s="448">
        <f>D372*Constants_CC!F$537</f>
        <v>16.400981237228422</v>
      </c>
      <c r="E387" s="449">
        <f>E372*Constants_CC!G$537</f>
        <v>16.400981237228436</v>
      </c>
      <c r="F387" s="449">
        <f>F372*Constants_CC!H$537</f>
        <v>16.400981237228418</v>
      </c>
      <c r="G387" s="456">
        <f>G372*Constants_CC!I$537</f>
        <v>10.749150703500788</v>
      </c>
    </row>
    <row r="388" spans="1:7" ht="13.5" x14ac:dyDescent="0.35">
      <c r="A388" s="496"/>
      <c r="B388" s="429" t="s">
        <v>308</v>
      </c>
      <c r="C388" s="497">
        <f>C373*Constants_CC!E$537</f>
        <v>0.99054408403556171</v>
      </c>
      <c r="D388" s="448">
        <f>D373*Constants_CC!F$537</f>
        <v>2.8803971263133863</v>
      </c>
      <c r="E388" s="449">
        <f>E373*Constants_CC!G$537</f>
        <v>2.880397126313389</v>
      </c>
      <c r="F388" s="449">
        <f>F373*Constants_CC!H$537</f>
        <v>2.8803971263133854</v>
      </c>
      <c r="G388" s="456">
        <f>G373*Constants_CC!I$537</f>
        <v>1.8878030740254281</v>
      </c>
    </row>
    <row r="389" spans="1:7" ht="13.5" x14ac:dyDescent="0.35">
      <c r="A389" s="496"/>
      <c r="B389" s="429" t="s">
        <v>318</v>
      </c>
      <c r="C389" s="495">
        <f>C387*C$25*1000/(IF(C$10=1,C$70*'LSFO Cost &amp; Tech. Results'!D$30*8760/2000*C$27,C$120*'LSD Cost &amp; Tech. Results'!D$30*8760/2000*C$27))</f>
        <v>3066.2253026948206</v>
      </c>
      <c r="D389" s="444">
        <f>D387*D$25*1000/(IF(D$10=1,D$70*'LSFO Cost &amp; Tech. Results'!E$30*8760/2000*D$27,D$120*'LSD Cost &amp; Tech. Results'!E$30*8760/2000*D$27))</f>
        <v>682.27163290011686</v>
      </c>
      <c r="E389" s="445">
        <f>E387*E$25*1000/(IF(E$10=1,E$70*'LSFO Cost &amp; Tech. Results'!F$30*8760/2000*E$27,E$120*'LSD Cost &amp; Tech. Results'!F$30*8760/2000*E$27))</f>
        <v>682.27163290011754</v>
      </c>
      <c r="F389" s="445">
        <f>F387*F$25*1000/(IF(F$10=1,F$70*'LSFO Cost &amp; Tech. Results'!G$30*8760/2000*F$27,F$120*'LSD Cost &amp; Tech. Results'!G$30*8760/2000*F$27))</f>
        <v>682.27163290011674</v>
      </c>
      <c r="G389" s="457">
        <f>G387*G$25*1000/(IF(G$10=1,G$70*'LSFO Cost &amp; Tech. Results'!H$30*8760/2000*G$27,G$120*'LSD Cost &amp; Tech. Results'!H$30*8760/2000*G$27))</f>
        <v>423.62398271172509</v>
      </c>
    </row>
    <row r="390" spans="1:7" ht="13.5" x14ac:dyDescent="0.35">
      <c r="A390" s="496" t="s">
        <v>311</v>
      </c>
      <c r="B390" s="429" t="s">
        <v>307</v>
      </c>
      <c r="C390" s="497">
        <f t="shared" ref="C390:G391" si="9">C376/C$51*C$52</f>
        <v>99.683021133783996</v>
      </c>
      <c r="D390" s="448">
        <f t="shared" si="9"/>
        <v>97.910327343449651</v>
      </c>
      <c r="E390" s="449">
        <f t="shared" si="9"/>
        <v>152.6410720190519</v>
      </c>
      <c r="F390" s="449">
        <f t="shared" si="9"/>
        <v>375.3485142456629</v>
      </c>
      <c r="G390" s="456">
        <f t="shared" si="9"/>
        <v>590.64907294809097</v>
      </c>
    </row>
    <row r="391" spans="1:7" ht="13.5" x14ac:dyDescent="0.35">
      <c r="A391" s="496"/>
      <c r="B391" s="429" t="s">
        <v>308</v>
      </c>
      <c r="C391" s="497">
        <f t="shared" si="9"/>
        <v>17.506677403193535</v>
      </c>
      <c r="D391" s="448">
        <f t="shared" si="9"/>
        <v>17.195350780374014</v>
      </c>
      <c r="E391" s="449">
        <f t="shared" si="9"/>
        <v>26.807353709001038</v>
      </c>
      <c r="F391" s="449">
        <f t="shared" si="9"/>
        <v>65.920006014341936</v>
      </c>
      <c r="G391" s="456">
        <f t="shared" si="9"/>
        <v>103.73183578294537</v>
      </c>
    </row>
    <row r="392" spans="1:7" ht="13.5" x14ac:dyDescent="0.35">
      <c r="A392" s="496"/>
      <c r="B392" s="429" t="s">
        <v>318</v>
      </c>
      <c r="C392" s="495">
        <f>C$378/C$51*C$52</f>
        <v>54191.850806975803</v>
      </c>
      <c r="D392" s="444">
        <f>D$378/D$51*D$52</f>
        <v>4073.0147756506444</v>
      </c>
      <c r="E392" s="445">
        <f>E$378/E$51*E$52</f>
        <v>6349.7830982008882</v>
      </c>
      <c r="F392" s="445">
        <f>F$378/F$51*F$52</f>
        <v>15614.287951243181</v>
      </c>
      <c r="G392" s="457">
        <f>G$378/G$51*G$52</f>
        <v>23277.477409054187</v>
      </c>
    </row>
    <row r="393" spans="1:7" ht="13.5" x14ac:dyDescent="0.35">
      <c r="A393" s="496" t="s">
        <v>312</v>
      </c>
      <c r="B393" s="429" t="s">
        <v>307</v>
      </c>
      <c r="C393" s="497">
        <f t="shared" ref="C393:G395" si="10">C384+C387+C390</f>
        <v>151.89170110186433</v>
      </c>
      <c r="D393" s="448">
        <f t="shared" si="10"/>
        <v>156.96078452143595</v>
      </c>
      <c r="E393" s="449">
        <f t="shared" si="10"/>
        <v>230.12599059891818</v>
      </c>
      <c r="F393" s="449">
        <f t="shared" si="10"/>
        <v>520.83890819140709</v>
      </c>
      <c r="G393" s="456">
        <f t="shared" si="10"/>
        <v>797.18582138213253</v>
      </c>
    </row>
    <row r="394" spans="1:7" ht="13.5" x14ac:dyDescent="0.35">
      <c r="A394" s="496"/>
      <c r="B394" s="429" t="s">
        <v>308</v>
      </c>
      <c r="C394" s="497">
        <f t="shared" si="10"/>
        <v>26.675746593232233</v>
      </c>
      <c r="D394" s="448">
        <f t="shared" si="10"/>
        <v>27.565996579107114</v>
      </c>
      <c r="E394" s="449">
        <f t="shared" si="10"/>
        <v>40.415523463104705</v>
      </c>
      <c r="F394" s="449">
        <f t="shared" si="10"/>
        <v>91.471532875203224</v>
      </c>
      <c r="G394" s="456">
        <f t="shared" si="10"/>
        <v>140.00453484055717</v>
      </c>
    </row>
    <row r="395" spans="1:7" ht="13.5" x14ac:dyDescent="0.35">
      <c r="A395" s="496"/>
      <c r="B395" s="429" t="s">
        <v>318</v>
      </c>
      <c r="C395" s="495">
        <f t="shared" si="10"/>
        <v>82574.668296648277</v>
      </c>
      <c r="D395" s="444">
        <f t="shared" si="10"/>
        <v>6529.4807187292681</v>
      </c>
      <c r="E395" s="445">
        <f t="shared" si="10"/>
        <v>9573.1123100299046</v>
      </c>
      <c r="F395" s="445">
        <f t="shared" si="10"/>
        <v>21666.606846854495</v>
      </c>
      <c r="G395" s="457">
        <f t="shared" si="10"/>
        <v>31417.089771123246</v>
      </c>
    </row>
    <row r="396" spans="1:7" x14ac:dyDescent="0.3">
      <c r="A396" s="492" t="s">
        <v>314</v>
      </c>
      <c r="B396" s="429"/>
      <c r="C396" s="493"/>
      <c r="D396" s="441"/>
      <c r="E396" s="442"/>
      <c r="F396" s="442"/>
      <c r="G396" s="455"/>
    </row>
    <row r="397" spans="1:7" ht="13.5" x14ac:dyDescent="0.35">
      <c r="A397" s="496" t="s">
        <v>306</v>
      </c>
      <c r="B397" s="429" t="s">
        <v>307</v>
      </c>
      <c r="C397" s="497">
        <f>C368*Constants_CC!E$547</f>
        <v>34.22103991422491</v>
      </c>
      <c r="D397" s="448">
        <f>D368*Constants_CC!F$547</f>
        <v>31.341115355652622</v>
      </c>
      <c r="E397" s="449">
        <f>E368*Constants_CC!G$547</f>
        <v>44.88774327010055</v>
      </c>
      <c r="F397" s="449">
        <f>F368*Constants_CC!H$547</f>
        <v>94.861802768945111</v>
      </c>
      <c r="G397" s="456">
        <f>G368*Constants_CC!I$547</f>
        <v>143.87519542332626</v>
      </c>
    </row>
    <row r="398" spans="1:7" ht="13.5" x14ac:dyDescent="0.35">
      <c r="A398" s="496"/>
      <c r="B398" s="429" t="s">
        <v>308</v>
      </c>
      <c r="C398" s="497">
        <f>C369*Constants_CC!E$547</f>
        <v>6.0100175472822119</v>
      </c>
      <c r="D398" s="448">
        <f>D369*Constants_CC!F$547</f>
        <v>5.5042352222782958</v>
      </c>
      <c r="E398" s="449">
        <f>E369*Constants_CC!G$547</f>
        <v>7.8833409325782497</v>
      </c>
      <c r="F398" s="449">
        <f>F369*Constants_CC!H$547</f>
        <v>16.659958336660537</v>
      </c>
      <c r="G398" s="456">
        <f>G369*Constants_CC!I$547</f>
        <v>25.267860102445781</v>
      </c>
    </row>
    <row r="399" spans="1:7" ht="13.5" x14ac:dyDescent="0.35">
      <c r="A399" s="496"/>
      <c r="B399" s="429" t="s">
        <v>318</v>
      </c>
      <c r="C399" s="495">
        <f>C397*C$25*1000/(IF(C$10=1,C$70*'LSFO Cost &amp; Tech. Results'!D$30*8760/2000*C$27,C$120*'LSD Cost &amp; Tech. Results'!D$30*8760/2000*C$27))</f>
        <v>18603.985597530449</v>
      </c>
      <c r="D399" s="444">
        <f>D397*D$25*1000/(IF(D$10=1,D$70*'LSFO Cost &amp; Tech. Results'!E$30*8760/2000*D$27,D$120*'LSD Cost &amp; Tech. Results'!E$30*8760/2000*D$27))</f>
        <v>1303.7728439122068</v>
      </c>
      <c r="E399" s="445">
        <f>E397*E$25*1000/(IF(E$10=1,E$70*'LSFO Cost &amp; Tech. Results'!F$30*8760/2000*E$27,E$120*'LSD Cost &amp; Tech. Results'!F$30*8760/2000*E$27))</f>
        <v>1867.3049773739099</v>
      </c>
      <c r="F399" s="445">
        <f>F397*F$25*1000/(IF(F$10=1,F$70*'LSFO Cost &amp; Tech. Results'!G$30*8760/2000*F$27,F$120*'LSD Cost &amp; Tech. Results'!G$30*8760/2000*F$27))</f>
        <v>3946.1978609003154</v>
      </c>
      <c r="G399" s="457">
        <f>G397*G$25*1000/(IF(G$10=1,G$70*'LSFO Cost &amp; Tech. Results'!H$30*8760/2000*G$27,G$120*'LSD Cost &amp; Tech. Results'!H$30*8760/2000*G$27))</f>
        <v>5670.1208290630202</v>
      </c>
    </row>
    <row r="400" spans="1:7" ht="13.5" x14ac:dyDescent="0.35">
      <c r="A400" s="496" t="s">
        <v>310</v>
      </c>
      <c r="B400" s="429" t="s">
        <v>307</v>
      </c>
      <c r="C400" s="497">
        <f>C372*Constants_CC!E$547</f>
        <v>4.1446896839259182</v>
      </c>
      <c r="D400" s="448">
        <f>D372*Constants_CC!F$547</f>
        <v>12.052317960855492</v>
      </c>
      <c r="E400" s="449">
        <f>E372*Constants_CC!G$547</f>
        <v>12.052317960855502</v>
      </c>
      <c r="F400" s="449">
        <f>F372*Constants_CC!H$547</f>
        <v>12.052317960855488</v>
      </c>
      <c r="G400" s="456">
        <f>G372*Constants_CC!I$547</f>
        <v>7.8990506856794518</v>
      </c>
    </row>
    <row r="401" spans="1:7" ht="13.5" x14ac:dyDescent="0.35">
      <c r="A401" s="496"/>
      <c r="B401" s="429" t="s">
        <v>308</v>
      </c>
      <c r="C401" s="497">
        <f>C373*Constants_CC!E$547</f>
        <v>0.72790475657286924</v>
      </c>
      <c r="D401" s="448">
        <f>D373*Constants_CC!F$547</f>
        <v>2.1166698210143116</v>
      </c>
      <c r="E401" s="449">
        <f>E373*Constants_CC!G$547</f>
        <v>2.1166698210143138</v>
      </c>
      <c r="F401" s="449">
        <f>F373*Constants_CC!H$547</f>
        <v>2.1166698210143111</v>
      </c>
      <c r="G401" s="456">
        <f>G373*Constants_CC!I$547</f>
        <v>1.3872586381593697</v>
      </c>
    </row>
    <row r="402" spans="1:7" ht="13.5" x14ac:dyDescent="0.35">
      <c r="A402" s="496"/>
      <c r="B402" s="429" t="s">
        <v>318</v>
      </c>
      <c r="C402" s="495">
        <f>C400*C$25*1000/(IF(C$10=1,C$70*'LSFO Cost &amp; Tech. Results'!D$30*8760/2000*C$27,C$120*'LSD Cost &amp; Tech. Results'!D$30*8760/2000*C$27))</f>
        <v>2253.226301107783</v>
      </c>
      <c r="D402" s="444">
        <f>D400*D$25*1000/(IF(D$10=1,D$70*'LSFO Cost &amp; Tech. Results'!E$30*8760/2000*D$27,D$120*'LSD Cost &amp; Tech. Results'!E$30*8760/2000*D$27))</f>
        <v>501.36967638979314</v>
      </c>
      <c r="E402" s="445">
        <f>E400*E$25*1000/(IF(E$10=1,E$70*'LSFO Cost &amp; Tech. Results'!F$30*8760/2000*E$27,E$120*'LSD Cost &amp; Tech. Results'!F$30*8760/2000*E$27))</f>
        <v>501.36967638979371</v>
      </c>
      <c r="F402" s="445">
        <f>F400*F$25*1000/(IF(F$10=1,F$70*'LSFO Cost &amp; Tech. Results'!G$30*8760/2000*F$27,F$120*'LSD Cost &amp; Tech. Results'!G$30*8760/2000*F$27))</f>
        <v>501.36967638979297</v>
      </c>
      <c r="G402" s="457">
        <f>G400*G$25*1000/(IF(G$10=1,G$70*'LSFO Cost &amp; Tech. Results'!H$30*8760/2000*G$27,G$120*'LSD Cost &amp; Tech. Results'!H$30*8760/2000*G$27))</f>
        <v>311.3015533422107</v>
      </c>
    </row>
    <row r="403" spans="1:7" ht="13.5" x14ac:dyDescent="0.35">
      <c r="A403" s="496" t="s">
        <v>311</v>
      </c>
      <c r="B403" s="429" t="s">
        <v>307</v>
      </c>
      <c r="C403" s="497">
        <f>C376/C$51*C$54</f>
        <v>69.011322323388924</v>
      </c>
      <c r="D403" s="448">
        <f>D376/D$51*D$54</f>
        <v>67.784072776234368</v>
      </c>
      <c r="E403" s="449">
        <f>E376/E$51*E$54</f>
        <v>105.67458832088209</v>
      </c>
      <c r="F403" s="449">
        <f>F376/F$51*F$54</f>
        <v>259.85666370853585</v>
      </c>
      <c r="G403" s="456">
        <f>G376/G$51*G$54</f>
        <v>408.91089665637065</v>
      </c>
    </row>
    <row r="404" spans="1:7" ht="13.5" x14ac:dyDescent="0.35">
      <c r="A404" s="496"/>
      <c r="B404" s="429" t="s">
        <v>308</v>
      </c>
      <c r="C404" s="497">
        <f>C377/C$53*C$54</f>
        <v>17.215042404806187</v>
      </c>
      <c r="D404" s="448">
        <f>D377/D$53*D$54</f>
        <v>16.908902016761708</v>
      </c>
      <c r="E404" s="449">
        <f>E377/E$53*E$54</f>
        <v>26.360783387538014</v>
      </c>
      <c r="F404" s="449">
        <f>F377/F$53*F$54</f>
        <v>64.821877545705163</v>
      </c>
      <c r="G404" s="456">
        <f>G377/G$53*G$54</f>
        <v>102.00381892031913</v>
      </c>
    </row>
    <row r="405" spans="1:7" ht="13.5" x14ac:dyDescent="0.35">
      <c r="A405" s="496"/>
      <c r="B405" s="429" t="s">
        <v>318</v>
      </c>
      <c r="C405" s="495">
        <f>C$378/C$53*C$54</f>
        <v>53289.095820480368</v>
      </c>
      <c r="D405" s="444">
        <f>D$378/D$53*D$54</f>
        <v>4005.1644560170716</v>
      </c>
      <c r="E405" s="445">
        <f>E$378/E$53*E$54</f>
        <v>6244.0052317928366</v>
      </c>
      <c r="F405" s="445">
        <f>F$378/F$53*F$54</f>
        <v>15354.177323931928</v>
      </c>
      <c r="G405" s="457">
        <f>G$378/G$53*G$54</f>
        <v>22889.70953452805</v>
      </c>
    </row>
    <row r="406" spans="1:7" ht="13.5" x14ac:dyDescent="0.35">
      <c r="A406" s="496" t="s">
        <v>312</v>
      </c>
      <c r="B406" s="429" t="s">
        <v>307</v>
      </c>
      <c r="C406" s="497">
        <f t="shared" ref="C406:G408" si="11">C397+C400+C403</f>
        <v>107.37705192153976</v>
      </c>
      <c r="D406" s="448">
        <f t="shared" si="11"/>
        <v>111.17750609274248</v>
      </c>
      <c r="E406" s="449">
        <f t="shared" si="11"/>
        <v>162.61464955183814</v>
      </c>
      <c r="F406" s="449">
        <f t="shared" si="11"/>
        <v>366.77078443833648</v>
      </c>
      <c r="G406" s="456">
        <f t="shared" si="11"/>
        <v>560.68514276537633</v>
      </c>
    </row>
    <row r="407" spans="1:7" ht="13.5" x14ac:dyDescent="0.35">
      <c r="A407" s="496"/>
      <c r="B407" s="429" t="s">
        <v>308</v>
      </c>
      <c r="C407" s="497">
        <f t="shared" si="11"/>
        <v>23.95296470866127</v>
      </c>
      <c r="D407" s="448">
        <f t="shared" si="11"/>
        <v>24.529807060054317</v>
      </c>
      <c r="E407" s="449">
        <f t="shared" si="11"/>
        <v>36.360794141130576</v>
      </c>
      <c r="F407" s="449">
        <f t="shared" si="11"/>
        <v>83.598505703380013</v>
      </c>
      <c r="G407" s="456">
        <f t="shared" si="11"/>
        <v>128.65893766092429</v>
      </c>
    </row>
    <row r="408" spans="1:7" ht="13.5" thickBot="1" x14ac:dyDescent="0.35">
      <c r="A408" s="498"/>
      <c r="B408" s="499" t="s">
        <v>318</v>
      </c>
      <c r="C408" s="500">
        <f t="shared" si="11"/>
        <v>74146.307719118602</v>
      </c>
      <c r="D408" s="444">
        <f t="shared" si="11"/>
        <v>5810.3069763190715</v>
      </c>
      <c r="E408" s="445">
        <f t="shared" si="11"/>
        <v>8612.6798855565394</v>
      </c>
      <c r="F408" s="445">
        <f t="shared" si="11"/>
        <v>19801.744861222036</v>
      </c>
      <c r="G408" s="457">
        <f t="shared" si="11"/>
        <v>28871.131916933282</v>
      </c>
    </row>
  </sheetData>
  <mergeCells count="3">
    <mergeCell ref="A1:C1"/>
    <mergeCell ref="A2:C2"/>
    <mergeCell ref="A4:C4"/>
  </mergeCells>
  <printOptions horizontalCentered="1" gridLines="1"/>
  <pageMargins left="0.7" right="0.7" top="0.75" bottom="0.75" header="0.3" footer="0.3"/>
  <pageSetup scale="79" fitToHeight="3" orientation="portrait" r:id="rId1"/>
  <headerFooter alignWithMargins="0">
    <oddHeader>&amp;L&amp;"Times New Roman,Regular"&amp;11CUECost - Air Pollution Control Systems Economics Spreadsheet</oddHeader>
    <oddFooter>&amp;L&amp;"Times New Roman,Regular"&amp;9&amp;A&amp;C&amp;"Times New Roman,Regular"&amp;11&amp;P&amp;R&amp;"Times New Roman,Regular"&amp;9&amp;D, &amp;T</oddFooter>
  </headerFooter>
  <rowBreaks count="2" manualBreakCount="2">
    <brk id="67" max="6" man="1"/>
    <brk id="259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182"/>
  <sheetViews>
    <sheetView topLeftCell="A100" zoomScale="75" workbookViewId="0">
      <selection activeCell="I107" sqref="I107"/>
    </sheetView>
  </sheetViews>
  <sheetFormatPr defaultColWidth="9.08984375" defaultRowHeight="13" x14ac:dyDescent="0.3"/>
  <cols>
    <col min="1" max="1" width="60.36328125" style="1" customWidth="1"/>
    <col min="2" max="2" width="11.54296875" style="90" customWidth="1"/>
    <col min="3" max="3" width="13.453125" style="1" customWidth="1"/>
    <col min="4" max="8" width="15.36328125" style="90" customWidth="1"/>
    <col min="9" max="9" width="55" style="302" customWidth="1"/>
    <col min="10" max="10" width="78.453125" style="302" customWidth="1"/>
    <col min="11" max="11" width="16.54296875" style="1" customWidth="1"/>
    <col min="12" max="19" width="9.08984375" style="1"/>
    <col min="20" max="20" width="35.36328125" style="1" customWidth="1"/>
    <col min="21" max="21" width="9.08984375" style="1"/>
    <col min="22" max="22" width="46.90625" style="1" customWidth="1"/>
    <col min="23" max="16384" width="9.08984375" style="1"/>
  </cols>
  <sheetData>
    <row r="1" spans="1:22" x14ac:dyDescent="0.3">
      <c r="A1"/>
    </row>
    <row r="2" spans="1:22" ht="13.5" x14ac:dyDescent="0.35">
      <c r="A2" s="306"/>
    </row>
    <row r="3" spans="1:22" ht="13.5" x14ac:dyDescent="0.35">
      <c r="A3" s="306"/>
    </row>
    <row r="4" spans="1:22" customFormat="1" ht="15.5" x14ac:dyDescent="0.35">
      <c r="A4" s="307"/>
      <c r="B4" s="308"/>
      <c r="C4" s="299"/>
      <c r="D4" s="308"/>
      <c r="E4" s="308"/>
      <c r="F4" s="308"/>
      <c r="G4" s="308"/>
      <c r="H4" s="308"/>
      <c r="I4" s="309"/>
      <c r="J4" s="302"/>
    </row>
    <row r="5" spans="1:22" x14ac:dyDescent="0.3">
      <c r="A5" s="111"/>
      <c r="B5" s="112"/>
      <c r="C5" s="112"/>
      <c r="D5" s="112"/>
      <c r="E5" s="112"/>
      <c r="F5" s="112"/>
      <c r="G5" s="112"/>
      <c r="H5" s="112"/>
      <c r="I5" s="310"/>
    </row>
    <row r="6" spans="1:22" ht="51" customHeight="1" thickBot="1" x14ac:dyDescent="0.45">
      <c r="A6" s="109" t="s">
        <v>319</v>
      </c>
      <c r="C6" s="90"/>
      <c r="D6" s="116" t="s">
        <v>320</v>
      </c>
      <c r="E6" s="116" t="s">
        <v>321</v>
      </c>
      <c r="F6" s="116" t="s">
        <v>322</v>
      </c>
      <c r="G6" s="116" t="s">
        <v>323</v>
      </c>
      <c r="H6" s="116" t="s">
        <v>324</v>
      </c>
      <c r="I6" s="311"/>
      <c r="J6" s="312" t="s">
        <v>325</v>
      </c>
    </row>
    <row r="8" spans="1:22" ht="13.5" x14ac:dyDescent="0.35">
      <c r="A8" s="1" t="s">
        <v>326</v>
      </c>
      <c r="B8" s="90" t="s">
        <v>327</v>
      </c>
      <c r="D8" s="313">
        <f>3.702*10^-4*'Input &amp; Calculation Summary'!C194* 'Input &amp; Calculation Summary'!C25* 'Input &amp; Calculation Summary'!C26 *'Input &amp; Calculation Summary'!C196</f>
        <v>212.89602276000002</v>
      </c>
      <c r="E8" s="313">
        <f>3.702*10^-4*'Input &amp; Calculation Summary'!D194* 'Input &amp; Calculation Summary'!D25* 'Input &amp; Calculation Summary'!D26 *'Input &amp; Calculation Summary'!D196</f>
        <v>212.89602276000002</v>
      </c>
      <c r="F8" s="313">
        <f>3.702*10^-4*'Input &amp; Calculation Summary'!E194* 'Input &amp; Calculation Summary'!E25* 'Input &amp; Calculation Summary'!E26 *'Input &amp; Calculation Summary'!E196</f>
        <v>90.323108915400013</v>
      </c>
      <c r="G8" s="313">
        <f>3.702*10^-4*'Input &amp; Calculation Summary'!F194* 'Input &amp; Calculation Summary'!F25* 'Input &amp; Calculation Summary'!F26 *'Input &amp; Calculation Summary'!F196</f>
        <v>38.163583339200009</v>
      </c>
      <c r="H8" s="313">
        <f>3.702*10^-4*'Input &amp; Calculation Summary'!G194* 'Input &amp; Calculation Summary'!G25* 'Input &amp; Calculation Summary'!G26 *'Input &amp; Calculation Summary'!G196</f>
        <v>38.163583339200009</v>
      </c>
      <c r="I8" s="302" t="s">
        <v>328</v>
      </c>
      <c r="J8" s="314" t="s">
        <v>329</v>
      </c>
      <c r="M8" s="90"/>
      <c r="O8" s="315"/>
      <c r="P8" s="315"/>
      <c r="Q8" s="315"/>
      <c r="R8" s="315"/>
      <c r="S8" s="315"/>
      <c r="T8" s="301"/>
      <c r="U8" s="301"/>
      <c r="V8" s="316"/>
    </row>
    <row r="9" spans="1:22" ht="26" x14ac:dyDescent="0.3">
      <c r="A9" s="1" t="s">
        <v>330</v>
      </c>
      <c r="B9" s="90" t="s">
        <v>223</v>
      </c>
      <c r="D9" s="313">
        <f>IF('Input &amp; Calculation Summary'!C197=0, 6131.06 / 3 * 'Input &amp; Calculation Summary'!C195 ^( -0.241) *'Input &amp; Calculation Summary'!C194 ^ (-2.306),'Input &amp; Calculation Summary'!C197)</f>
        <v>2839.6345859973985</v>
      </c>
      <c r="E9" s="313">
        <f>IF('Input &amp; Calculation Summary'!D197=0, 6131.06 / 3 * 'Input &amp; Calculation Summary'!D195 ^( -0.241) *'Input &amp; Calculation Summary'!D194 ^ (-2.306),'Input &amp; Calculation Summary'!D197)</f>
        <v>2839.6345859973985</v>
      </c>
      <c r="F9" s="313">
        <f>IF('Input &amp; Calculation Summary'!E197=0, 6131.06 / 3 * 'Input &amp; Calculation Summary'!E195 ^( -0.241) *'Input &amp; Calculation Summary'!E194 ^ (-2.306),'Input &amp; Calculation Summary'!E197)</f>
        <v>2839.6345859973985</v>
      </c>
      <c r="G9" s="313">
        <f>IF('Input &amp; Calculation Summary'!F197=0, 6131.06 / 3 * 'Input &amp; Calculation Summary'!F195 ^( -0.241) *'Input &amp; Calculation Summary'!F194 ^ (-2.306),'Input &amp; Calculation Summary'!F197)</f>
        <v>2839.6345859973985</v>
      </c>
      <c r="H9" s="313">
        <f>IF('Input &amp; Calculation Summary'!G197=0, 6131.06 / 3 * 'Input &amp; Calculation Summary'!G195 ^( -0.241) *'Input &amp; Calculation Summary'!G194 ^ (-2.306),'Input &amp; Calculation Summary'!G197)</f>
        <v>2839.6345859973985</v>
      </c>
      <c r="I9" s="302" t="s">
        <v>331</v>
      </c>
      <c r="J9" s="314" t="s">
        <v>332</v>
      </c>
      <c r="M9" s="90"/>
      <c r="O9" s="315"/>
      <c r="P9" s="315"/>
      <c r="Q9" s="315"/>
      <c r="R9" s="315"/>
      <c r="S9" s="315"/>
      <c r="T9" s="301"/>
      <c r="U9" s="301"/>
      <c r="V9" s="316"/>
    </row>
    <row r="10" spans="1:22" ht="16" x14ac:dyDescent="0.35">
      <c r="A10" s="1" t="s">
        <v>333</v>
      </c>
      <c r="B10" s="90" t="s">
        <v>334</v>
      </c>
      <c r="D10" s="313">
        <f>Constants_CC!E497*60 /D9</f>
        <v>3870.0217712023837</v>
      </c>
      <c r="E10" s="313">
        <f>Constants_CC!F497*60 /E9</f>
        <v>13821.116987516441</v>
      </c>
      <c r="F10" s="313">
        <f>Constants_CC!G497*60 /F9</f>
        <v>7279.1216134253264</v>
      </c>
      <c r="G10" s="313">
        <f>Constants_CC!H497*60 /G9</f>
        <v>2027.0971581690781</v>
      </c>
      <c r="H10" s="313">
        <f>Constants_CC!I497*60 /H9</f>
        <v>2027.0971581690781</v>
      </c>
      <c r="I10" s="302" t="s">
        <v>335</v>
      </c>
      <c r="J10" s="314" t="s">
        <v>336</v>
      </c>
      <c r="M10" s="90"/>
      <c r="O10" s="315"/>
      <c r="P10" s="315"/>
      <c r="Q10" s="315"/>
      <c r="R10" s="315"/>
      <c r="S10" s="315"/>
      <c r="T10" s="301"/>
      <c r="U10" s="301"/>
      <c r="V10" s="316"/>
    </row>
    <row r="12" spans="1:22" x14ac:dyDescent="0.3">
      <c r="C12" s="90"/>
      <c r="D12" s="236"/>
      <c r="E12" s="236"/>
      <c r="F12" s="236"/>
      <c r="G12" s="236"/>
      <c r="H12" s="236"/>
      <c r="I12" s="317"/>
    </row>
    <row r="13" spans="1:22" x14ac:dyDescent="0.3">
      <c r="A13" s="111"/>
      <c r="B13" s="111"/>
      <c r="C13" s="112"/>
      <c r="D13" s="112"/>
      <c r="E13" s="112"/>
      <c r="F13" s="112"/>
      <c r="G13" s="112"/>
      <c r="H13" s="112"/>
    </row>
    <row r="14" spans="1:22" ht="20.5" thickBot="1" x14ac:dyDescent="0.45">
      <c r="A14" s="109" t="s">
        <v>337</v>
      </c>
      <c r="B14" s="1"/>
      <c r="C14" s="90"/>
      <c r="D14" s="155" t="s">
        <v>320</v>
      </c>
      <c r="E14" s="155" t="s">
        <v>321</v>
      </c>
      <c r="F14" s="155" t="s">
        <v>322</v>
      </c>
      <c r="G14" s="155" t="s">
        <v>323</v>
      </c>
      <c r="H14" s="155" t="s">
        <v>324</v>
      </c>
      <c r="I14" s="311"/>
      <c r="J14" s="311"/>
    </row>
    <row r="15" spans="1:22" ht="13.5" x14ac:dyDescent="0.35">
      <c r="A15" s="232" t="s">
        <v>338</v>
      </c>
      <c r="C15" s="115"/>
      <c r="D15" s="231">
        <f>'Input &amp; Calculation Summary'!C46</f>
        <v>2015</v>
      </c>
      <c r="E15" s="231">
        <f>'Input &amp; Calculation Summary'!D46</f>
        <v>2015</v>
      </c>
      <c r="F15" s="231">
        <f>'Input &amp; Calculation Summary'!E46</f>
        <v>2015</v>
      </c>
      <c r="G15" s="231">
        <f>'Input &amp; Calculation Summary'!F46</f>
        <v>2015</v>
      </c>
      <c r="H15" s="231">
        <f>'Input &amp; Calculation Summary'!G46</f>
        <v>2015</v>
      </c>
      <c r="I15" s="318"/>
    </row>
    <row r="16" spans="1:22" x14ac:dyDescent="0.3">
      <c r="C16" s="115"/>
      <c r="D16" s="315"/>
      <c r="E16" s="315"/>
      <c r="F16" s="315"/>
      <c r="G16" s="315"/>
      <c r="H16" s="315"/>
      <c r="I16" s="319"/>
    </row>
    <row r="17" spans="1:10" ht="27" x14ac:dyDescent="0.35">
      <c r="A17" s="303" t="s">
        <v>339</v>
      </c>
      <c r="B17" s="90" t="s">
        <v>303</v>
      </c>
      <c r="C17" s="115"/>
      <c r="D17" s="108">
        <f>18.65*'Input &amp; Calculation Summary'!C206*(D10/'Input &amp; Calculation Summary'!C206)^0.489*1000*1*388/357.3*(IF('Input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1715007.2520604974</v>
      </c>
      <c r="E17" s="108">
        <f>18.65*'Input &amp; Calculation Summary'!D206*(E10/'Input &amp; Calculation Summary'!D206)^0.489*1000*1*388/357.3*(IF('Input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3195947.9757508272</v>
      </c>
      <c r="F17" s="108">
        <f>18.65*'Input &amp; Calculation Summary'!E206*(F10/'Input &amp; Calculation Summary'!E206)^0.489*1000*1*388/357.3*(IF('Input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2335773.4795409963</v>
      </c>
      <c r="G17" s="108">
        <f>18.65*'Input &amp; Calculation Summary'!F206*(G10/'Input &amp; Calculation Summary'!F206)^0.489*1000*1*388/357.3*(IF('Input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1250074.1264618137</v>
      </c>
      <c r="H17" s="108">
        <f>18.65*'Input &amp; Calculation Summary'!G206*(H10/'Input &amp; Calculation Summary'!G206)^0.489*1000*1*388/357.3*(IF('Input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1250074.1264618137</v>
      </c>
      <c r="I17" s="302" t="s">
        <v>340</v>
      </c>
      <c r="J17" s="301" t="s">
        <v>341</v>
      </c>
    </row>
    <row r="18" spans="1:10" ht="13.5" x14ac:dyDescent="0.35">
      <c r="A18" s="303" t="s">
        <v>342</v>
      </c>
      <c r="B18" s="90" t="s">
        <v>303</v>
      </c>
      <c r="C18" s="115"/>
      <c r="D18" s="108">
        <f>50.8*(D8)^0.482*1000*388/357.3*(IF('Input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1089521.3339476553</v>
      </c>
      <c r="E18" s="108">
        <f>50.8*(E8)^0.482*1000*388/357.3*(IF('Input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1089521.3339476553</v>
      </c>
      <c r="F18" s="108">
        <f>50.8*(F8)^0.482*1000*388/357.3*(IF('Input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720699.19896131428</v>
      </c>
      <c r="G18" s="108">
        <f>50.8*(G8)^0.482*1000*388/357.3*(IF('Input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475788.42093531054</v>
      </c>
      <c r="H18" s="108">
        <f>50.8*(H8)^0.482*1000*388/357.3*(IF('Input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475788.42093531054</v>
      </c>
      <c r="I18" s="302" t="s">
        <v>343</v>
      </c>
      <c r="J18" s="301" t="s">
        <v>344</v>
      </c>
    </row>
    <row r="19" spans="1:10" ht="27" x14ac:dyDescent="0.35">
      <c r="A19" s="303" t="s">
        <v>345</v>
      </c>
      <c r="B19" s="90" t="s">
        <v>303</v>
      </c>
      <c r="C19" s="305"/>
      <c r="D19" s="108">
        <f>143.66*(Constants_CC!E497*(750+460)/(70+460))^0.694*388/314*(IF('Input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2107853.2636903762</v>
      </c>
      <c r="E19" s="108">
        <f>143.66*(Constants_CC!F497*(750+460)/(70+460))^0.694*388/314*(IF('Input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5099225.413269287</v>
      </c>
      <c r="F19" s="108">
        <f>143.66*(Constants_CC!G497*(750+460)/(70+460))^0.694*388/314*(IF('Input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3267759.441425846</v>
      </c>
      <c r="G19" s="108">
        <f>143.66*(Constants_CC!H497*(750+460)/(70+460))^0.694*388/314*(IF('Input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1345668.9055476035</v>
      </c>
      <c r="H19" s="108">
        <f>143.66*(Constants_CC!I497*(750+460)/(70+460))^0.694*388/314*(IF('Input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1345668.9055476035</v>
      </c>
      <c r="I19" s="302" t="s">
        <v>346</v>
      </c>
      <c r="J19" s="302" t="s">
        <v>347</v>
      </c>
    </row>
    <row r="20" spans="1:10" ht="42.5" x14ac:dyDescent="0.35">
      <c r="A20" s="303" t="s">
        <v>348</v>
      </c>
      <c r="B20" s="90" t="s">
        <v>303</v>
      </c>
      <c r="C20" s="320"/>
      <c r="D20" s="108">
        <f>1370*'Input &amp; Calculation Summary'!C207*1*1000*(ABS(Constants_CC!E497*7.9*60*('Input &amp; Calculation Summary'!C30-725)*LN(125/('Input &amp; Calculation Summary'!C30-'Input &amp; Calculation Summary'!C31))/0.7302/(530)/(125-'Input &amp; Calculation Summary'!C30+'Input &amp; Calculation Summary'!C31))/4.4/10^6/'Input &amp; Calculation Summary'!C207)^0.8*(388/357.3)*(IF('Input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430750.54533072992</v>
      </c>
      <c r="E20" s="108">
        <f>1370*'Input &amp; Calculation Summary'!D207*1*1000*(ABS(Constants_CC!F497*7.9*60*('Input &amp; Calculation Summary'!D30-725)*LN(125/('Input &amp; Calculation Summary'!D30-'Input &amp; Calculation Summary'!D31))/0.7302/(530)/(125-'Input &amp; Calculation Summary'!D30+'Input &amp; Calculation Summary'!D31))/4.4/10^6/'Input &amp; Calculation Summary'!D207)^0.8*(388/357.3)*(IF('Input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1192585.7721793056</v>
      </c>
      <c r="F20" s="108">
        <f>1370*'Input &amp; Calculation Summary'!E207*1*1000*(ABS(Constants_CC!G497*7.9*60*('Input &amp; Calculation Summary'!E30-725)*LN(125/('Input &amp; Calculation Summary'!E30-'Input &amp; Calculation Summary'!E31))/0.7302/(530)/(125-'Input &amp; Calculation Summary'!E30+'Input &amp; Calculation Summary'!E31))/4.4/10^6/'Input &amp; Calculation Summary'!E207)^0.8*(388/357.3)*(IF('Input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714033.00961760094</v>
      </c>
      <c r="G20" s="108">
        <f>1370*'Input &amp; Calculation Summary'!F207*1*1000*(ABS(Constants_CC!H497*7.9*60*('Input &amp; Calculation Summary'!F30-725)*LN(125/('Input &amp; Calculation Summary'!F30-'Input &amp; Calculation Summary'!F31))/0.7302/(530)/(125-'Input &amp; Calculation Summary'!F30+'Input &amp; Calculation Summary'!F31))/4.4/10^6/'Input &amp; Calculation Summary'!F207)^0.8*(388/357.3)*(IF('Input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256776.19628914111</v>
      </c>
      <c r="H20" s="108">
        <f>1370*'Input &amp; Calculation Summary'!G207*1*1000*(ABS(Constants_CC!I497*7.9*60*('Input &amp; Calculation Summary'!G30-725)*LN(125/('Input &amp; Calculation Summary'!G30-'Input &amp; Calculation Summary'!G31))/0.7302/(530)/(125-'Input &amp; Calculation Summary'!G30+'Input &amp; Calculation Summary'!G31))/4.4/10^6/'Input &amp; Calculation Summary'!G207)^0.8*(388/357.3)*(IF('Input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256776.19628914111</v>
      </c>
      <c r="I20" s="302" t="s">
        <v>349</v>
      </c>
      <c r="J20" s="321" t="s">
        <v>350</v>
      </c>
    </row>
    <row r="21" spans="1:10" ht="13.5" x14ac:dyDescent="0.35">
      <c r="A21" s="303" t="s">
        <v>351</v>
      </c>
      <c r="B21" s="90" t="s">
        <v>303</v>
      </c>
      <c r="C21" s="298"/>
      <c r="D21" s="243">
        <f>(100+300 * ('Input &amp; Calculation Summary'!C25/550)^0.6)*1000*388/357.3*(IF('Input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384597.92452365009</v>
      </c>
      <c r="E21" s="243">
        <f>(100+300 * ('Input &amp; Calculation Summary'!D25/550)^0.6)*1000*388/357.3*(IF('Input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384597.92452365009</v>
      </c>
      <c r="F21" s="243">
        <f>(100+300 * ('Input &amp; Calculation Summary'!E25/550)^0.6)*1000*388/357.3*(IF('Input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313472.38190632605</v>
      </c>
      <c r="G21" s="243">
        <f>(100+300 * ('Input &amp; Calculation Summary'!F25/550)^0.6)*1000*388/357.3*(IF('Input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232277.50755183533</v>
      </c>
      <c r="H21" s="243">
        <f>(100+300 * ('Input &amp; Calculation Summary'!G25/550)^0.6)*1000*388/357.3*(IF('Input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232277.50755183533</v>
      </c>
      <c r="I21" s="302" t="s">
        <v>352</v>
      </c>
      <c r="J21" s="302" t="s">
        <v>353</v>
      </c>
    </row>
    <row r="22" spans="1:10" x14ac:dyDescent="0.3">
      <c r="A22" s="1" t="s">
        <v>354</v>
      </c>
      <c r="B22" s="90" t="s">
        <v>303</v>
      </c>
      <c r="C22" s="90"/>
      <c r="D22" s="101">
        <f>SUM(D17:D21)</f>
        <v>5727730.3195529087</v>
      </c>
      <c r="E22" s="101">
        <f>SUM(E17:E21)</f>
        <v>10961878.419670725</v>
      </c>
      <c r="F22" s="101">
        <f>SUM(F17:F21)</f>
        <v>7351737.5114520835</v>
      </c>
      <c r="G22" s="101">
        <f>SUM(G17:G21)</f>
        <v>3560585.1567857042</v>
      </c>
      <c r="H22" s="101">
        <f>SUM(H17:H21)</f>
        <v>3560585.1567857042</v>
      </c>
      <c r="I22" s="314" t="s">
        <v>355</v>
      </c>
      <c r="J22" s="322" t="s">
        <v>356</v>
      </c>
    </row>
    <row r="23" spans="1:10" x14ac:dyDescent="0.3">
      <c r="A23" s="1" t="s">
        <v>357</v>
      </c>
      <c r="B23" s="90" t="s">
        <v>303</v>
      </c>
      <c r="C23" s="90"/>
      <c r="D23" s="101">
        <f>0.02*D22</f>
        <v>114554.60639105817</v>
      </c>
      <c r="E23" s="101">
        <f>0.02*E22</f>
        <v>219237.56839341452</v>
      </c>
      <c r="F23" s="101">
        <f>0.02*F22</f>
        <v>147034.75022904167</v>
      </c>
      <c r="G23" s="101">
        <f>0.02*G22</f>
        <v>71211.70313571408</v>
      </c>
      <c r="H23" s="101">
        <f>0.02*H22</f>
        <v>71211.70313571408</v>
      </c>
      <c r="I23" s="323" t="s">
        <v>358</v>
      </c>
      <c r="J23" s="322" t="s">
        <v>359</v>
      </c>
    </row>
    <row r="24" spans="1:10" ht="13.5" x14ac:dyDescent="0.35">
      <c r="A24" s="1" t="s">
        <v>360</v>
      </c>
      <c r="B24" s="90" t="s">
        <v>303</v>
      </c>
      <c r="C24" s="90"/>
      <c r="D24" s="101">
        <f>D22*'Input &amp; Calculation Summary'!C55</f>
        <v>343663.8191731745</v>
      </c>
      <c r="E24" s="101">
        <f>E22*'Input &amp; Calculation Summary'!D55</f>
        <v>657712.70518024347</v>
      </c>
      <c r="F24" s="101">
        <f>F22*'Input &amp; Calculation Summary'!E55</f>
        <v>441104.25068712496</v>
      </c>
      <c r="G24" s="101">
        <f>G22*'Input &amp; Calculation Summary'!F55</f>
        <v>213635.10940714224</v>
      </c>
      <c r="H24" s="101">
        <f>H22*'Input &amp; Calculation Summary'!G55</f>
        <v>213635.10940714224</v>
      </c>
      <c r="I24" s="323" t="s">
        <v>361</v>
      </c>
      <c r="J24" s="322" t="s">
        <v>362</v>
      </c>
    </row>
    <row r="25" spans="1:10" x14ac:dyDescent="0.3">
      <c r="A25" s="1" t="s">
        <v>363</v>
      </c>
      <c r="B25" s="90" t="s">
        <v>303</v>
      </c>
      <c r="C25" s="90"/>
      <c r="D25" s="162">
        <f>0.05*D22</f>
        <v>286386.51597764547</v>
      </c>
      <c r="E25" s="162">
        <f>0.05*E22</f>
        <v>548093.92098353629</v>
      </c>
      <c r="F25" s="162">
        <f>0.05*F22</f>
        <v>367586.87557260419</v>
      </c>
      <c r="G25" s="162">
        <f>0.05*G22</f>
        <v>178029.25783928522</v>
      </c>
      <c r="H25" s="162">
        <f>0.05*H22</f>
        <v>178029.25783928522</v>
      </c>
      <c r="I25" s="324" t="s">
        <v>364</v>
      </c>
      <c r="J25" s="325" t="s">
        <v>365</v>
      </c>
    </row>
    <row r="26" spans="1:10" ht="13.5" x14ac:dyDescent="0.35">
      <c r="A26" s="204" t="s">
        <v>366</v>
      </c>
      <c r="C26" s="90"/>
      <c r="D26" s="101">
        <f>SUM(D22:D25)</f>
        <v>6472335.2610947872</v>
      </c>
      <c r="E26" s="101">
        <f>SUM(E22:E25)</f>
        <v>12386922.614227919</v>
      </c>
      <c r="F26" s="101">
        <f>SUM(F22:F25)</f>
        <v>8307463.3879408548</v>
      </c>
      <c r="G26" s="101">
        <f>SUM(G22:G25)</f>
        <v>4023461.2271678457</v>
      </c>
      <c r="H26" s="101">
        <f>SUM(H22:H25)</f>
        <v>4023461.2271678457</v>
      </c>
      <c r="I26" s="324"/>
      <c r="J26" s="325"/>
    </row>
    <row r="27" spans="1:10" x14ac:dyDescent="0.3">
      <c r="C27" s="90"/>
      <c r="D27" s="162"/>
      <c r="E27" s="162"/>
      <c r="F27" s="162"/>
      <c r="G27" s="162"/>
      <c r="H27" s="162"/>
      <c r="I27" s="324"/>
      <c r="J27" s="325"/>
    </row>
    <row r="28" spans="1:10" ht="13.5" x14ac:dyDescent="0.35">
      <c r="A28" s="237" t="s">
        <v>367</v>
      </c>
      <c r="B28" s="90" t="s">
        <v>303</v>
      </c>
      <c r="C28" s="90"/>
      <c r="D28" s="101">
        <f>SUM(D22:D25)*'Input &amp; Calculation Summary'!C39</f>
        <v>10355736.417751661</v>
      </c>
      <c r="E28" s="101">
        <f>SUM(E22:E25)*'Input &amp; Calculation Summary'!D39</f>
        <v>19819076.182764672</v>
      </c>
      <c r="F28" s="101">
        <f>SUM(F22:F25)*'Input &amp; Calculation Summary'!E39</f>
        <v>13291941.420705369</v>
      </c>
      <c r="G28" s="101">
        <f>SUM(G22:G25)*'Input &amp; Calculation Summary'!F39</f>
        <v>6437537.9634685535</v>
      </c>
      <c r="H28" s="101">
        <f>SUM(H22:H25)*'Input &amp; Calculation Summary'!G39</f>
        <v>6437537.9634685535</v>
      </c>
      <c r="J28" s="322" t="s">
        <v>368</v>
      </c>
    </row>
    <row r="29" spans="1:10" x14ac:dyDescent="0.3">
      <c r="A29" s="1" t="s">
        <v>369</v>
      </c>
      <c r="B29" s="90" t="s">
        <v>303</v>
      </c>
      <c r="C29" s="90"/>
      <c r="D29" s="101">
        <f>D28*'Input &amp; Calculation Summary'!C204</f>
        <v>517786.82088758308</v>
      </c>
      <c r="E29" s="101">
        <f>E28*'Input &amp; Calculation Summary'!D204</f>
        <v>990953.80913823366</v>
      </c>
      <c r="F29" s="101">
        <f>F28*'Input &amp; Calculation Summary'!E204</f>
        <v>664597.07103526848</v>
      </c>
      <c r="G29" s="101">
        <f>G28*'Input &amp; Calculation Summary'!F204</f>
        <v>321876.89817342767</v>
      </c>
      <c r="H29" s="101">
        <f>H28*'Input &amp; Calculation Summary'!G204</f>
        <v>321876.89817342767</v>
      </c>
      <c r="I29" s="314" t="s">
        <v>370</v>
      </c>
      <c r="J29" s="322" t="s">
        <v>371</v>
      </c>
    </row>
    <row r="30" spans="1:10" x14ac:dyDescent="0.3">
      <c r="A30" s="1" t="s">
        <v>372</v>
      </c>
      <c r="B30" s="90" t="s">
        <v>303</v>
      </c>
      <c r="C30" s="90"/>
      <c r="D30" s="101">
        <f>D28*'Input &amp; Calculation Summary'!C205</f>
        <v>1035573.6417751662</v>
      </c>
      <c r="E30" s="101">
        <f>E28*'Input &amp; Calculation Summary'!D205</f>
        <v>1981907.6182764673</v>
      </c>
      <c r="F30" s="101">
        <f>F28*'Input &amp; Calculation Summary'!E205</f>
        <v>1329194.142070537</v>
      </c>
      <c r="G30" s="101">
        <f>G28*'Input &amp; Calculation Summary'!F205</f>
        <v>643753.79634685535</v>
      </c>
      <c r="H30" s="101">
        <f>H28*'Input &amp; Calculation Summary'!G205</f>
        <v>643753.79634685535</v>
      </c>
      <c r="I30" s="314" t="s">
        <v>373</v>
      </c>
      <c r="J30" s="322" t="s">
        <v>374</v>
      </c>
    </row>
    <row r="31" spans="1:10" x14ac:dyDescent="0.3">
      <c r="A31" s="1" t="s">
        <v>375</v>
      </c>
      <c r="B31" s="90" t="s">
        <v>303</v>
      </c>
      <c r="C31" s="90"/>
      <c r="D31" s="162">
        <f>D28*'Input &amp; Calculation Summary'!C203</f>
        <v>2071147.2835503323</v>
      </c>
      <c r="E31" s="162">
        <f>E28*'Input &amp; Calculation Summary'!D203</f>
        <v>3963815.2365529346</v>
      </c>
      <c r="F31" s="162">
        <f>F28*'Input &amp; Calculation Summary'!E203</f>
        <v>2658388.2841410739</v>
      </c>
      <c r="G31" s="162">
        <f>G28*'Input &amp; Calculation Summary'!F203</f>
        <v>1287507.5926937107</v>
      </c>
      <c r="H31" s="162">
        <f>H28*'Input &amp; Calculation Summary'!G203</f>
        <v>1287507.5926937107</v>
      </c>
      <c r="I31" s="314" t="s">
        <v>376</v>
      </c>
      <c r="J31" s="325" t="s">
        <v>377</v>
      </c>
    </row>
    <row r="32" spans="1:10" ht="13.5" x14ac:dyDescent="0.35">
      <c r="A32" s="204" t="s">
        <v>378</v>
      </c>
      <c r="B32" s="90" t="s">
        <v>303</v>
      </c>
      <c r="C32" s="90"/>
      <c r="D32" s="101">
        <f>SUM(D28:D31)</f>
        <v>13980244.163964741</v>
      </c>
      <c r="E32" s="101">
        <f>SUM(E28:E31)</f>
        <v>26755752.846732307</v>
      </c>
      <c r="F32" s="101">
        <f>SUM(F28:F31)</f>
        <v>17944120.917952247</v>
      </c>
      <c r="G32" s="101">
        <f>SUM(G28:G31)</f>
        <v>8690676.2506825477</v>
      </c>
      <c r="H32" s="101">
        <f>SUM(H28:H31)</f>
        <v>8690676.2506825477</v>
      </c>
      <c r="J32" s="322" t="s">
        <v>379</v>
      </c>
    </row>
    <row r="33" spans="1:10" ht="13.5" x14ac:dyDescent="0.35">
      <c r="A33" s="204" t="s">
        <v>380</v>
      </c>
      <c r="B33" s="90" t="s">
        <v>303</v>
      </c>
      <c r="C33" s="90"/>
      <c r="D33" s="101">
        <f>D32*(1+'Input &amp; Calculation Summary'!C$63)</f>
        <v>14399651.488883683</v>
      </c>
      <c r="E33" s="101">
        <f>E32*(1+'Input &amp; Calculation Summary'!D$63)</f>
        <v>27558425.432134278</v>
      </c>
      <c r="F33" s="101">
        <f>F32*(1+'Input &amp; Calculation Summary'!E$63)</f>
        <v>18482444.545490816</v>
      </c>
      <c r="G33" s="101">
        <f>G32*(1+'Input &amp; Calculation Summary'!F$63)</f>
        <v>8951396.5382030252</v>
      </c>
      <c r="H33" s="101">
        <f>H32*(1+'Input &amp; Calculation Summary'!G$63)</f>
        <v>8951396.5382030252</v>
      </c>
    </row>
    <row r="34" spans="1:10" ht="26.5" x14ac:dyDescent="0.35">
      <c r="A34" s="204" t="s">
        <v>381</v>
      </c>
      <c r="B34" s="90" t="s">
        <v>303</v>
      </c>
      <c r="C34" s="90"/>
      <c r="D34" s="101">
        <f>D33*VLOOKUP('Input &amp; Calculation Summary'!C25,Constants_CC!$B$557:$E$562,4)</f>
        <v>14399651.488883696</v>
      </c>
      <c r="E34" s="101">
        <f>E33*VLOOKUP('Input &amp; Calculation Summary'!D25,Constants_CC!$B$557:$E$562,4)</f>
        <v>27558425.432134304</v>
      </c>
      <c r="F34" s="101">
        <f>F33*VLOOKUP('Input &amp; Calculation Summary'!E25,Constants_CC!$B$557:$E$562,4)</f>
        <v>18482444.545490831</v>
      </c>
      <c r="G34" s="101">
        <f>G33*VLOOKUP('Input &amp; Calculation Summary'!F25,Constants_CC!$B$557:$E$562,4)</f>
        <v>8951396.5382030327</v>
      </c>
      <c r="H34" s="101">
        <f>H33*VLOOKUP('Input &amp; Calculation Summary'!G25,Constants_CC!$B$557:$E$562,4)</f>
        <v>8951396.5382030327</v>
      </c>
      <c r="J34" s="322" t="s">
        <v>382</v>
      </c>
    </row>
    <row r="35" spans="1:10" x14ac:dyDescent="0.3">
      <c r="C35" s="90"/>
      <c r="D35" s="101"/>
      <c r="E35" s="101"/>
      <c r="F35" s="101"/>
      <c r="G35" s="101"/>
      <c r="H35" s="101"/>
    </row>
    <row r="36" spans="1:10" ht="26.5" x14ac:dyDescent="0.35">
      <c r="A36" s="204" t="s">
        <v>383</v>
      </c>
      <c r="B36" s="90" t="s">
        <v>303</v>
      </c>
      <c r="C36" s="90"/>
      <c r="D36" s="162">
        <f>D33*VLOOKUP('Input &amp; Calculation Summary'!C25,Constants_CC!$B$557:$E$562,3)</f>
        <v>0</v>
      </c>
      <c r="E36" s="162">
        <f>E33*VLOOKUP('Input &amp; Calculation Summary'!D25,Constants_CC!$B$557:$E$562,3)</f>
        <v>0</v>
      </c>
      <c r="F36" s="162">
        <f>F33*VLOOKUP('Input &amp; Calculation Summary'!E25,Constants_CC!$B$557:$E$562,3)</f>
        <v>0</v>
      </c>
      <c r="G36" s="162">
        <f>G33*VLOOKUP('Input &amp; Calculation Summary'!F25,Constants_CC!$B$557:$E$562,3)</f>
        <v>0</v>
      </c>
      <c r="H36" s="162">
        <f>H33*VLOOKUP('Input &amp; Calculation Summary'!G25,Constants_CC!$B$557:$E$562,3)</f>
        <v>0</v>
      </c>
      <c r="J36" s="322" t="s">
        <v>384</v>
      </c>
    </row>
    <row r="37" spans="1:10" x14ac:dyDescent="0.3">
      <c r="C37" s="90"/>
      <c r="D37" s="101"/>
      <c r="E37" s="101"/>
      <c r="F37" s="101"/>
      <c r="G37" s="101"/>
      <c r="H37" s="101"/>
    </row>
    <row r="38" spans="1:10" ht="13.5" x14ac:dyDescent="0.35">
      <c r="A38" s="204" t="s">
        <v>385</v>
      </c>
      <c r="B38" s="90" t="s">
        <v>303</v>
      </c>
      <c r="C38" s="90"/>
      <c r="D38" s="101">
        <f>D34+D36</f>
        <v>14399651.488883696</v>
      </c>
      <c r="E38" s="101">
        <f>E34+E36</f>
        <v>27558425.432134304</v>
      </c>
      <c r="F38" s="101">
        <f>F34+F36</f>
        <v>18482444.545490831</v>
      </c>
      <c r="G38" s="101">
        <f>G34+G36</f>
        <v>8951396.5382030327</v>
      </c>
      <c r="H38" s="101">
        <f>H34+H36</f>
        <v>8951396.5382030327</v>
      </c>
      <c r="J38" s="322" t="s">
        <v>386</v>
      </c>
    </row>
    <row r="39" spans="1:10" x14ac:dyDescent="0.3">
      <c r="A39" s="122" t="s">
        <v>387</v>
      </c>
      <c r="B39" s="90" t="s">
        <v>303</v>
      </c>
      <c r="C39" s="90"/>
      <c r="D39" s="101">
        <f>0.02*D38+(D56+D57)/12+D51/(12*'Input &amp; Calculation Summary'!C27)</f>
        <v>332713.17903752974</v>
      </c>
      <c r="E39" s="101">
        <f>0.02*E38+(E56+E57)/12+E51/(12*'Input &amp; Calculation Summary'!D27)</f>
        <v>611858.04375600128</v>
      </c>
      <c r="F39" s="101">
        <f>0.02*F38+(F56+F57)/12+F51/(12*'Input &amp; Calculation Summary'!E27)</f>
        <v>408123.7817687894</v>
      </c>
      <c r="G39" s="101">
        <f>0.02*G38+(G56+G57)/12+G51/(12*'Input &amp; Calculation Summary'!F27)</f>
        <v>200415.73630799589</v>
      </c>
      <c r="H39" s="101">
        <f>0.02*H38+(H56+H57)/12+H51/(12*'Input &amp; Calculation Summary'!G27)</f>
        <v>200415.73630799589</v>
      </c>
      <c r="I39" s="323" t="s">
        <v>388</v>
      </c>
      <c r="J39" s="323" t="s">
        <v>388</v>
      </c>
    </row>
    <row r="40" spans="1:10" x14ac:dyDescent="0.3">
      <c r="A40" s="122" t="s">
        <v>389</v>
      </c>
      <c r="C40" s="90"/>
      <c r="D40" s="101"/>
      <c r="E40" s="101"/>
      <c r="F40" s="101"/>
      <c r="G40" s="101"/>
      <c r="H40" s="101"/>
      <c r="I40" s="323"/>
      <c r="J40" s="322"/>
    </row>
    <row r="41" spans="1:10" x14ac:dyDescent="0.3">
      <c r="A41" s="122" t="s">
        <v>390</v>
      </c>
      <c r="B41" s="90" t="s">
        <v>303</v>
      </c>
      <c r="C41" s="90"/>
      <c r="D41" s="101">
        <f>D8*24*'Input &amp; Calculation Summary'!C199/2000*60*'Input &amp; Calculation Summary'!C27</f>
        <v>20491.003747104507</v>
      </c>
      <c r="E41" s="101">
        <f>E8*24*'Input &amp; Calculation Summary'!D199/2000*60*'Input &amp; Calculation Summary'!D27</f>
        <v>20491.003747104507</v>
      </c>
      <c r="F41" s="101">
        <f>F8*24*'Input &amp; Calculation Summary'!E199/2000*60*'Input &amp; Calculation Summary'!E27</f>
        <v>8693.4980712252673</v>
      </c>
      <c r="G41" s="101">
        <f>G8*24*'Input &amp; Calculation Summary'!F199/2000*60*'Input &amp; Calculation Summary'!F27</f>
        <v>3673.2021531846603</v>
      </c>
      <c r="H41" s="101">
        <f>H8*24*'Input &amp; Calculation Summary'!G199/2000*60*'Input &amp; Calculation Summary'!G27</f>
        <v>3673.2021531846603</v>
      </c>
      <c r="I41" s="323" t="s">
        <v>391</v>
      </c>
      <c r="J41" s="322" t="s">
        <v>392</v>
      </c>
    </row>
    <row r="42" spans="1:10" x14ac:dyDescent="0.3">
      <c r="A42" s="122" t="s">
        <v>393</v>
      </c>
      <c r="B42" s="90" t="s">
        <v>303</v>
      </c>
      <c r="C42" s="90"/>
      <c r="D42" s="162">
        <f>D$10*'Input &amp; Calculation Summary'!C200</f>
        <v>1379043.5579502573</v>
      </c>
      <c r="E42" s="162">
        <f>E$10*'Input &amp; Calculation Summary'!D200</f>
        <v>4925016.8273316082</v>
      </c>
      <c r="F42" s="162">
        <f>F$10*'Input &amp; Calculation Summary'!E200</f>
        <v>2593842.1957279807</v>
      </c>
      <c r="G42" s="162">
        <f>G$10*'Input &amp; Calculation Summary'!F200</f>
        <v>722335.80134196917</v>
      </c>
      <c r="H42" s="162">
        <f>H$10*'Input &amp; Calculation Summary'!G200</f>
        <v>722335.80134196917</v>
      </c>
      <c r="I42" s="302" t="s">
        <v>394</v>
      </c>
      <c r="J42" s="301" t="s">
        <v>395</v>
      </c>
    </row>
    <row r="43" spans="1:10" ht="26.5" x14ac:dyDescent="0.35">
      <c r="A43" s="204" t="s">
        <v>302</v>
      </c>
      <c r="B43" s="90" t="s">
        <v>303</v>
      </c>
      <c r="C43" s="90"/>
      <c r="D43" s="202">
        <f>SUM(D38:D42)</f>
        <v>16131899.229618587</v>
      </c>
      <c r="E43" s="202">
        <f>SUM(E38:E42)</f>
        <v>33115791.306969017</v>
      </c>
      <c r="F43" s="202">
        <f>SUM(F38:F42)</f>
        <v>21493104.021058824</v>
      </c>
      <c r="G43" s="202">
        <f>SUM(G38:G42)</f>
        <v>9877821.278006183</v>
      </c>
      <c r="H43" s="202">
        <f>SUM(H38:H42)</f>
        <v>9877821.278006183</v>
      </c>
      <c r="J43" s="322" t="s">
        <v>396</v>
      </c>
    </row>
    <row r="44" spans="1:10" ht="13.5" x14ac:dyDescent="0.35">
      <c r="A44" s="204"/>
      <c r="B44" s="90" t="s">
        <v>304</v>
      </c>
      <c r="C44" s="90"/>
      <c r="D44" s="101">
        <f>D43/('Input &amp; Calculation Summary'!C25*1000)</f>
        <v>107.54599486412391</v>
      </c>
      <c r="E44" s="101">
        <f>E43/('Input &amp; Calculation Summary'!D25*1000)</f>
        <v>220.77194204646011</v>
      </c>
      <c r="F44" s="101">
        <f>F43/('Input &amp; Calculation Summary'!E25*1000)</f>
        <v>272.0646078615041</v>
      </c>
      <c r="G44" s="101">
        <f>G43/('Input &amp; Calculation Summary'!F25*1000)</f>
        <v>448.9918762730083</v>
      </c>
      <c r="H44" s="101">
        <f>H43/('Input &amp; Calculation Summary'!G25*1000)</f>
        <v>448.9918762730083</v>
      </c>
      <c r="J44" s="326" t="s">
        <v>397</v>
      </c>
    </row>
    <row r="45" spans="1:10" ht="13.5" x14ac:dyDescent="0.35">
      <c r="A45" s="232"/>
      <c r="C45" s="115"/>
      <c r="D45" s="231"/>
      <c r="E45" s="231"/>
      <c r="F45" s="231"/>
      <c r="G45" s="231"/>
      <c r="H45" s="231"/>
      <c r="I45" s="318"/>
    </row>
    <row r="46" spans="1:10" ht="13.5" x14ac:dyDescent="0.35">
      <c r="A46" s="232"/>
      <c r="C46" s="115"/>
      <c r="D46" s="231"/>
      <c r="E46" s="231"/>
      <c r="F46" s="231"/>
      <c r="G46" s="231"/>
      <c r="H46" s="231"/>
      <c r="I46" s="318"/>
    </row>
    <row r="47" spans="1:10" x14ac:dyDescent="0.3">
      <c r="A47" s="111"/>
      <c r="B47" s="112"/>
      <c r="C47" s="112"/>
      <c r="D47" s="112"/>
      <c r="E47" s="112"/>
      <c r="F47" s="112"/>
      <c r="G47" s="112"/>
      <c r="H47" s="112"/>
      <c r="I47" s="310"/>
    </row>
    <row r="48" spans="1:10" ht="45" customHeight="1" thickBot="1" x14ac:dyDescent="0.4">
      <c r="A48" s="241" t="s">
        <v>398</v>
      </c>
      <c r="C48" s="90"/>
      <c r="D48" s="155" t="s">
        <v>320</v>
      </c>
      <c r="E48" s="155" t="s">
        <v>321</v>
      </c>
      <c r="F48" s="155" t="s">
        <v>322</v>
      </c>
      <c r="G48" s="155" t="s">
        <v>323</v>
      </c>
      <c r="H48" s="155" t="s">
        <v>324</v>
      </c>
      <c r="I48" s="311"/>
      <c r="J48" s="312" t="s">
        <v>325</v>
      </c>
    </row>
    <row r="49" spans="1:10" ht="13.5" x14ac:dyDescent="0.35">
      <c r="A49" s="232" t="s">
        <v>338</v>
      </c>
      <c r="C49" s="115"/>
      <c r="D49" s="231">
        <f>'Input &amp; Calculation Summary'!C46</f>
        <v>2015</v>
      </c>
      <c r="E49" s="231">
        <f>'Input &amp; Calculation Summary'!D46</f>
        <v>2015</v>
      </c>
      <c r="F49" s="231">
        <f>'Input &amp; Calculation Summary'!E46</f>
        <v>2015</v>
      </c>
      <c r="G49" s="231">
        <f>'Input &amp; Calculation Summary'!F46</f>
        <v>2015</v>
      </c>
      <c r="H49" s="231">
        <f>'Input &amp; Calculation Summary'!G46</f>
        <v>2015</v>
      </c>
      <c r="I49" s="318"/>
    </row>
    <row r="51" spans="1:10" ht="13.5" x14ac:dyDescent="0.35">
      <c r="A51" s="1" t="s">
        <v>399</v>
      </c>
      <c r="B51" s="90" t="s">
        <v>400</v>
      </c>
      <c r="D51" s="313">
        <f>8760/2000*D8*'Input &amp; Calculation Summary'!C27*'Input &amp; Calculation Summary'!C199</f>
        <v>124653.60612821909</v>
      </c>
      <c r="E51" s="313">
        <f>8760/2000*E8*'Input &amp; Calculation Summary'!D27*'Input &amp; Calculation Summary'!D199</f>
        <v>124653.60612821909</v>
      </c>
      <c r="F51" s="313">
        <f>8760/2000*F8*'Input &amp; Calculation Summary'!E27*'Input &amp; Calculation Summary'!E199</f>
        <v>52885.446599953699</v>
      </c>
      <c r="G51" s="313">
        <f>8760/2000*G8*'Input &amp; Calculation Summary'!F27*'Input &amp; Calculation Summary'!F199</f>
        <v>22345.313098540024</v>
      </c>
      <c r="H51" s="313">
        <f>8760/2000*H8*'Input &amp; Calculation Summary'!G27*'Input &amp; Calculation Summary'!G199</f>
        <v>22345.313098540024</v>
      </c>
      <c r="I51" s="314" t="s">
        <v>401</v>
      </c>
      <c r="J51" s="314" t="s">
        <v>402</v>
      </c>
    </row>
    <row r="52" spans="1:10" ht="15.5" x14ac:dyDescent="0.3">
      <c r="A52" s="1" t="s">
        <v>403</v>
      </c>
      <c r="B52" s="90" t="s">
        <v>400</v>
      </c>
      <c r="D52" s="313">
        <f xml:space="preserve"> D10*'Input &amp; Calculation Summary'!C200/'Input &amp; Calculation Summary'!C198</f>
        <v>459681.18598341913</v>
      </c>
      <c r="E52" s="313">
        <f xml:space="preserve"> E10*'Input &amp; Calculation Summary'!D200/'Input &amp; Calculation Summary'!D198</f>
        <v>1641672.2757772028</v>
      </c>
      <c r="F52" s="313">
        <f xml:space="preserve"> F10*'Input &amp; Calculation Summary'!E200/'Input &amp; Calculation Summary'!E198</f>
        <v>864614.06524266023</v>
      </c>
      <c r="G52" s="313">
        <f xml:space="preserve"> G10*'Input &amp; Calculation Summary'!F200/'Input &amp; Calculation Summary'!F198</f>
        <v>240778.60044732306</v>
      </c>
      <c r="H52" s="313">
        <f xml:space="preserve"> H10*'Input &amp; Calculation Summary'!G200/'Input &amp; Calculation Summary'!G198</f>
        <v>240778.60044732306</v>
      </c>
      <c r="I52" s="314" t="s">
        <v>404</v>
      </c>
      <c r="J52" s="314" t="s">
        <v>405</v>
      </c>
    </row>
    <row r="53" spans="1:10" x14ac:dyDescent="0.3">
      <c r="A53" s="1" t="s">
        <v>406</v>
      </c>
      <c r="B53" s="90" t="s">
        <v>400</v>
      </c>
      <c r="D53" s="313">
        <f xml:space="preserve"> 48 / 2000  *D52*'Input &amp; Calculation Summary'!C201/'Input &amp; Calculation Summary'!C200</f>
        <v>355.42279946722692</v>
      </c>
      <c r="E53" s="313">
        <f xml:space="preserve"> 48 / 2000  *E52*'Input &amp; Calculation Summary'!D201/'Input &amp; Calculation Summary'!D200</f>
        <v>1269.33138413351</v>
      </c>
      <c r="F53" s="313">
        <f xml:space="preserve"> 48 / 2000  *F52*'Input &amp; Calculation Summary'!E201/'Input &amp; Calculation Summary'!E200</f>
        <v>668.51452897698198</v>
      </c>
      <c r="G53" s="313">
        <f xml:space="preserve"> 48 / 2000  *G52*'Input &amp; Calculation Summary'!F201/'Input &amp; Calculation Summary'!F200</f>
        <v>186.16860300624811</v>
      </c>
      <c r="H53" s="313">
        <f xml:space="preserve"> 48 / 2000  *H52*'Input &amp; Calculation Summary'!G201/'Input &amp; Calculation Summary'!G200</f>
        <v>186.16860300624811</v>
      </c>
      <c r="I53" s="314" t="s">
        <v>407</v>
      </c>
      <c r="J53" s="314" t="s">
        <v>408</v>
      </c>
    </row>
    <row r="54" spans="1:10" ht="45" customHeight="1" x14ac:dyDescent="0.35">
      <c r="A54" s="1" t="s">
        <v>409</v>
      </c>
      <c r="B54" s="90" t="s">
        <v>400</v>
      </c>
      <c r="D54" s="313">
        <f xml:space="preserve"> (-545133 + 5.801*Constants_CC!E516) * ('Input &amp; Calculation Summary'!C27/0.628) *'Input &amp; Calculation Summary'!C65/1000</f>
        <v>33109.529513597023</v>
      </c>
      <c r="E54" s="313">
        <f xml:space="preserve"> (-545133 + 5.801*Constants_CC!F516) * ('Input &amp; Calculation Summary'!D27/0.628) *'Input &amp; Calculation Summary'!D65/1000</f>
        <v>154515.49925834418</v>
      </c>
      <c r="F54" s="313">
        <f xml:space="preserve"> (-545133 + 5.801*Constants_CC!G516) * ('Input &amp; Calculation Summary'!E27/0.628) *'Input &amp; Calculation Summary'!E65/1000</f>
        <v>74701.441087632396</v>
      </c>
      <c r="G54" s="313">
        <f xml:space="preserve"> (-545133 + 5.801*Constants_CC!H516) * ('Input &amp; Calculation Summary'!F27/0.628) *'Input &amp; Calculation Summary'!F65/1000</f>
        <v>10625.366218187728</v>
      </c>
      <c r="H54" s="313">
        <f xml:space="preserve"> (-545133 + 5.801*Constants_CC!I516) * ('Input &amp; Calculation Summary'!G27/0.628) *'Input &amp; Calculation Summary'!G65/1000</f>
        <v>10625.366218187728</v>
      </c>
      <c r="I54" s="314" t="s">
        <v>410</v>
      </c>
      <c r="J54" s="314" t="s">
        <v>411</v>
      </c>
    </row>
    <row r="55" spans="1:10" ht="13.5" x14ac:dyDescent="0.35">
      <c r="A55" s="1" t="s">
        <v>412</v>
      </c>
      <c r="B55" s="90" t="s">
        <v>400</v>
      </c>
      <c r="D55" s="313">
        <f xml:space="preserve"> (-14.91 + 33.29 *D8* 'Input &amp; Calculation Summary'!C27) * 'Input &amp; Calculation Summary'!C66</f>
        <v>16071.442059722911</v>
      </c>
      <c r="E55" s="313">
        <f xml:space="preserve"> (-14.91 + 33.29 *E8* 'Input &amp; Calculation Summary'!D27) * 'Input &amp; Calculation Summary'!D66</f>
        <v>16071.442059722911</v>
      </c>
      <c r="F55" s="313">
        <f xml:space="preserve"> (-14.91 + 33.29 *F8* 'Input &amp; Calculation Summary'!E27) * 'Input &amp; Calculation Summary'!E66</f>
        <v>6788.4130729305907</v>
      </c>
      <c r="G55" s="313">
        <f xml:space="preserve"> (-14.91 + 33.29 *G8* 'Input &amp; Calculation Summary'!F27) * 'Input &amp; Calculation Summary'!F66</f>
        <v>2838.1244432984781</v>
      </c>
      <c r="H55" s="313">
        <f xml:space="preserve"> (-14.91 + 33.29 *H8* 'Input &amp; Calculation Summary'!G27) * 'Input &amp; Calculation Summary'!G66</f>
        <v>2838.1244432984781</v>
      </c>
      <c r="I55" s="314" t="s">
        <v>413</v>
      </c>
      <c r="J55" s="314" t="s">
        <v>414</v>
      </c>
    </row>
    <row r="56" spans="1:10" ht="13.5" x14ac:dyDescent="0.35">
      <c r="A56" s="1" t="s">
        <v>415</v>
      </c>
      <c r="B56" s="90" t="s">
        <v>400</v>
      </c>
      <c r="D56" s="313">
        <f xml:space="preserve"> (1341 + 5.363 *'Input &amp; Calculation Summary'!C25 ) * 'Input &amp; Calculation Summary'!C64</f>
        <v>135163.34999999998</v>
      </c>
      <c r="E56" s="313">
        <f xml:space="preserve"> (1341 + 5.363 *'Input &amp; Calculation Summary'!D25 ) * 'Input &amp; Calculation Summary'!D64</f>
        <v>135163.34999999998</v>
      </c>
      <c r="F56" s="313">
        <f xml:space="preserve"> (1341 + 5.363 *'Input &amp; Calculation Summary'!E25 ) * 'Input &amp; Calculation Summary'!E64</f>
        <v>111174.65100000001</v>
      </c>
      <c r="G56" s="313">
        <f xml:space="preserve"> (1341 + 5.363 *'Input &amp; Calculation Summary'!F25 ) * 'Input &amp; Calculation Summary'!F64</f>
        <v>91916.118000000002</v>
      </c>
      <c r="H56" s="313">
        <f xml:space="preserve"> (1341 + 5.363 *'Input &amp; Calculation Summary'!G25 ) * 'Input &amp; Calculation Summary'!G64</f>
        <v>91916.118000000002</v>
      </c>
      <c r="I56" s="314" t="s">
        <v>416</v>
      </c>
      <c r="J56" s="314" t="s">
        <v>417</v>
      </c>
    </row>
    <row r="57" spans="1:10" x14ac:dyDescent="0.3">
      <c r="A57" s="1" t="s">
        <v>418</v>
      </c>
      <c r="B57" s="90" t="s">
        <v>400</v>
      </c>
      <c r="D57" s="313">
        <f xml:space="preserve"> 'Input &amp; Calculation Summary'!C202*D32</f>
        <v>209703.66245947112</v>
      </c>
      <c r="E57" s="313">
        <f xml:space="preserve"> 'Input &amp; Calculation Summary'!D202*E32</f>
        <v>401336.29270098457</v>
      </c>
      <c r="F57" s="313">
        <f xml:space="preserve"> 'Input &amp; Calculation Summary'!E202*F32</f>
        <v>269161.8137692837</v>
      </c>
      <c r="G57" s="313">
        <f xml:space="preserve"> 'Input &amp; Calculation Summary'!F202*G32</f>
        <v>130360.14376023821</v>
      </c>
      <c r="H57" s="313">
        <f xml:space="preserve"> 'Input &amp; Calculation Summary'!G202*H32</f>
        <v>130360.14376023821</v>
      </c>
      <c r="I57" s="314" t="s">
        <v>419</v>
      </c>
      <c r="J57" s="314" t="s">
        <v>420</v>
      </c>
    </row>
    <row r="58" spans="1:10" x14ac:dyDescent="0.3">
      <c r="A58" s="237" t="s">
        <v>421</v>
      </c>
      <c r="B58" s="90" t="s">
        <v>400</v>
      </c>
      <c r="D58" s="343">
        <f>SUM(D51:D57)</f>
        <v>978738.19894389657</v>
      </c>
      <c r="E58" s="343">
        <f>SUM(E51:E57)</f>
        <v>2474681.797308607</v>
      </c>
      <c r="F58" s="343">
        <f>SUM(F51:F57)</f>
        <v>1379994.3453014377</v>
      </c>
      <c r="G58" s="343">
        <f>SUM(G51:G57)</f>
        <v>499049.83457059372</v>
      </c>
      <c r="H58" s="343">
        <f>SUM(H51:H57)</f>
        <v>499049.83457059372</v>
      </c>
    </row>
    <row r="60" spans="1:10" x14ac:dyDescent="0.3">
      <c r="A60" s="299"/>
      <c r="B60" s="308"/>
      <c r="C60" s="299"/>
      <c r="D60" s="308"/>
      <c r="E60" s="308"/>
      <c r="F60" s="308"/>
      <c r="G60" s="308"/>
      <c r="H60" s="308"/>
      <c r="I60" s="309"/>
      <c r="J60" s="309"/>
    </row>
    <row r="61" spans="1:10" x14ac:dyDescent="0.3">
      <c r="A61" s="111"/>
      <c r="B61" s="112"/>
      <c r="C61" s="112"/>
      <c r="D61" s="112"/>
      <c r="E61" s="112"/>
      <c r="F61" s="112"/>
      <c r="G61" s="112"/>
      <c r="H61" s="112"/>
      <c r="I61" s="310"/>
    </row>
    <row r="62" spans="1:10" ht="27.5" thickBot="1" x14ac:dyDescent="0.45">
      <c r="A62" s="109" t="s">
        <v>422</v>
      </c>
      <c r="C62" s="90"/>
      <c r="D62" s="116" t="s">
        <v>320</v>
      </c>
      <c r="E62" s="116" t="s">
        <v>321</v>
      </c>
      <c r="F62" s="116" t="s">
        <v>322</v>
      </c>
      <c r="G62" s="116" t="s">
        <v>323</v>
      </c>
      <c r="H62" s="116" t="s">
        <v>324</v>
      </c>
      <c r="I62" s="311"/>
      <c r="J62" s="312" t="s">
        <v>325</v>
      </c>
    </row>
    <row r="64" spans="1:10" ht="13.5" x14ac:dyDescent="0.35">
      <c r="A64" s="1" t="s">
        <v>423</v>
      </c>
      <c r="B64" s="90" t="s">
        <v>245</v>
      </c>
      <c r="D64" s="208">
        <f>IF('Input &amp; Calculation Summary'!C213=0,(8.6 + 0.03* 'Input &amp; Calculation Summary'!C25 - 0.013* 'Input &amp; Calculation Summary'!C217*100)* 'Input &amp; Calculation Summary'!C212,'Input &amp; Calculation Summary'!C213)</f>
        <v>18</v>
      </c>
      <c r="E64" s="208">
        <f>IF('Input &amp; Calculation Summary'!D213=0,(8.6 + 0.03* 'Input &amp; Calculation Summary'!D25 - 0.013* 'Input &amp; Calculation Summary'!D217*100)* 'Input &amp; Calculation Summary'!D212,'Input &amp; Calculation Summary'!D213)</f>
        <v>18</v>
      </c>
      <c r="F64" s="208">
        <f>IF('Input &amp; Calculation Summary'!E213=0,(8.6 + 0.03* 'Input &amp; Calculation Summary'!E25 - 0.013* 'Input &amp; Calculation Summary'!E217*100)* 'Input &amp; Calculation Summary'!E212,'Input &amp; Calculation Summary'!E213)</f>
        <v>18</v>
      </c>
      <c r="G64" s="208">
        <f>IF('Input &amp; Calculation Summary'!F213=0,(8.6 + 0.03* 'Input &amp; Calculation Summary'!F25 - 0.013* 'Input &amp; Calculation Summary'!F217*100)* 'Input &amp; Calculation Summary'!F212,'Input &amp; Calculation Summary'!F213)</f>
        <v>18</v>
      </c>
      <c r="H64" s="208">
        <f>IF('Input &amp; Calculation Summary'!G213=0,(8.6 + 0.03* 'Input &amp; Calculation Summary'!G25 - 0.013* 'Input &amp; Calculation Summary'!G217*100)* 'Input &amp; Calculation Summary'!G212,'Input &amp; Calculation Summary'!G213)</f>
        <v>18</v>
      </c>
      <c r="I64" s="314" t="s">
        <v>424</v>
      </c>
      <c r="J64" s="314" t="s">
        <v>425</v>
      </c>
    </row>
    <row r="65" spans="1:10" ht="13.5" x14ac:dyDescent="0.35">
      <c r="A65" s="1" t="s">
        <v>258</v>
      </c>
      <c r="B65" s="90" t="s">
        <v>245</v>
      </c>
      <c r="D65" s="90">
        <f>IF('Input &amp; Calculation Summary'!C215=0,(2 + 0.013* 'Input &amp; Calculation Summary'!C25)*'Input &amp; Calculation Summary'!C214,'Input &amp; Calculation Summary'!C215)</f>
        <v>0</v>
      </c>
      <c r="E65" s="90">
        <f>IF('Input &amp; Calculation Summary'!D215=0,(2 + 0.013* 'Input &amp; Calculation Summary'!D25)*'Input &amp; Calculation Summary'!D214,'Input &amp; Calculation Summary'!D215)</f>
        <v>0</v>
      </c>
      <c r="F65" s="90">
        <f>IF('Input &amp; Calculation Summary'!E215=0,(2 + 0.013* 'Input &amp; Calculation Summary'!E25)*'Input &amp; Calculation Summary'!E214,'Input &amp; Calculation Summary'!E215)</f>
        <v>0</v>
      </c>
      <c r="G65" s="90">
        <f>IF('Input &amp; Calculation Summary'!F215=0,(2 + 0.013* 'Input &amp; Calculation Summary'!F25)*'Input &amp; Calculation Summary'!F214,'Input &amp; Calculation Summary'!F215)</f>
        <v>0</v>
      </c>
      <c r="H65" s="90">
        <f>IF('Input &amp; Calculation Summary'!G215=0,(2 + 0.013* 'Input &amp; Calculation Summary'!G25)*'Input &amp; Calculation Summary'!G214,'Input &amp; Calculation Summary'!G215)</f>
        <v>0</v>
      </c>
      <c r="I65" s="314" t="s">
        <v>426</v>
      </c>
      <c r="J65" s="314" t="s">
        <v>427</v>
      </c>
    </row>
    <row r="66" spans="1:10" ht="13.5" x14ac:dyDescent="0.35">
      <c r="A66" s="1" t="s">
        <v>428</v>
      </c>
      <c r="B66" s="90" t="s">
        <v>327</v>
      </c>
      <c r="D66" s="315">
        <f>6.5*10^-4*'Input &amp; Calculation Summary'!C220* 'Input &amp; Calculation Summary'!C25* 'Input &amp; Calculation Summary'!C26 *'Input &amp; Calculation Summary'!C218</f>
        <v>498.40596000000005</v>
      </c>
      <c r="E66" s="315">
        <f>6.5*10^-4*'Input &amp; Calculation Summary'!D220* 'Input &amp; Calculation Summary'!D25* 'Input &amp; Calculation Summary'!D26 *'Input &amp; Calculation Summary'!D218</f>
        <v>498.40596000000005</v>
      </c>
      <c r="F66" s="315">
        <f>6.5*10^-4*'Input &amp; Calculation Summary'!E220* 'Input &amp; Calculation Summary'!E25* 'Input &amp; Calculation Summary'!E26 *'Input &amp; Calculation Summary'!E218</f>
        <v>211.45334340000002</v>
      </c>
      <c r="G66" s="315">
        <f>6.5*10^-4*'Input &amp; Calculation Summary'!F220* 'Input &amp; Calculation Summary'!F25* 'Input &amp; Calculation Summary'!F26 *'Input &amp; Calculation Summary'!F218</f>
        <v>89.343883200000008</v>
      </c>
      <c r="H66" s="315">
        <f>6.5*10^-4*'Input &amp; Calculation Summary'!G220* 'Input &amp; Calculation Summary'!G25* 'Input &amp; Calculation Summary'!G26 *'Input &amp; Calculation Summary'!G218</f>
        <v>89.343883200000008</v>
      </c>
      <c r="I66" s="314" t="s">
        <v>429</v>
      </c>
      <c r="J66" s="314" t="s">
        <v>430</v>
      </c>
    </row>
    <row r="67" spans="1:10" ht="13.5" x14ac:dyDescent="0.35">
      <c r="A67" s="1" t="s">
        <v>431</v>
      </c>
      <c r="B67" s="90" t="s">
        <v>327</v>
      </c>
      <c r="D67" s="315">
        <f>3.702*10^-4*'Input &amp; Calculation Summary'!C219* 'Input &amp; Calculation Summary'!C25* 'Input &amp; Calculation Summary'!C26 *'Input &amp; Calculation Summary'!C218</f>
        <v>283.86136368000001</v>
      </c>
      <c r="E67" s="315">
        <f>3.702*10^-4*'Input &amp; Calculation Summary'!D219* 'Input &amp; Calculation Summary'!D25* 'Input &amp; Calculation Summary'!D26 *'Input &amp; Calculation Summary'!D218</f>
        <v>283.86136368000001</v>
      </c>
      <c r="F67" s="315">
        <f>3.702*10^-4*'Input &amp; Calculation Summary'!E219* 'Input &amp; Calculation Summary'!E25* 'Input &amp; Calculation Summary'!E26 *'Input &amp; Calculation Summary'!E218</f>
        <v>120.43081188719999</v>
      </c>
      <c r="G67" s="315">
        <f>3.702*10^-4*'Input &amp; Calculation Summary'!F219* 'Input &amp; Calculation Summary'!F25* 'Input &amp; Calculation Summary'!F26 *'Input &amp; Calculation Summary'!F218</f>
        <v>50.884777785600001</v>
      </c>
      <c r="H67" s="315">
        <f>3.702*10^-4*'Input &amp; Calculation Summary'!G219* 'Input &amp; Calculation Summary'!G25* 'Input &amp; Calculation Summary'!G26 *'Input &amp; Calculation Summary'!G218</f>
        <v>50.884777785600001</v>
      </c>
      <c r="I67" s="302" t="s">
        <v>432</v>
      </c>
      <c r="J67" s="314" t="s">
        <v>329</v>
      </c>
    </row>
    <row r="68" spans="1:10" x14ac:dyDescent="0.3">
      <c r="C68" s="90"/>
      <c r="D68" s="236"/>
      <c r="E68" s="236"/>
      <c r="F68" s="236"/>
      <c r="G68" s="236"/>
      <c r="H68" s="236"/>
      <c r="I68" s="317"/>
    </row>
    <row r="69" spans="1:10" x14ac:dyDescent="0.3">
      <c r="A69" s="111"/>
      <c r="B69" s="111"/>
      <c r="C69" s="112"/>
      <c r="D69" s="112"/>
      <c r="E69" s="112"/>
      <c r="F69" s="112"/>
      <c r="G69" s="112"/>
      <c r="H69" s="112"/>
      <c r="I69" s="310"/>
    </row>
    <row r="70" spans="1:10" ht="20.5" thickBot="1" x14ac:dyDescent="0.45">
      <c r="A70" s="109" t="s">
        <v>433</v>
      </c>
      <c r="B70" s="1"/>
      <c r="C70" s="90"/>
      <c r="D70" s="155" t="s">
        <v>320</v>
      </c>
      <c r="E70" s="155" t="s">
        <v>321</v>
      </c>
      <c r="F70" s="155" t="s">
        <v>322</v>
      </c>
      <c r="G70" s="155" t="s">
        <v>323</v>
      </c>
      <c r="H70" s="155" t="s">
        <v>324</v>
      </c>
      <c r="I70" s="311"/>
    </row>
    <row r="71" spans="1:10" ht="13.5" x14ac:dyDescent="0.35">
      <c r="A71" s="232" t="s">
        <v>338</v>
      </c>
      <c r="C71" s="115"/>
      <c r="D71" s="231">
        <f>'Input &amp; Calculation Summary'!C46</f>
        <v>2015</v>
      </c>
      <c r="E71" s="231">
        <f>'Input &amp; Calculation Summary'!D46</f>
        <v>2015</v>
      </c>
      <c r="F71" s="231">
        <f>'Input &amp; Calculation Summary'!E46</f>
        <v>2015</v>
      </c>
      <c r="G71" s="231">
        <f>'Input &amp; Calculation Summary'!F46</f>
        <v>2015</v>
      </c>
      <c r="H71" s="231">
        <f>'Input &amp; Calculation Summary'!G46</f>
        <v>2015</v>
      </c>
      <c r="I71" s="318"/>
    </row>
    <row r="72" spans="1:10" ht="13.5" x14ac:dyDescent="0.35">
      <c r="A72" s="232"/>
      <c r="C72" s="115"/>
      <c r="D72" s="231"/>
      <c r="E72" s="231"/>
      <c r="F72" s="231"/>
      <c r="G72" s="231"/>
      <c r="H72" s="231"/>
      <c r="I72" s="318"/>
    </row>
    <row r="73" spans="1:10" ht="13.5" x14ac:dyDescent="0.35">
      <c r="A73" s="237" t="s">
        <v>434</v>
      </c>
      <c r="C73" s="115"/>
      <c r="D73" s="231"/>
      <c r="E73" s="231"/>
      <c r="F73" s="231"/>
      <c r="G73" s="231"/>
      <c r="H73" s="231"/>
      <c r="I73" s="318"/>
    </row>
    <row r="74" spans="1:10" x14ac:dyDescent="0.3">
      <c r="A74" s="303" t="s">
        <v>435</v>
      </c>
      <c r="B74" s="90" t="s">
        <v>303</v>
      </c>
      <c r="C74" s="115"/>
      <c r="D74" s="101">
        <f>IF('Input &amp; Calculation Summary'!C211=1,(38143*(D66/8.7)^0.417)*(0.915),0)*(388/357.6)*(IF('Input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305336.97133817215</v>
      </c>
      <c r="E74" s="101">
        <f>IF('Input &amp; Calculation Summary'!D211=1,(38143*(E66/8.7)^0.417)*(0.915),0)*(388/357.6)*(IF('Input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305336.97133817215</v>
      </c>
      <c r="F74" s="101">
        <f>IF('Input &amp; Calculation Summary'!E211=1,(38143*(F66/8.7)^0.417)*(0.915),0)*(388/357.6)*(IF('Input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213551.02378664003</v>
      </c>
      <c r="G74" s="101">
        <f>IF('Input &amp; Calculation Summary'!F211=1,(38143*(G66/8.7)^0.417)*(0.915),0)*(388/357.6)*(IF('Input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149101.22776115508</v>
      </c>
      <c r="H74" s="101">
        <f>IF('Input &amp; Calculation Summary'!G211=1,(38143*(H66/8.7)^0.417)*(0.915),0)*(388/357.6)*(IF('Input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149101.22776115508</v>
      </c>
      <c r="I74" s="314" t="s">
        <v>436</v>
      </c>
      <c r="J74" s="314" t="s">
        <v>437</v>
      </c>
    </row>
    <row r="75" spans="1:10" x14ac:dyDescent="0.3">
      <c r="A75" s="303" t="s">
        <v>438</v>
      </c>
      <c r="B75" s="90" t="s">
        <v>303</v>
      </c>
      <c r="C75" s="115"/>
      <c r="D75" s="101">
        <f>IF('Input &amp; Calculation Summary'!C211=1,(117809+10477*D64+53111*D65)*(0.915),0)*(388/357.6)*(IF('Input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453454.31828859058</v>
      </c>
      <c r="E75" s="101">
        <f>IF('Input &amp; Calculation Summary'!D211=1,(117809+10477*E64+53111*E65)*(0.915),0)*(388/357.6)*(IF('Input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453454.31828859058</v>
      </c>
      <c r="F75" s="101">
        <f>IF('Input &amp; Calculation Summary'!E211=1,(117809+10477*F64+53111*F65)*(0.915),0)*(388/357.6)*(IF('Input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453454.31828859058</v>
      </c>
      <c r="G75" s="101">
        <f>IF('Input &amp; Calculation Summary'!F211=1,(117809+10477*G64+53111*G65)*(0.915),0)*(388/357.6)*(IF('Input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453454.31828859058</v>
      </c>
      <c r="H75" s="101">
        <f>IF('Input &amp; Calculation Summary'!G211=1,(117809+10477*H64+53111*H65)*(0.915),0)*(388/357.6)*(IF('Input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453454.31828859058</v>
      </c>
      <c r="I75" s="314" t="s">
        <v>439</v>
      </c>
      <c r="J75" s="314" t="s">
        <v>440</v>
      </c>
    </row>
    <row r="76" spans="1:10" ht="26.5" x14ac:dyDescent="0.35">
      <c r="A76" s="303" t="s">
        <v>441</v>
      </c>
      <c r="B76" s="90" t="s">
        <v>303</v>
      </c>
      <c r="C76" s="115"/>
      <c r="D76" s="101">
        <f>IF('Input &amp; Calculation Summary'!C211=1,(96082+106*'Input &amp; Calculation Summary'!C25+898*D64+2433*D65)*(0.915),0)*(388/357.6)*(IF('Input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189651.77979865772</v>
      </c>
      <c r="E76" s="101">
        <f>IF('Input &amp; Calculation Summary'!D211=1,(96082+106*'Input &amp; Calculation Summary'!D25+898*E64+2433*E65)*(0.915),0)*(388/357.6)*(IF('Input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189651.77979865772</v>
      </c>
      <c r="F76" s="101">
        <f>IF('Input &amp; Calculation Summary'!E211=1,(96082+106*'Input &amp; Calculation Summary'!E25+898*F64+2433*F65)*(0.915),0)*(388/357.6)*(IF('Input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178513.55234899328</v>
      </c>
      <c r="G76" s="101">
        <f>IF('Input &amp; Calculation Summary'!F211=1,(96082+106*'Input &amp; Calculation Summary'!F25+898*G64+2433*G65)*(0.915),0)*(388/357.6)*(IF('Input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169571.59510067114</v>
      </c>
      <c r="H76" s="101">
        <f>IF('Input &amp; Calculation Summary'!G211=1,(96082+106*'Input &amp; Calculation Summary'!G25+898*H64+2433*H65)*(0.915),0)*(388/357.6)*(IF('Input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169571.59510067114</v>
      </c>
      <c r="I76" s="314" t="s">
        <v>442</v>
      </c>
      <c r="J76" s="314" t="s">
        <v>443</v>
      </c>
    </row>
    <row r="77" spans="1:10" ht="26.5" x14ac:dyDescent="0.3">
      <c r="A77" s="303" t="s">
        <v>444</v>
      </c>
      <c r="B77" s="90" t="s">
        <v>303</v>
      </c>
      <c r="C77" s="115"/>
      <c r="D77" s="101">
        <f>IF('Input &amp; Calculation Summary'!C211=1,(11.2*(Constants_CC!E$498*0.7302/60/29*(678+460))^0.772)*(0.915),0)*(388/357.6)*(IF('Input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352088.58275354549</v>
      </c>
      <c r="E77" s="101">
        <f>IF('Input &amp; Calculation Summary'!D211=1,(11.2*(Constants_CC!F$498*0.7302/60/29*(678+460))^0.772)*(0.915),0)*(388/357.6)*(IF('Input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940668.27585308312</v>
      </c>
      <c r="F77" s="101">
        <f>IF('Input &amp; Calculation Summary'!E211=1,(11.2*(Constants_CC!G$498*0.7302/60/29*(678+460))^0.772)*(0.915),0)*(388/357.6)*(IF('Input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573405.9037816436</v>
      </c>
      <c r="G77" s="101">
        <f>IF('Input &amp; Calculation Summary'!F211=1,(11.2*(Constants_CC!H$498*0.7302/60/29*(678+460))^0.772)*(0.915),0)*(388/357.6)*(IF('Input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213719.6012610693</v>
      </c>
      <c r="H77" s="101">
        <f>IF('Input &amp; Calculation Summary'!G211=1,(11.2*(Constants_CC!I$498*0.7302/60/29*(678+460))^0.772)*(0.915),0)*(388/357.6)*(IF('Input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213719.6012610693</v>
      </c>
      <c r="I77" s="314" t="s">
        <v>445</v>
      </c>
      <c r="J77" s="302" t="s">
        <v>446</v>
      </c>
    </row>
    <row r="78" spans="1:10" x14ac:dyDescent="0.3">
      <c r="A78" s="237" t="s">
        <v>447</v>
      </c>
      <c r="C78" s="115"/>
      <c r="D78" s="101"/>
      <c r="E78" s="101"/>
      <c r="F78" s="101"/>
      <c r="G78" s="101"/>
      <c r="H78" s="101"/>
      <c r="I78" s="314"/>
    </row>
    <row r="79" spans="1:10" ht="13.5" x14ac:dyDescent="0.35">
      <c r="A79" s="303" t="s">
        <v>448</v>
      </c>
      <c r="B79" s="90" t="s">
        <v>303</v>
      </c>
      <c r="C79" s="115"/>
      <c r="D79" s="101">
        <f>IF('Input &amp; Calculation Summary'!C211=2,(63822*('Input &amp; Calculation Summary'!C25)^0.6)*(0.655),0)*(388/357.6)*(IF('Input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0</v>
      </c>
      <c r="E79" s="101">
        <f>IF('Input &amp; Calculation Summary'!D211=2,(63822*('Input &amp; Calculation Summary'!D25)^0.6)*(0.655),0)*(388/357.6)*(IF('Input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0</v>
      </c>
      <c r="F79" s="101">
        <f>IF('Input &amp; Calculation Summary'!E211=2,(63822*('Input &amp; Calculation Summary'!E25)^0.6)*(0.655),0)*(388/357.6)*(IF('Input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0</v>
      </c>
      <c r="G79" s="101">
        <f>IF('Input &amp; Calculation Summary'!F211=2,(63822*('Input &amp; Calculation Summary'!F25)^0.6)*(0.655),0)*(388/357.6)*(IF('Input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0</v>
      </c>
      <c r="H79" s="101">
        <f>IF('Input &amp; Calculation Summary'!G211=2,(63822*('Input &amp; Calculation Summary'!G25)^0.6)*(0.655),0)*(388/357.6)*(IF('Input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0</v>
      </c>
      <c r="I79" s="314" t="s">
        <v>449</v>
      </c>
      <c r="J79" s="314" t="s">
        <v>450</v>
      </c>
    </row>
    <row r="80" spans="1:10" ht="26.5" x14ac:dyDescent="0.3">
      <c r="A80" s="303" t="s">
        <v>444</v>
      </c>
      <c r="B80" s="90" t="s">
        <v>303</v>
      </c>
      <c r="C80" s="115"/>
      <c r="D80" s="162">
        <f>IF('Input &amp; Calculation Summary'!C211=2,(11.2*(Constants_CC!E$498*0.7302/60/29*(678+460))^0.772)*(0.655),0)*(388/357.6)*(IF('Input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0</v>
      </c>
      <c r="E80" s="162">
        <f>IF('Input &amp; Calculation Summary'!D211=2,(11.2*(Constants_CC!F$498*0.7302/60/29*(678+460))^0.772)*(0.655),0)*(388/357.6)*(IF('Input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0</v>
      </c>
      <c r="F80" s="162">
        <f>IF('Input &amp; Calculation Summary'!E211=2,(11.2*(Constants_CC!G$498*0.7302/60/29*(678+460))^0.772)*(0.655),0)*(388/357.6)*(IF('Input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0</v>
      </c>
      <c r="G80" s="162">
        <f>IF('Input &amp; Calculation Summary'!F211=2,(11.2*(Constants_CC!H$498*0.7302/60/29*(678+460))^0.772)*(0.655),0)*(388/357.6)*(IF('Input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0</v>
      </c>
      <c r="H80" s="162">
        <f>IF('Input &amp; Calculation Summary'!G211=2,(11.2*(Constants_CC!I$498*0.7302/60/29*(678+460))^0.772)*(0.655),0)*(388/357.6)*(IF('Input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0</v>
      </c>
      <c r="I80" s="314" t="s">
        <v>451</v>
      </c>
      <c r="J80" s="302" t="s">
        <v>446</v>
      </c>
    </row>
    <row r="81" spans="1:10" ht="13.5" x14ac:dyDescent="0.35">
      <c r="A81" s="204" t="s">
        <v>366</v>
      </c>
      <c r="B81" s="90" t="s">
        <v>303</v>
      </c>
      <c r="C81" s="90"/>
      <c r="D81" s="101">
        <f>SUM(D74:D80)</f>
        <v>1300531.652178966</v>
      </c>
      <c r="E81" s="101">
        <f>SUM(E74:E80)</f>
        <v>1889111.3452785036</v>
      </c>
      <c r="F81" s="101">
        <f>SUM(F74:F80)</f>
        <v>1418924.7982058674</v>
      </c>
      <c r="G81" s="101">
        <f>SUM(G74:G80)</f>
        <v>985846.74241148611</v>
      </c>
      <c r="H81" s="101">
        <f>SUM(H74:H80)</f>
        <v>985846.74241148611</v>
      </c>
      <c r="J81" s="322" t="s">
        <v>452</v>
      </c>
    </row>
    <row r="82" spans="1:10" x14ac:dyDescent="0.3">
      <c r="C82" s="90"/>
    </row>
    <row r="83" spans="1:10" ht="13.5" x14ac:dyDescent="0.35">
      <c r="A83" s="237" t="s">
        <v>367</v>
      </c>
      <c r="B83" s="90" t="s">
        <v>303</v>
      </c>
      <c r="C83" s="90"/>
      <c r="D83" s="101">
        <f>D81*'Input &amp; Calculation Summary'!C39</f>
        <v>2080850.6434863457</v>
      </c>
      <c r="E83" s="101">
        <f>E81*'Input &amp; Calculation Summary'!D39</f>
        <v>3022578.152445606</v>
      </c>
      <c r="F83" s="101">
        <f>F81*'Input &amp; Calculation Summary'!E39</f>
        <v>2270279.6771293879</v>
      </c>
      <c r="G83" s="101">
        <f>G81*'Input &amp; Calculation Summary'!F39</f>
        <v>1577354.7878583779</v>
      </c>
      <c r="H83" s="101">
        <f>H81*'Input &amp; Calculation Summary'!G39</f>
        <v>1577354.7878583779</v>
      </c>
      <c r="J83" s="322" t="s">
        <v>368</v>
      </c>
    </row>
    <row r="84" spans="1:10" x14ac:dyDescent="0.3">
      <c r="A84" s="1" t="s">
        <v>369</v>
      </c>
      <c r="B84" s="90" t="s">
        <v>303</v>
      </c>
      <c r="C84" s="90"/>
      <c r="D84" s="101">
        <f>D83*'Input &amp; Calculation Summary'!C226</f>
        <v>104042.53217431728</v>
      </c>
      <c r="E84" s="101">
        <f>E83*'Input &amp; Calculation Summary'!D226</f>
        <v>151128.9076222803</v>
      </c>
      <c r="F84" s="101">
        <f>F83*'Input &amp; Calculation Summary'!E226</f>
        <v>113513.98385646939</v>
      </c>
      <c r="G84" s="101">
        <f>G83*'Input &amp; Calculation Summary'!F226</f>
        <v>78867.739392918898</v>
      </c>
      <c r="H84" s="101">
        <f>H83*'Input &amp; Calculation Summary'!G226</f>
        <v>78867.739392918898</v>
      </c>
      <c r="J84" s="322" t="s">
        <v>371</v>
      </c>
    </row>
    <row r="85" spans="1:10" x14ac:dyDescent="0.3">
      <c r="A85" s="1" t="s">
        <v>372</v>
      </c>
      <c r="B85" s="90" t="s">
        <v>303</v>
      </c>
      <c r="C85" s="90"/>
      <c r="D85" s="101">
        <f>D83*'Input &amp; Calculation Summary'!C227</f>
        <v>208085.06434863457</v>
      </c>
      <c r="E85" s="101">
        <f>E83*'Input &amp; Calculation Summary'!D227</f>
        <v>302257.8152445606</v>
      </c>
      <c r="F85" s="101">
        <f>F83*'Input &amp; Calculation Summary'!E227</f>
        <v>227027.96771293879</v>
      </c>
      <c r="G85" s="101">
        <f>G83*'Input &amp; Calculation Summary'!F227</f>
        <v>157735.4787858378</v>
      </c>
      <c r="H85" s="101">
        <f>H83*'Input &amp; Calculation Summary'!G227</f>
        <v>157735.4787858378</v>
      </c>
      <c r="J85" s="322" t="s">
        <v>374</v>
      </c>
    </row>
    <row r="86" spans="1:10" x14ac:dyDescent="0.3">
      <c r="A86" s="1" t="s">
        <v>375</v>
      </c>
      <c r="B86" s="90" t="s">
        <v>303</v>
      </c>
      <c r="C86" s="90"/>
      <c r="D86" s="162">
        <f>D83*'Input &amp; Calculation Summary'!C225</f>
        <v>416170.12869726913</v>
      </c>
      <c r="E86" s="162">
        <f>E83*'Input &amp; Calculation Summary'!D225</f>
        <v>604515.63048912119</v>
      </c>
      <c r="F86" s="162">
        <f>F83*'Input &amp; Calculation Summary'!E225</f>
        <v>454055.93542587757</v>
      </c>
      <c r="G86" s="162">
        <f>G83*'Input &amp; Calculation Summary'!F225</f>
        <v>315470.95757167559</v>
      </c>
      <c r="H86" s="162">
        <f>H83*'Input &amp; Calculation Summary'!G225</f>
        <v>315470.95757167559</v>
      </c>
      <c r="J86" s="325" t="s">
        <v>377</v>
      </c>
    </row>
    <row r="87" spans="1:10" ht="13.5" x14ac:dyDescent="0.35">
      <c r="A87" s="204" t="s">
        <v>378</v>
      </c>
      <c r="B87" s="90" t="s">
        <v>303</v>
      </c>
      <c r="C87" s="90"/>
      <c r="D87" s="101">
        <f>SUM(D83:D86)</f>
        <v>2809148.3687065667</v>
      </c>
      <c r="E87" s="101">
        <f>SUM(E83:E86)</f>
        <v>4080480.5058015683</v>
      </c>
      <c r="F87" s="101">
        <f>SUM(F83:F86)</f>
        <v>3064877.5641246736</v>
      </c>
      <c r="G87" s="101">
        <f>SUM(G83:G86)</f>
        <v>2129428.9636088102</v>
      </c>
      <c r="H87" s="101">
        <f>SUM(H83:H86)</f>
        <v>2129428.9636088102</v>
      </c>
      <c r="J87" s="322" t="s">
        <v>379</v>
      </c>
    </row>
    <row r="88" spans="1:10" ht="13.5" x14ac:dyDescent="0.35">
      <c r="A88" s="204" t="s">
        <v>380</v>
      </c>
      <c r="B88" s="90" t="s">
        <v>303</v>
      </c>
      <c r="C88" s="90"/>
      <c r="D88" s="101">
        <f>D87*(1+'Input &amp; Calculation Summary'!C$63)</f>
        <v>2893422.8197677638</v>
      </c>
      <c r="E88" s="101">
        <f>E87*(1+'Input &amp; Calculation Summary'!D$63)</f>
        <v>4202894.9209756153</v>
      </c>
      <c r="F88" s="101">
        <f>F87*(1+'Input &amp; Calculation Summary'!E$63)</f>
        <v>3156823.8910484137</v>
      </c>
      <c r="G88" s="101">
        <f>G87*(1+'Input &amp; Calculation Summary'!F$63)</f>
        <v>2193311.8325170744</v>
      </c>
      <c r="H88" s="101">
        <f>H87*(1+'Input &amp; Calculation Summary'!G$63)</f>
        <v>2193311.8325170744</v>
      </c>
    </row>
    <row r="89" spans="1:10" ht="26.5" x14ac:dyDescent="0.35">
      <c r="A89" s="204" t="s">
        <v>381</v>
      </c>
      <c r="B89" s="90" t="s">
        <v>303</v>
      </c>
      <c r="C89" s="90"/>
      <c r="D89" s="101">
        <f>D88*VLOOKUP('Input &amp; Calculation Summary'!C$25,Constants_CC!$B$557:$E$562,4)</f>
        <v>2893422.8197677666</v>
      </c>
      <c r="E89" s="101">
        <f>E88*VLOOKUP('Input &amp; Calculation Summary'!D$25,Constants_CC!$B$557:$E$562,4)</f>
        <v>4202894.920975619</v>
      </c>
      <c r="F89" s="101">
        <f>F88*VLOOKUP('Input &amp; Calculation Summary'!E$25,Constants_CC!$B$557:$E$562,4)</f>
        <v>3156823.8910484165</v>
      </c>
      <c r="G89" s="101">
        <f>G88*VLOOKUP('Input &amp; Calculation Summary'!F$25,Constants_CC!$B$557:$E$562,4)</f>
        <v>2193311.8325170763</v>
      </c>
      <c r="H89" s="101">
        <f>H88*VLOOKUP('Input &amp; Calculation Summary'!G$25,Constants_CC!$B$557:$E$562,4)</f>
        <v>2193311.8325170763</v>
      </c>
      <c r="J89" s="322" t="s">
        <v>382</v>
      </c>
    </row>
    <row r="90" spans="1:10" x14ac:dyDescent="0.3">
      <c r="C90" s="90"/>
      <c r="D90" s="101"/>
      <c r="E90" s="101"/>
      <c r="F90" s="101"/>
      <c r="G90" s="101"/>
      <c r="H90" s="101"/>
    </row>
    <row r="91" spans="1:10" ht="26.5" x14ac:dyDescent="0.35">
      <c r="A91" s="204" t="s">
        <v>383</v>
      </c>
      <c r="B91" s="90" t="s">
        <v>303</v>
      </c>
      <c r="C91" s="90"/>
      <c r="D91" s="162">
        <f>D88*VLOOKUP('Input &amp; Calculation Summary'!C$25,Constants_CC!$B$557:$E$562,3)</f>
        <v>0</v>
      </c>
      <c r="E91" s="162">
        <f>E88*VLOOKUP('Input &amp; Calculation Summary'!D$25,Constants_CC!$B$557:$E$562,3)</f>
        <v>0</v>
      </c>
      <c r="F91" s="162">
        <f>F88*VLOOKUP('Input &amp; Calculation Summary'!E$25,Constants_CC!$B$557:$E$562,3)</f>
        <v>0</v>
      </c>
      <c r="G91" s="162">
        <f>G88*VLOOKUP('Input &amp; Calculation Summary'!F$25,Constants_CC!$B$557:$E$562,3)</f>
        <v>0</v>
      </c>
      <c r="H91" s="162">
        <f>H88*VLOOKUP('Input &amp; Calculation Summary'!G$25,Constants_CC!$B$557:$E$562,3)</f>
        <v>0</v>
      </c>
      <c r="J91" s="322" t="s">
        <v>384</v>
      </c>
    </row>
    <row r="92" spans="1:10" x14ac:dyDescent="0.3">
      <c r="C92" s="90"/>
    </row>
    <row r="93" spans="1:10" ht="13.5" x14ac:dyDescent="0.35">
      <c r="A93" s="204" t="s">
        <v>385</v>
      </c>
      <c r="B93" s="90" t="s">
        <v>303</v>
      </c>
      <c r="C93" s="90"/>
      <c r="D93" s="101">
        <f>D89+D91</f>
        <v>2893422.8197677666</v>
      </c>
      <c r="E93" s="101">
        <f>E89+E91</f>
        <v>4202894.920975619</v>
      </c>
      <c r="F93" s="101">
        <f>F89+F91</f>
        <v>3156823.8910484165</v>
      </c>
      <c r="G93" s="101">
        <f>G89+G91</f>
        <v>2193311.8325170763</v>
      </c>
      <c r="H93" s="101">
        <f>H89+H91</f>
        <v>2193311.8325170763</v>
      </c>
      <c r="J93" s="322" t="s">
        <v>386</v>
      </c>
    </row>
    <row r="94" spans="1:10" x14ac:dyDescent="0.3">
      <c r="A94" s="122" t="s">
        <v>387</v>
      </c>
      <c r="B94" s="90" t="s">
        <v>303</v>
      </c>
      <c r="C94" s="90"/>
      <c r="D94" s="101">
        <f>0.02*D93+(D105+D106)/12+(D107+D109)/(12*'Input &amp; Calculation Summary'!C27)</f>
        <v>114120.76421246854</v>
      </c>
      <c r="E94" s="101">
        <f>0.02*E93+(E105+E106)/12+(E107+E109)/(12*'Input &amp; Calculation Summary'!D27)</f>
        <v>141899.37140799436</v>
      </c>
      <c r="F94" s="101">
        <f>0.02*F93+(F105+F106)/12+(F107+F109)/(12*'Input &amp; Calculation Summary'!E27)</f>
        <v>96147.70037933212</v>
      </c>
      <c r="G94" s="101">
        <f>0.02*G93+(G105+G106)/12+(G107+G109)/(12*'Input &amp; Calculation Summary'!F27)</f>
        <v>65682.137536784139</v>
      </c>
      <c r="H94" s="101">
        <f>0.02*H93+(H105+H106)/12+(H107+H109)/(12*'Input &amp; Calculation Summary'!G27)</f>
        <v>65682.137536784139</v>
      </c>
      <c r="I94" s="323"/>
      <c r="J94" s="322" t="s">
        <v>453</v>
      </c>
    </row>
    <row r="95" spans="1:10" ht="26" x14ac:dyDescent="0.3">
      <c r="A95" s="122" t="s">
        <v>454</v>
      </c>
      <c r="B95" s="90" t="s">
        <v>303</v>
      </c>
      <c r="C95" s="90"/>
      <c r="D95" s="101">
        <f>IF( 'Input &amp; Calculation Summary'!C211=1,60*24/2000*D66*'Input &amp; Calculation Summary'!C221,IF('Input &amp; Calculation Summary'!C211=2,60*24/2000*D67*'Input &amp; Calculation Summary'!C222,0))*'Input &amp; Calculation Summary'!C27</f>
        <v>52470.484888536004</v>
      </c>
      <c r="E95" s="101">
        <f>IF( 'Input &amp; Calculation Summary'!D211=1,60*24/2000*E66*'Input &amp; Calculation Summary'!D221,IF('Input &amp; Calculation Summary'!D211=2,60*24/2000*E67*'Input &amp; Calculation Summary'!D222,0))*'Input &amp; Calculation Summary'!D27</f>
        <v>52470.484888536004</v>
      </c>
      <c r="F95" s="101">
        <f>IF( 'Input &amp; Calculation Summary'!E211=1,60*24/2000*F66*'Input &amp; Calculation Summary'!E221,IF('Input &amp; Calculation Summary'!E211=2,60*24/2000*F67*'Input &amp; Calculation Summary'!E222,0))*'Input &amp; Calculation Summary'!E27</f>
        <v>22261.089051784442</v>
      </c>
      <c r="G95" s="101">
        <f>IF( 'Input &amp; Calculation Summary'!F211=1,60*24/2000*G66*'Input &amp; Calculation Summary'!F221,IF('Input &amp; Calculation Summary'!F211=2,60*24/2000*G67*'Input &amp; Calculation Summary'!F222,0))*'Input &amp; Calculation Summary'!F27</f>
        <v>9405.8202540931215</v>
      </c>
      <c r="H95" s="101">
        <f>IF( 'Input &amp; Calculation Summary'!G211=1,60*24/2000*H66*'Input &amp; Calculation Summary'!G221,IF('Input &amp; Calculation Summary'!G211=2,60*24/2000*H67*'Input &amp; Calculation Summary'!G222,0))*'Input &amp; Calculation Summary'!G27</f>
        <v>9405.8202540931215</v>
      </c>
      <c r="J95" s="322" t="s">
        <v>455</v>
      </c>
    </row>
    <row r="96" spans="1:10" x14ac:dyDescent="0.3">
      <c r="C96" s="90"/>
    </row>
    <row r="97" spans="1:10" ht="26.5" x14ac:dyDescent="0.35">
      <c r="A97" s="204" t="s">
        <v>302</v>
      </c>
      <c r="B97" s="90" t="s">
        <v>303</v>
      </c>
      <c r="C97" s="90"/>
      <c r="D97" s="202">
        <f>SUM(D93:D95)</f>
        <v>3060014.0688687712</v>
      </c>
      <c r="E97" s="202">
        <f>SUM(E93:E95)</f>
        <v>4397264.777272149</v>
      </c>
      <c r="F97" s="202">
        <f>SUM(F93:F95)</f>
        <v>3275232.680479533</v>
      </c>
      <c r="G97" s="202">
        <f>SUM(G93:G95)</f>
        <v>2268399.7903079535</v>
      </c>
      <c r="H97" s="202">
        <f>SUM(H93:H95)</f>
        <v>2268399.7903079535</v>
      </c>
      <c r="J97" s="322" t="s">
        <v>396</v>
      </c>
    </row>
    <row r="98" spans="1:10" ht="13.5" x14ac:dyDescent="0.35">
      <c r="A98" s="204"/>
      <c r="B98" s="90" t="s">
        <v>304</v>
      </c>
      <c r="C98" s="90"/>
      <c r="D98" s="242">
        <f>D97/('Input &amp; Calculation Summary'!C25*1000)</f>
        <v>20.400093792458474</v>
      </c>
      <c r="E98" s="242">
        <f>E97/('Input &amp; Calculation Summary'!D25*1000)</f>
        <v>29.31509851514766</v>
      </c>
      <c r="F98" s="242">
        <f>F97/('Input &amp; Calculation Summary'!E25*1000)</f>
        <v>41.458641525057381</v>
      </c>
      <c r="G98" s="242">
        <f>G97/('Input &amp; Calculation Summary'!F25*1000)</f>
        <v>103.10908137763425</v>
      </c>
      <c r="H98" s="242">
        <f>H97/('Input &amp; Calculation Summary'!G25*1000)</f>
        <v>103.10908137763425</v>
      </c>
      <c r="J98" s="326" t="s">
        <v>397</v>
      </c>
    </row>
    <row r="99" spans="1:10" ht="13.5" x14ac:dyDescent="0.35">
      <c r="A99" s="232"/>
      <c r="C99" s="115"/>
      <c r="D99" s="231"/>
      <c r="E99" s="231"/>
      <c r="F99" s="231"/>
      <c r="G99" s="231"/>
      <c r="H99" s="231"/>
      <c r="I99" s="318"/>
    </row>
    <row r="100" spans="1:10" ht="13.5" x14ac:dyDescent="0.35">
      <c r="A100" s="232"/>
      <c r="C100" s="115"/>
      <c r="D100" s="231"/>
      <c r="E100" s="231"/>
      <c r="F100" s="231"/>
      <c r="G100" s="231"/>
      <c r="H100" s="231"/>
      <c r="I100" s="318"/>
    </row>
    <row r="101" spans="1:10" x14ac:dyDescent="0.3">
      <c r="A101" s="111"/>
      <c r="B101" s="112"/>
      <c r="C101" s="112"/>
      <c r="D101" s="112"/>
      <c r="E101" s="112"/>
      <c r="F101" s="112"/>
      <c r="G101" s="112"/>
      <c r="H101" s="112"/>
      <c r="I101" s="310"/>
    </row>
    <row r="102" spans="1:10" ht="18" thickBot="1" x14ac:dyDescent="0.4">
      <c r="A102" s="241" t="s">
        <v>456</v>
      </c>
      <c r="C102" s="90"/>
      <c r="D102" s="155" t="s">
        <v>320</v>
      </c>
      <c r="E102" s="155" t="s">
        <v>321</v>
      </c>
      <c r="F102" s="155" t="s">
        <v>322</v>
      </c>
      <c r="G102" s="155" t="s">
        <v>323</v>
      </c>
      <c r="H102" s="155" t="s">
        <v>324</v>
      </c>
      <c r="I102" s="327"/>
    </row>
    <row r="103" spans="1:10" ht="13.5" x14ac:dyDescent="0.35">
      <c r="A103" s="232" t="s">
        <v>338</v>
      </c>
      <c r="C103" s="115"/>
      <c r="D103" s="231">
        <f>'Input &amp; Calculation Summary'!C46</f>
        <v>2015</v>
      </c>
      <c r="E103" s="231">
        <f>'Input &amp; Calculation Summary'!D46</f>
        <v>2015</v>
      </c>
      <c r="F103" s="231">
        <f>'Input &amp; Calculation Summary'!E46</f>
        <v>2015</v>
      </c>
      <c r="G103" s="231">
        <f>'Input &amp; Calculation Summary'!F46</f>
        <v>2015</v>
      </c>
      <c r="H103" s="231">
        <f>'Input &amp; Calculation Summary'!G46</f>
        <v>2015</v>
      </c>
      <c r="I103" s="318"/>
    </row>
    <row r="105" spans="1:10" x14ac:dyDescent="0.3">
      <c r="A105" s="1" t="s">
        <v>457</v>
      </c>
      <c r="B105" s="90" t="s">
        <v>400</v>
      </c>
      <c r="D105" s="305">
        <f>0.25* 8760*'Input &amp; Calculation Summary'!C64</f>
        <v>137970</v>
      </c>
      <c r="E105" s="305">
        <f>0.25* 8760*'Input &amp; Calculation Summary'!D64</f>
        <v>137970</v>
      </c>
      <c r="F105" s="305">
        <f>0.25* 8760*'Input &amp; Calculation Summary'!E64</f>
        <v>137970</v>
      </c>
      <c r="G105" s="305">
        <f>0.25* 8760*'Input &amp; Calculation Summary'!F64</f>
        <v>137970</v>
      </c>
      <c r="H105" s="305">
        <f>0.25* 8760*'Input &amp; Calculation Summary'!G64</f>
        <v>137970</v>
      </c>
      <c r="I105" s="314" t="s">
        <v>458</v>
      </c>
      <c r="J105" s="314" t="s">
        <v>459</v>
      </c>
    </row>
    <row r="106" spans="1:10" x14ac:dyDescent="0.3">
      <c r="A106" s="1" t="s">
        <v>460</v>
      </c>
      <c r="B106" s="90" t="s">
        <v>400</v>
      </c>
      <c r="D106" s="305">
        <f>'Input &amp; Calculation Summary'!C224* D87</f>
        <v>42137.225530598502</v>
      </c>
      <c r="E106" s="305">
        <f>'Input &amp; Calculation Summary'!D224* E87</f>
        <v>61207.20758702352</v>
      </c>
      <c r="F106" s="305">
        <f>'Input &amp; Calculation Summary'!E224* F87</f>
        <v>45973.163461870099</v>
      </c>
      <c r="G106" s="305">
        <f>'Input &amp; Calculation Summary'!F224* G87</f>
        <v>31941.434454132152</v>
      </c>
      <c r="H106" s="305">
        <f>'Input &amp; Calculation Summary'!G224* H87</f>
        <v>31941.434454132152</v>
      </c>
      <c r="I106" s="314" t="s">
        <v>461</v>
      </c>
      <c r="J106" s="314" t="s">
        <v>462</v>
      </c>
    </row>
    <row r="107" spans="1:10" ht="40.5" x14ac:dyDescent="0.35">
      <c r="A107" s="1" t="s">
        <v>463</v>
      </c>
      <c r="B107" s="90" t="s">
        <v>400</v>
      </c>
      <c r="D107" s="313">
        <f>IF('Input &amp; Calculation Summary'!C211=1,D66*8760* 'Input &amp; Calculation Summary'!C27/2000*'Input &amp; Calculation Summary'!C221,IF('Input &amp; Calculation Summary'!C211=2,D67*8760* 'Input &amp; Calculation Summary'!C27/2000*'Input &amp; Calculation Summary'!C222,))</f>
        <v>319195.44973859406</v>
      </c>
      <c r="E107" s="313">
        <f>IF('Input &amp; Calculation Summary'!D211=1,E66*8760* 'Input &amp; Calculation Summary'!D27/2000*'Input &amp; Calculation Summary'!D221,IF('Input &amp; Calculation Summary'!D211=2,E67*8760* 'Input &amp; Calculation Summary'!D27/2000*'Input &amp; Calculation Summary'!D222,))</f>
        <v>319195.44973859406</v>
      </c>
      <c r="F107" s="313">
        <f>IF('Input &amp; Calculation Summary'!E211=1,F66*8760* 'Input &amp; Calculation Summary'!E27/2000*'Input &amp; Calculation Summary'!E221,IF('Input &amp; Calculation Summary'!E211=2,F67*8760* 'Input &amp; Calculation Summary'!E27/2000*'Input &amp; Calculation Summary'!E222,))</f>
        <v>135421.625065022</v>
      </c>
      <c r="G107" s="313">
        <f>IF('Input &amp; Calculation Summary'!F211=1,G66*8760* 'Input &amp; Calculation Summary'!F27/2000*'Input &amp; Calculation Summary'!F221,IF('Input &amp; Calculation Summary'!F211=2,G67*8760* 'Input &amp; Calculation Summary'!F27/2000*'Input &amp; Calculation Summary'!F222,))</f>
        <v>57218.739879066481</v>
      </c>
      <c r="H107" s="313">
        <f>IF('Input &amp; Calculation Summary'!G211=1,H66*8760* 'Input &amp; Calculation Summary'!G27/2000*'Input &amp; Calculation Summary'!G221,IF('Input &amp; Calculation Summary'!G211=2,H67*8760* 'Input &amp; Calculation Summary'!G27/2000*'Input &amp; Calculation Summary'!G222,))</f>
        <v>57218.739879066481</v>
      </c>
      <c r="I107" s="314" t="s">
        <v>464</v>
      </c>
      <c r="J107" s="314" t="s">
        <v>465</v>
      </c>
    </row>
    <row r="108" spans="1:10" ht="54" x14ac:dyDescent="0.35">
      <c r="A108" s="1" t="s">
        <v>466</v>
      </c>
      <c r="B108" s="90" t="s">
        <v>400</v>
      </c>
      <c r="D108" s="313">
        <f>IF('Input &amp; Calculation Summary'!C211=1,(5.97 + 0.29*D64 + 0.87*D65) *8760* 'Input &amp; Calculation Summary'!C27*'Input &amp; Calculation Summary'!C65/1000, IF('Input &amp; Calculation Summary'!C211=2, IF('Input &amp; Calculation Summary'!C216=1,('Input &amp; Calculation Summary'!C25* 0.12 * 8760 * 'Input &amp; Calculation Summary'!C27*'Input &amp; Calculation Summary'!C65/1000),('Input &amp; Calculation Summary'!C25 *4.23 * 8760 * 'Input &amp; Calculation Summary'!C27*'Input &amp; Calculation Summary'!C65/1000)),))</f>
        <v>1592.8965000000001</v>
      </c>
      <c r="E108" s="313">
        <f>IF('Input &amp; Calculation Summary'!D211=1,(5.97 + 0.29*E64 + 0.87*E65) *8760* 'Input &amp; Calculation Summary'!D27*'Input &amp; Calculation Summary'!D65/1000, IF('Input &amp; Calculation Summary'!D211=2, IF('Input &amp; Calculation Summary'!D216=1,('Input &amp; Calculation Summary'!D25* 0.12 * 8760 * 'Input &amp; Calculation Summary'!D27*'Input &amp; Calculation Summary'!D65/1000),('Input &amp; Calculation Summary'!D25 *4.23 * 8760 * 'Input &amp; Calculation Summary'!D27*'Input &amp; Calculation Summary'!D65/1000)),))</f>
        <v>1592.8965000000001</v>
      </c>
      <c r="F108" s="313">
        <f>IF('Input &amp; Calculation Summary'!E211=1,(5.97 + 0.29*F64 + 0.87*F65) *8760* 'Input &amp; Calculation Summary'!E27*'Input &amp; Calculation Summary'!E65/1000, IF('Input &amp; Calculation Summary'!E211=2, IF('Input &amp; Calculation Summary'!E216=1,('Input &amp; Calculation Summary'!E25* 0.12 * 8760 * 'Input &amp; Calculation Summary'!E27*'Input &amp; Calculation Summary'!E65/1000),('Input &amp; Calculation Summary'!E25 *4.23 * 8760 * 'Input &amp; Calculation Summary'!E27*'Input &amp; Calculation Summary'!E65/1000)),))</f>
        <v>1592.8965000000001</v>
      </c>
      <c r="G108" s="313">
        <f>IF('Input &amp; Calculation Summary'!F211=1,(5.97 + 0.29*G64 + 0.87*G65) *8760* 'Input &amp; Calculation Summary'!F27*'Input &amp; Calculation Summary'!F65/1000, IF('Input &amp; Calculation Summary'!F211=2, IF('Input &amp; Calculation Summary'!F216=1,('Input &amp; Calculation Summary'!F25* 0.12 * 8760 * 'Input &amp; Calculation Summary'!F27*'Input &amp; Calculation Summary'!F65/1000),('Input &amp; Calculation Summary'!F25 *4.23 * 8760 * 'Input &amp; Calculation Summary'!F27*'Input &amp; Calculation Summary'!F65/1000)),))</f>
        <v>1592.8965000000001</v>
      </c>
      <c r="H108" s="313">
        <f>IF('Input &amp; Calculation Summary'!G211=1,(5.97 + 0.29*H64 + 0.87*H65) *8760* 'Input &amp; Calculation Summary'!G27*'Input &amp; Calculation Summary'!G65/1000, IF('Input &amp; Calculation Summary'!G211=2, IF('Input &amp; Calculation Summary'!G216=1,('Input &amp; Calculation Summary'!G25* 0.12 * 8760 * 'Input &amp; Calculation Summary'!G27*'Input &amp; Calculation Summary'!G65/1000),('Input &amp; Calculation Summary'!G25 *4.23 * 8760 * 'Input &amp; Calculation Summary'!G27*'Input &amp; Calculation Summary'!G65/1000)),))</f>
        <v>1592.8965000000001</v>
      </c>
      <c r="I108" s="314" t="s">
        <v>467</v>
      </c>
      <c r="J108" s="302" t="s">
        <v>468</v>
      </c>
    </row>
    <row r="109" spans="1:10" ht="27" x14ac:dyDescent="0.35">
      <c r="A109" s="1" t="s">
        <v>469</v>
      </c>
      <c r="B109" s="90" t="s">
        <v>400</v>
      </c>
      <c r="D109" s="305">
        <f>IF('Input &amp; Calculation Summary'!C211=1,(1 * D64 + 2.5*D65) *60 *8760* 'Input &amp; Calculation Summary'!C27/1000*'Input &amp; Calculation Summary'!C223,0)</f>
        <v>2502.85464</v>
      </c>
      <c r="E109" s="305">
        <f>IF('Input &amp; Calculation Summary'!D211=1,(1 * E64 + 2.5*E65) *60 *8760* 'Input &amp; Calculation Summary'!D27/1000*'Input &amp; Calculation Summary'!D223,0)</f>
        <v>2502.85464</v>
      </c>
      <c r="F109" s="305">
        <f>IF('Input &amp; Calculation Summary'!E211=1,(1 * F64 + 2.5*F65) *60 *8760* 'Input &amp; Calculation Summary'!E27/1000*'Input &amp; Calculation Summary'!E223,0)</f>
        <v>2502.85464</v>
      </c>
      <c r="G109" s="305">
        <f>IF('Input &amp; Calculation Summary'!F211=1,(1 * G64 + 2.5*G65) *60 *8760* 'Input &amp; Calculation Summary'!F27/1000*'Input &amp; Calculation Summary'!F223,0)</f>
        <v>2502.85464</v>
      </c>
      <c r="H109" s="305">
        <f>IF('Input &amp; Calculation Summary'!G211=1,(1 * H64 + 2.5*H65) *60 *8760* 'Input &amp; Calculation Summary'!G27/1000*'Input &amp; Calculation Summary'!G223,0)</f>
        <v>2502.85464</v>
      </c>
      <c r="I109" s="314" t="s">
        <v>470</v>
      </c>
      <c r="J109" s="314" t="s">
        <v>471</v>
      </c>
    </row>
    <row r="110" spans="1:10" ht="27" customHeight="1" x14ac:dyDescent="0.35">
      <c r="A110" s="1" t="s">
        <v>472</v>
      </c>
      <c r="B110" s="90" t="s">
        <v>400</v>
      </c>
      <c r="D110" s="305">
        <f>IF('Input &amp; Calculation Summary'!C211=2, IF('Input &amp; Calculation Summary'!C216=1,'Input &amp; Calculation Summary'!C25 * 99.2 * 8760* 'Input &amp; Calculation Summary'!C27/1000*'Input &amp; Calculation Summary'!C66,0),0)</f>
        <v>0</v>
      </c>
      <c r="E110" s="305">
        <f>IF('Input &amp; Calculation Summary'!D211=2, IF('Input &amp; Calculation Summary'!D216=1,'Input &amp; Calculation Summary'!D25 * 99.2 * 8760* 'Input &amp; Calculation Summary'!D27/1000*'Input &amp; Calculation Summary'!D66,0),0)</f>
        <v>0</v>
      </c>
      <c r="F110" s="305">
        <f>IF('Input &amp; Calculation Summary'!E211=2, IF('Input &amp; Calculation Summary'!E216=1,'Input &amp; Calculation Summary'!E25 * 99.2 * 8760* 'Input &amp; Calculation Summary'!E27/1000*'Input &amp; Calculation Summary'!E66,0),0)</f>
        <v>0</v>
      </c>
      <c r="G110" s="305">
        <f>IF('Input &amp; Calculation Summary'!F211=2, IF('Input &amp; Calculation Summary'!F216=1,'Input &amp; Calculation Summary'!F25 * 99.2 * 8760* 'Input &amp; Calculation Summary'!F27/1000*'Input &amp; Calculation Summary'!F66,0),0)</f>
        <v>0</v>
      </c>
      <c r="H110" s="305">
        <f>IF('Input &amp; Calculation Summary'!G211=2, IF('Input &amp; Calculation Summary'!G216=1,'Input &amp; Calculation Summary'!G25 * 99.2 * 8760* 'Input &amp; Calculation Summary'!G27/1000*'Input &amp; Calculation Summary'!G66,0),0)</f>
        <v>0</v>
      </c>
      <c r="I110" s="347" t="s">
        <v>473</v>
      </c>
      <c r="J110" s="302" t="s">
        <v>474</v>
      </c>
    </row>
    <row r="111" spans="1:10" x14ac:dyDescent="0.3">
      <c r="A111" s="237" t="s">
        <v>421</v>
      </c>
      <c r="B111" s="90" t="s">
        <v>400</v>
      </c>
      <c r="D111" s="344">
        <f>SUM(D105:D110)</f>
        <v>503398.4264091925</v>
      </c>
      <c r="E111" s="344">
        <f>SUM(E105:E110)</f>
        <v>522468.40846561757</v>
      </c>
      <c r="F111" s="344">
        <f>SUM(F105:F110)</f>
        <v>323460.53966689203</v>
      </c>
      <c r="G111" s="344">
        <f>SUM(G105:G110)</f>
        <v>231225.92547319864</v>
      </c>
      <c r="H111" s="344">
        <f>SUM(H105:H110)</f>
        <v>231225.92547319864</v>
      </c>
      <c r="I111" s="314"/>
      <c r="J111" s="314"/>
    </row>
    <row r="112" spans="1:10" x14ac:dyDescent="0.3">
      <c r="A112" s="237"/>
      <c r="D112" s="344"/>
      <c r="E112" s="344"/>
      <c r="F112" s="344"/>
      <c r="G112" s="344"/>
      <c r="H112" s="344"/>
      <c r="I112" s="314"/>
      <c r="J112" s="314"/>
    </row>
    <row r="113" spans="1:10" x14ac:dyDescent="0.3">
      <c r="A113" s="237"/>
      <c r="D113" s="344"/>
      <c r="E113" s="344"/>
      <c r="F113" s="344"/>
      <c r="G113" s="344"/>
      <c r="H113" s="344"/>
      <c r="I113" s="314"/>
      <c r="J113" s="314"/>
    </row>
    <row r="114" spans="1:10" x14ac:dyDescent="0.3">
      <c r="D114" s="313"/>
      <c r="E114" s="313"/>
      <c r="F114" s="313"/>
      <c r="G114" s="313"/>
      <c r="H114" s="313"/>
      <c r="I114" s="314"/>
      <c r="J114" s="314"/>
    </row>
    <row r="115" spans="1:10" x14ac:dyDescent="0.3">
      <c r="A115" s="328"/>
      <c r="B115" s="329"/>
      <c r="C115" s="329"/>
      <c r="D115" s="330"/>
      <c r="E115" s="330"/>
      <c r="F115" s="330"/>
      <c r="G115" s="330"/>
      <c r="H115" s="330"/>
      <c r="I115" s="331"/>
      <c r="J115" s="332"/>
    </row>
    <row r="116" spans="1:10" x14ac:dyDescent="0.3">
      <c r="A116" s="111"/>
      <c r="B116" s="111"/>
      <c r="C116" s="112"/>
      <c r="D116" s="112"/>
      <c r="E116" s="112"/>
      <c r="F116" s="112"/>
      <c r="G116" s="112"/>
      <c r="H116" s="112"/>
    </row>
    <row r="117" spans="1:10" ht="20.5" thickBot="1" x14ac:dyDescent="0.45">
      <c r="A117" s="109" t="s">
        <v>475</v>
      </c>
      <c r="B117" s="1"/>
      <c r="C117" s="90"/>
      <c r="D117" s="155" t="s">
        <v>320</v>
      </c>
      <c r="E117" s="155" t="s">
        <v>321</v>
      </c>
      <c r="F117" s="155" t="s">
        <v>322</v>
      </c>
      <c r="G117" s="155" t="s">
        <v>323</v>
      </c>
      <c r="H117" s="155" t="s">
        <v>324</v>
      </c>
    </row>
    <row r="118" spans="1:10" ht="20" x14ac:dyDescent="0.4">
      <c r="A118" s="109"/>
      <c r="B118" s="1"/>
      <c r="C118" s="90"/>
    </row>
    <row r="119" spans="1:10" ht="13.5" x14ac:dyDescent="0.35">
      <c r="A119" s="232" t="s">
        <v>338</v>
      </c>
      <c r="C119" s="115"/>
      <c r="D119" s="231">
        <f>'Input &amp; Calculation Summary'!C46</f>
        <v>2015</v>
      </c>
      <c r="E119" s="231">
        <f>'Input &amp; Calculation Summary'!D46</f>
        <v>2015</v>
      </c>
      <c r="F119" s="231">
        <f>'Input &amp; Calculation Summary'!E46</f>
        <v>2015</v>
      </c>
      <c r="G119" s="231">
        <f>'Input &amp; Calculation Summary'!F46</f>
        <v>2015</v>
      </c>
      <c r="H119" s="231">
        <f>'Input &amp; Calculation Summary'!G46</f>
        <v>2015</v>
      </c>
      <c r="I119" s="318"/>
    </row>
    <row r="120" spans="1:10" ht="13.5" x14ac:dyDescent="0.35">
      <c r="A120" s="232"/>
      <c r="C120" s="115"/>
      <c r="D120" s="231"/>
      <c r="E120" s="231"/>
      <c r="F120" s="231"/>
      <c r="G120" s="231"/>
      <c r="H120" s="231"/>
      <c r="I120" s="318"/>
    </row>
    <row r="121" spans="1:10" ht="65" x14ac:dyDescent="0.3">
      <c r="A121" s="303" t="s">
        <v>476</v>
      </c>
      <c r="B121" s="60" t="s">
        <v>303</v>
      </c>
      <c r="C121" s="345"/>
      <c r="D121" s="202">
        <f>IF('Input &amp; Calculation Summary'!C232="T",IF('Input &amp; Calculation Summary'!C233="H",57.04*(300/'Input &amp; Calculation Summary'!C25)^0.679, IF('Input &amp; Calculation Summary'!C233="L",11.71,21.2*(300/'Input &amp; Calculation Summary'!C25)^0.35)), IF('Input &amp; Calculation Summary'!C232="W",IF('Input &amp; Calculation Summary'!C233="H",27.72*(300/'Input &amp; Calculation Summary'!C25)^0.573, IF('Input &amp; Calculation Summary'!C233="L",6.53*(300/'Input &amp; Calculation Summary'!C25)^0.857,15.37*(300/'Input &amp; Calculation Summary'!C25)^0.35))))*1000*'Input &amp; Calculation Summary'!C25*(388/357.6)*(IF('Input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22156487.751866493</v>
      </c>
      <c r="E121" s="202">
        <f>IF('Input &amp; Calculation Summary'!D232="T",IF('Input &amp; Calculation Summary'!D233="H",57.04*(300/'Input &amp; Calculation Summary'!D25)^0.679, IF('Input &amp; Calculation Summary'!D233="L",11.71,21.2*(300/'Input &amp; Calculation Summary'!D25)^0.35)), IF('Input &amp; Calculation Summary'!D232="W",IF('Input &amp; Calculation Summary'!D233="H",27.72*(300/'Input &amp; Calculation Summary'!D25)^0.573, IF('Input &amp; Calculation Summary'!D233="L",6.53*(300/'Input &amp; Calculation Summary'!D25)^0.857,15.37*(300/'Input &amp; Calculation Summary'!D25)^0.35))))*1000*'Input &amp; Calculation Summary'!D25*(388/357.6)*(IF('Input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22156487.751866493</v>
      </c>
      <c r="F121" s="202">
        <f>IF('Input &amp; Calculation Summary'!E232="T",IF('Input &amp; Calculation Summary'!E233="H",57.04*(300/'Input &amp; Calculation Summary'!E25)^0.679, IF('Input &amp; Calculation Summary'!E233="L",11.71,21.2*(300/'Input &amp; Calculation Summary'!E25)^0.35)), IF('Input &amp; Calculation Summary'!E232="W",IF('Input &amp; Calculation Summary'!E233="H",27.72*(300/'Input &amp; Calculation Summary'!E25)^0.573, IF('Input &amp; Calculation Summary'!E233="L",6.53*(300/'Input &amp; Calculation Summary'!E25)^0.857,15.37*(300/'Input &amp; Calculation Summary'!E25)^0.35))))*1000*'Input &amp; Calculation Summary'!E25*(388/357.6)*(IF('Input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18034907.503178127</v>
      </c>
      <c r="G121" s="202">
        <f>IF('Input &amp; Calculation Summary'!F232="T",IF('Input &amp; Calculation Summary'!F233="H",57.04*(300/'Input &amp; Calculation Summary'!F25)^0.679, IF('Input &amp; Calculation Summary'!F233="L",11.71,21.2*(300/'Input &amp; Calculation Summary'!F25)^0.35)), IF('Input &amp; Calculation Summary'!F232="W",IF('Input &amp; Calculation Summary'!F233="H",27.72*(300/'Input &amp; Calculation Summary'!F25)^0.573, IF('Input &amp; Calculation Summary'!F233="L",6.53*(300/'Input &amp; Calculation Summary'!F25)^0.857,15.37*(300/'Input &amp; Calculation Summary'!F25)^0.35))))*1000*'Input &amp; Calculation Summary'!F25*(388/357.6)*(IF('Input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11964465.548887372</v>
      </c>
      <c r="H121" s="202">
        <f>IF('Input &amp; Calculation Summary'!G232="T",IF('Input &amp; Calculation Summary'!G233="H",57.04*(300/'Input &amp; Calculation Summary'!G25)^0.679, IF('Input &amp; Calculation Summary'!G233="L",11.71,21.2*(300/'Input &amp; Calculation Summary'!G25)^0.35)), IF('Input &amp; Calculation Summary'!G232="W",IF('Input &amp; Calculation Summary'!G233="H",27.72*(300/'Input &amp; Calculation Summary'!G25)^0.573, IF('Input &amp; Calculation Summary'!G233="L",6.53*(300/'Input &amp; Calculation Summary'!G25)^0.857,15.37*(300/'Input &amp; Calculation Summary'!G25)^0.35))))*1000*'Input &amp; Calculation Summary'!G25*(388/357.6)*(IF('Input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1882494.9367626896</v>
      </c>
      <c r="I121" s="346" t="s">
        <v>477</v>
      </c>
      <c r="J121" s="333"/>
    </row>
    <row r="122" spans="1:10" ht="13.5" x14ac:dyDescent="0.35">
      <c r="A122" s="204"/>
      <c r="B122" s="90" t="s">
        <v>304</v>
      </c>
      <c r="C122" s="90"/>
      <c r="D122" s="242">
        <f>D121/('Input &amp; Calculation Summary'!C25*1000)</f>
        <v>147.70991834577663</v>
      </c>
      <c r="E122" s="242">
        <f>E121/('Input &amp; Calculation Summary'!D25*1000)</f>
        <v>147.70991834577663</v>
      </c>
      <c r="F122" s="242">
        <f>F121/('Input &amp; Calculation Summary'!E25*1000)</f>
        <v>228.28996839465984</v>
      </c>
      <c r="G122" s="242">
        <f>G121/('Input &amp; Calculation Summary'!F25*1000)</f>
        <v>543.83934313124416</v>
      </c>
      <c r="H122" s="242">
        <f>H121/('Input &amp; Calculation Summary'!G25*1000)</f>
        <v>85.567951671031352</v>
      </c>
      <c r="J122" s="326" t="s">
        <v>397</v>
      </c>
    </row>
    <row r="123" spans="1:10" ht="13.5" x14ac:dyDescent="0.35">
      <c r="A123" s="232"/>
      <c r="C123" s="115"/>
      <c r="D123" s="231"/>
      <c r="E123" s="231"/>
      <c r="F123" s="231"/>
      <c r="G123" s="231"/>
      <c r="H123" s="231"/>
      <c r="I123" s="318"/>
    </row>
    <row r="124" spans="1:10" ht="13.5" x14ac:dyDescent="0.35">
      <c r="A124" s="232"/>
      <c r="C124" s="115"/>
      <c r="D124" s="231"/>
      <c r="E124" s="231"/>
      <c r="F124" s="231"/>
      <c r="G124" s="231"/>
      <c r="H124" s="231"/>
      <c r="I124" s="318"/>
    </row>
    <row r="125" spans="1:10" x14ac:dyDescent="0.3">
      <c r="A125" s="111"/>
      <c r="B125" s="112"/>
      <c r="C125" s="112"/>
      <c r="D125" s="112"/>
      <c r="E125" s="112"/>
      <c r="F125" s="112"/>
      <c r="G125" s="112"/>
      <c r="H125" s="112"/>
      <c r="I125" s="310"/>
    </row>
    <row r="126" spans="1:10" ht="27" thickBot="1" x14ac:dyDescent="0.4">
      <c r="A126" s="241" t="s">
        <v>478</v>
      </c>
      <c r="C126" s="90"/>
      <c r="D126" s="155" t="s">
        <v>320</v>
      </c>
      <c r="E126" s="155" t="s">
        <v>321</v>
      </c>
      <c r="F126" s="155" t="s">
        <v>322</v>
      </c>
      <c r="G126" s="155" t="s">
        <v>323</v>
      </c>
      <c r="H126" s="155" t="s">
        <v>324</v>
      </c>
      <c r="I126" s="311"/>
      <c r="J126" s="312" t="s">
        <v>325</v>
      </c>
    </row>
    <row r="127" spans="1:10" ht="17.5" x14ac:dyDescent="0.35">
      <c r="A127" s="241"/>
      <c r="C127" s="90"/>
      <c r="I127" s="327"/>
    </row>
    <row r="128" spans="1:10" ht="13.5" x14ac:dyDescent="0.35">
      <c r="A128" s="232" t="s">
        <v>338</v>
      </c>
      <c r="C128" s="115"/>
      <c r="D128" s="231">
        <f>'Input &amp; Calculation Summary'!C46</f>
        <v>2015</v>
      </c>
      <c r="E128" s="231">
        <f>'Input &amp; Calculation Summary'!D46</f>
        <v>2015</v>
      </c>
      <c r="F128" s="231">
        <f>'Input &amp; Calculation Summary'!E46</f>
        <v>2015</v>
      </c>
      <c r="G128" s="231">
        <f>'Input &amp; Calculation Summary'!F46</f>
        <v>2015</v>
      </c>
      <c r="H128" s="231">
        <f>'Input &amp; Calculation Summary'!G46</f>
        <v>2015</v>
      </c>
      <c r="I128" s="318"/>
    </row>
    <row r="129" spans="1:11" x14ac:dyDescent="0.3">
      <c r="A129" s="1" t="s">
        <v>479</v>
      </c>
      <c r="B129" s="90" t="s">
        <v>400</v>
      </c>
      <c r="D129" s="305">
        <f>'Input &amp; Calculation Summary'!C234*D121</f>
        <v>177251.90201493195</v>
      </c>
      <c r="E129" s="305">
        <f>'Input &amp; Calculation Summary'!D234*E121</f>
        <v>177251.90201493195</v>
      </c>
      <c r="F129" s="305">
        <f>'Input &amp; Calculation Summary'!E234*F121</f>
        <v>144279.26002542503</v>
      </c>
      <c r="G129" s="305">
        <f>'Input &amp; Calculation Summary'!F234*G121</f>
        <v>95715.724391098978</v>
      </c>
      <c r="H129" s="305">
        <f>'Input &amp; Calculation Summary'!G234*H121</f>
        <v>15059.959494101517</v>
      </c>
      <c r="I129" s="314" t="s">
        <v>480</v>
      </c>
      <c r="J129" s="314" t="s">
        <v>481</v>
      </c>
    </row>
    <row r="130" spans="1:11" x14ac:dyDescent="0.3">
      <c r="A130" s="1" t="s">
        <v>482</v>
      </c>
      <c r="B130" s="90" t="s">
        <v>400</v>
      </c>
      <c r="D130" s="313">
        <f>'Input &amp; Calculation Summary'!C235*D121</f>
        <v>265877.8530223979</v>
      </c>
      <c r="E130" s="313">
        <f>'Input &amp; Calculation Summary'!D235*E121</f>
        <v>265877.8530223979</v>
      </c>
      <c r="F130" s="313">
        <f>'Input &amp; Calculation Summary'!E235*F121</f>
        <v>216418.89003813753</v>
      </c>
      <c r="G130" s="313">
        <f>'Input &amp; Calculation Summary'!F235*G121</f>
        <v>143573.58658664845</v>
      </c>
      <c r="H130" s="313">
        <f>'Input &amp; Calculation Summary'!G235*H121</f>
        <v>22589.939241152275</v>
      </c>
      <c r="I130" s="314" t="s">
        <v>483</v>
      </c>
      <c r="J130" s="314" t="s">
        <v>484</v>
      </c>
    </row>
    <row r="131" spans="1:11" x14ac:dyDescent="0.3">
      <c r="A131" s="1" t="s">
        <v>485</v>
      </c>
      <c r="B131" s="90" t="s">
        <v>400</v>
      </c>
      <c r="D131" s="313">
        <f>(D129)*0.3</f>
        <v>53175.570604479588</v>
      </c>
      <c r="E131" s="313">
        <f>(E129)*0.3</f>
        <v>53175.570604479588</v>
      </c>
      <c r="F131" s="313">
        <f>(F129)*0.3</f>
        <v>43283.778007627508</v>
      </c>
      <c r="G131" s="313">
        <f>(G129)*0.3</f>
        <v>28714.717317329694</v>
      </c>
      <c r="H131" s="313">
        <f>(H129)*0.3</f>
        <v>4517.9878482304548</v>
      </c>
      <c r="I131" s="314" t="s">
        <v>486</v>
      </c>
      <c r="J131" s="314" t="s">
        <v>487</v>
      </c>
    </row>
    <row r="132" spans="1:11" x14ac:dyDescent="0.3">
      <c r="A132" s="237" t="s">
        <v>421</v>
      </c>
      <c r="B132" s="90" t="s">
        <v>400</v>
      </c>
      <c r="D132" s="344">
        <f>SUM(D129:D131)</f>
        <v>496305.32564180944</v>
      </c>
      <c r="E132" s="344">
        <f>SUM(E129:E131)</f>
        <v>496305.32564180944</v>
      </c>
      <c r="F132" s="344">
        <f>SUM(F129:F131)</f>
        <v>403981.92807119008</v>
      </c>
      <c r="G132" s="344">
        <f>SUM(G129:G131)</f>
        <v>268004.02829507715</v>
      </c>
      <c r="H132" s="344">
        <f>SUM(H129:H131)</f>
        <v>42167.886583484251</v>
      </c>
      <c r="I132" s="314"/>
      <c r="J132" s="314"/>
    </row>
    <row r="133" spans="1:11" x14ac:dyDescent="0.3">
      <c r="A133" s="237"/>
      <c r="D133" s="344"/>
      <c r="E133" s="344"/>
      <c r="F133" s="344"/>
      <c r="G133" s="344"/>
      <c r="H133" s="344"/>
      <c r="I133" s="314"/>
      <c r="J133" s="314"/>
    </row>
    <row r="134" spans="1:11" x14ac:dyDescent="0.3">
      <c r="D134" s="313"/>
      <c r="E134" s="313"/>
      <c r="F134" s="313"/>
      <c r="G134" s="313"/>
      <c r="H134" s="313"/>
      <c r="I134" s="314"/>
      <c r="J134" s="314"/>
    </row>
    <row r="135" spans="1:11" x14ac:dyDescent="0.3">
      <c r="A135" s="299"/>
      <c r="B135" s="308"/>
      <c r="C135" s="299"/>
      <c r="D135" s="308"/>
      <c r="E135" s="308"/>
      <c r="F135" s="308"/>
      <c r="G135" s="308"/>
      <c r="H135" s="308"/>
      <c r="I135" s="309"/>
      <c r="J135" s="309"/>
      <c r="K135"/>
    </row>
    <row r="136" spans="1:11" x14ac:dyDescent="0.3">
      <c r="A136" s="111"/>
      <c r="B136" s="112"/>
      <c r="C136" s="112"/>
      <c r="D136" s="112"/>
      <c r="E136" s="112"/>
      <c r="F136" s="112"/>
      <c r="G136" s="112"/>
      <c r="H136" s="112"/>
      <c r="I136" s="310"/>
    </row>
    <row r="137" spans="1:11" ht="20.5" thickBot="1" x14ac:dyDescent="0.45">
      <c r="A137" s="109" t="s">
        <v>488</v>
      </c>
      <c r="C137" s="90"/>
      <c r="D137" s="116" t="s">
        <v>320</v>
      </c>
      <c r="E137" s="116" t="s">
        <v>321</v>
      </c>
      <c r="F137" s="116" t="s">
        <v>322</v>
      </c>
      <c r="G137" s="116" t="s">
        <v>323</v>
      </c>
      <c r="H137" s="116" t="s">
        <v>324</v>
      </c>
      <c r="I137" s="334"/>
    </row>
    <row r="139" spans="1:11" x14ac:dyDescent="0.3">
      <c r="A139" s="1" t="s">
        <v>489</v>
      </c>
      <c r="B139" s="90" t="s">
        <v>261</v>
      </c>
      <c r="D139" s="335">
        <f>IF(AND('Input &amp; Calculation Summary'!C240&gt;=0.08,'Input &amp; Calculation Summary'!C240&lt;=0.2),'Input &amp; Calculation Summary'!C240,IF(OR('Input &amp; Calculation Summary'!C239&lt;55%,'Input &amp; Calculation Summary'!C239&gt;65%),0.15,('Input &amp; Calculation Summary'!C239-0.48)/0.86))</f>
        <v>0.15</v>
      </c>
      <c r="E139" s="335">
        <f>IF(AND('Input &amp; Calculation Summary'!D240&gt;=0.08,'Input &amp; Calculation Summary'!D240&lt;=0.2),'Input &amp; Calculation Summary'!D240,IF(OR('Input &amp; Calculation Summary'!D239&lt;55%,'Input &amp; Calculation Summary'!D239&gt;65%),0.15,('Input &amp; Calculation Summary'!D239-0.48)/0.86))</f>
        <v>0.15</v>
      </c>
      <c r="F139" s="335">
        <f>IF(AND('Input &amp; Calculation Summary'!E240&gt;=0.08,'Input &amp; Calculation Summary'!E240&lt;=0.2),'Input &amp; Calculation Summary'!E240,IF(OR('Input &amp; Calculation Summary'!E239&lt;55%,'Input &amp; Calculation Summary'!E239&gt;65%),0.15,('Input &amp; Calculation Summary'!E239-0.48)/0.86))</f>
        <v>0.15</v>
      </c>
      <c r="G139" s="335">
        <f>IF(AND('Input &amp; Calculation Summary'!F240&gt;=0.08,'Input &amp; Calculation Summary'!F240&lt;=0.2),'Input &amp; Calculation Summary'!F240,IF(OR('Input &amp; Calculation Summary'!F239&lt;55%,'Input &amp; Calculation Summary'!F239&gt;65%),0.15,('Input &amp; Calculation Summary'!F239-0.48)/0.86))</f>
        <v>0.15</v>
      </c>
      <c r="H139" s="335">
        <f>IF(AND('Input &amp; Calculation Summary'!G240&gt;=0.08,'Input &amp; Calculation Summary'!G240&lt;=0.2),'Input &amp; Calculation Summary'!G240,IF(OR('Input &amp; Calculation Summary'!G239&lt;55%,'Input &amp; Calculation Summary'!G239&gt;65%),0.15,('Input &amp; Calculation Summary'!G239-0.48)/0.86))</f>
        <v>0.15</v>
      </c>
      <c r="I139" s="302" t="s">
        <v>490</v>
      </c>
      <c r="J139" s="302" t="s">
        <v>491</v>
      </c>
    </row>
    <row r="140" spans="1:11" ht="27" x14ac:dyDescent="0.35">
      <c r="A140" s="1" t="s">
        <v>492</v>
      </c>
      <c r="B140" s="90" t="s">
        <v>493</v>
      </c>
      <c r="D140" s="315">
        <f>'Input &amp; Calculation Summary'!C37*Constants_CC!E325*500/Constants_CC!E330*Constants_CC!E491*8760*'Input &amp; Calculation Summary'!C27/2000</f>
        <v>131.01472222222222</v>
      </c>
      <c r="E140" s="315">
        <f>'Input &amp; Calculation Summary'!D37*Constants_CC!F325*500/Constants_CC!F330*Constants_CC!F491*8760*'Input &amp; Calculation Summary'!D27/2000</f>
        <v>467.89654166666662</v>
      </c>
      <c r="F140" s="315">
        <f>'Input &amp; Calculation Summary'!E37*Constants_CC!G325*500/Constants_CC!G330*Constants_CC!G491*8760*'Input &amp; Calculation Summary'!E27/2000</f>
        <v>246.42551194444442</v>
      </c>
      <c r="G140" s="315">
        <f>'Input &amp; Calculation Summary'!F37*Constants_CC!H325*500/Constants_CC!H330*Constants_CC!H491*8760*'Input &amp; Calculation Summary'!F27/2000</f>
        <v>68.624826111111105</v>
      </c>
      <c r="H140" s="315">
        <f>'Input &amp; Calculation Summary'!G37*Constants_CC!I325*500/Constants_CC!I330*Constants_CC!I491*8760*'Input &amp; Calculation Summary'!G27/2000</f>
        <v>68.624826111111105</v>
      </c>
      <c r="I140" s="302" t="s">
        <v>494</v>
      </c>
      <c r="J140" s="302" t="s">
        <v>495</v>
      </c>
    </row>
    <row r="142" spans="1:11" x14ac:dyDescent="0.3">
      <c r="C142" s="90"/>
      <c r="D142" s="236"/>
      <c r="E142" s="236"/>
      <c r="F142" s="236"/>
      <c r="G142" s="236"/>
      <c r="H142" s="236"/>
      <c r="I142" s="317"/>
    </row>
    <row r="143" spans="1:11" x14ac:dyDescent="0.3">
      <c r="A143" s="111"/>
      <c r="B143" s="111"/>
      <c r="C143" s="112"/>
      <c r="D143" s="112"/>
      <c r="E143" s="112"/>
      <c r="F143" s="112"/>
      <c r="G143" s="112"/>
      <c r="H143" s="112"/>
    </row>
    <row r="144" spans="1:11" ht="20.5" thickBot="1" x14ac:dyDescent="0.45">
      <c r="A144" s="109" t="s">
        <v>496</v>
      </c>
      <c r="B144" s="1"/>
      <c r="C144" s="90"/>
      <c r="D144" s="155" t="s">
        <v>320</v>
      </c>
      <c r="E144" s="155" t="s">
        <v>321</v>
      </c>
      <c r="F144" s="155" t="s">
        <v>322</v>
      </c>
      <c r="G144" s="155" t="s">
        <v>323</v>
      </c>
      <c r="H144" s="155" t="s">
        <v>324</v>
      </c>
    </row>
    <row r="145" spans="1:10" ht="20" x14ac:dyDescent="0.4">
      <c r="A145" s="109"/>
      <c r="B145" s="1"/>
      <c r="C145" s="90"/>
    </row>
    <row r="146" spans="1:10" ht="13.5" x14ac:dyDescent="0.35">
      <c r="A146" s="232" t="s">
        <v>338</v>
      </c>
      <c r="C146" s="115"/>
      <c r="D146" s="231">
        <f>'Input &amp; Calculation Summary'!C46</f>
        <v>2015</v>
      </c>
      <c r="E146" s="231">
        <f>'Input &amp; Calculation Summary'!D46</f>
        <v>2015</v>
      </c>
      <c r="F146" s="231">
        <f>'Input &amp; Calculation Summary'!E46</f>
        <v>2015</v>
      </c>
      <c r="G146" s="231">
        <f>'Input &amp; Calculation Summary'!F46</f>
        <v>2015</v>
      </c>
      <c r="H146" s="231">
        <f>'Input &amp; Calculation Summary'!G46</f>
        <v>2015</v>
      </c>
      <c r="I146" s="318"/>
    </row>
    <row r="147" spans="1:10" ht="13.5" x14ac:dyDescent="0.35">
      <c r="A147" s="232"/>
      <c r="C147" s="115"/>
      <c r="D147" s="231"/>
      <c r="E147" s="231"/>
      <c r="F147" s="231"/>
      <c r="G147" s="231"/>
      <c r="H147" s="231"/>
      <c r="I147" s="318"/>
    </row>
    <row r="148" spans="1:10" x14ac:dyDescent="0.3">
      <c r="A148" s="303" t="s">
        <v>497</v>
      </c>
      <c r="B148" s="90" t="s">
        <v>303</v>
      </c>
      <c r="C148" s="115"/>
      <c r="D148" s="336">
        <f>((1923*'Input &amp; Calculation Summary'!C25)+276519)*(388/357.6)*(IF('Input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913808.91946308711</v>
      </c>
      <c r="E148" s="336">
        <f>((1923*'Input &amp; Calculation Summary'!D25)+276519)*(388/357.6)*(IF('Input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913808.91946308711</v>
      </c>
      <c r="F148" s="336">
        <f>((1923*'Input &amp; Calculation Summary'!E25)+276519)*(388/357.6)*(IF('Input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692973.66442953015</v>
      </c>
      <c r="G148" s="336">
        <f>((1923*'Input &amp; Calculation Summary'!F25)+276519)*(388/357.6)*(IF('Input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515683.38926174492</v>
      </c>
      <c r="H148" s="336">
        <f>((1923*'Input &amp; Calculation Summary'!G25)+276519)*(388/357.6)*(IF('Input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515683.38926174492</v>
      </c>
      <c r="I148" s="323" t="s">
        <v>498</v>
      </c>
      <c r="J148" s="326" t="s">
        <v>499</v>
      </c>
    </row>
    <row r="149" spans="1:10" ht="26.5" x14ac:dyDescent="0.35">
      <c r="A149" s="302" t="s">
        <v>500</v>
      </c>
      <c r="B149" s="90" t="s">
        <v>303</v>
      </c>
      <c r="C149" s="115"/>
      <c r="D149" s="337">
        <f>('Input &amp; Calculation Summary'!C25/500)^0.214*('Input &amp; Calculation Summary'!C25*3237.657+1504675)*(388/357.6)*(IF('Input &amp; Calculation Summary'!C46&lt;1998,VLOOKUP('Input &amp; Calculation Summary'!C46,Constants_CC!$B$285:$C$303,2)/388,(IF('Input &amp; Calculation Summary'!C59="Yes",'Input &amp; Calculation Summary'!C60/388,(1+'Input &amp; Calculation Summary'!C61)^(D15-1998)))))</f>
        <v>2488045.99359965</v>
      </c>
      <c r="E149" s="337">
        <f>('Input &amp; Calculation Summary'!D25/500)^0.214*('Input &amp; Calculation Summary'!D25*3237.657+1504675)*(388/357.6)*(IF('Input &amp; Calculation Summary'!D46&lt;1998,VLOOKUP('Input &amp; Calculation Summary'!D46,Constants_CC!$B$285:$C$303,2)/388,(IF('Input &amp; Calculation Summary'!D59="Yes",'Input &amp; Calculation Summary'!D60/388,(1+'Input &amp; Calculation Summary'!D61)^(E15-1998)))))</f>
        <v>2488045.99359965</v>
      </c>
      <c r="F149" s="337">
        <f>('Input &amp; Calculation Summary'!E25/500)^0.214*('Input &amp; Calculation Summary'!E25*3237.657+1504675)*(388/357.6)*(IF('Input &amp; Calculation Summary'!E46&lt;1998,VLOOKUP('Input &amp; Calculation Summary'!E46,Constants_CC!$B$285:$C$303,2)/388,(IF('Input &amp; Calculation Summary'!E59="Yes",'Input &amp; Calculation Summary'!E60/388,(1+'Input &amp; Calculation Summary'!E61)^(F15-1998)))))</f>
        <v>1918523.2279833585</v>
      </c>
      <c r="G149" s="337">
        <f>('Input &amp; Calculation Summary'!F25/500)^0.214*('Input &amp; Calculation Summary'!F25*3237.657+1504675)*(388/357.6)*(IF('Input &amp; Calculation Summary'!F46&lt;1998,VLOOKUP('Input &amp; Calculation Summary'!F46,Constants_CC!$B$285:$C$303,2)/388,(IF('Input &amp; Calculation Summary'!F59="Yes",'Input &amp; Calculation Summary'!F60/388,(1+'Input &amp; Calculation Summary'!F61)^(G15-1998)))))</f>
        <v>1306349.1117916808</v>
      </c>
      <c r="H149" s="337">
        <f>('Input &amp; Calculation Summary'!G25/500)^0.214*('Input &amp; Calculation Summary'!G25*3237.657+1504675)*(388/357.6)*(IF('Input &amp; Calculation Summary'!G46&lt;1998,VLOOKUP('Input &amp; Calculation Summary'!G46,Constants_CC!$B$285:$C$303,2)/388,(IF('Input &amp; Calculation Summary'!G59="Yes",'Input &amp; Calculation Summary'!G60/388,(1+'Input &amp; Calculation Summary'!G61)^(H15-1998)))))</f>
        <v>1306349.1117916808</v>
      </c>
      <c r="I149" s="323" t="s">
        <v>501</v>
      </c>
      <c r="J149" s="326" t="s">
        <v>502</v>
      </c>
    </row>
    <row r="150" spans="1:10" ht="13.5" x14ac:dyDescent="0.35">
      <c r="A150" s="204" t="s">
        <v>366</v>
      </c>
      <c r="B150" s="90" t="s">
        <v>303</v>
      </c>
      <c r="C150" s="90"/>
      <c r="D150" s="101">
        <f>SUM(D148:D149)</f>
        <v>3401854.9130627373</v>
      </c>
      <c r="E150" s="101">
        <f>SUM(E148:E149)</f>
        <v>3401854.9130627373</v>
      </c>
      <c r="F150" s="101">
        <f>SUM(F148:F149)</f>
        <v>2611496.8924128888</v>
      </c>
      <c r="G150" s="101">
        <f>SUM(G148:G149)</f>
        <v>1822032.5010534257</v>
      </c>
      <c r="H150" s="101">
        <f>SUM(H148:H149)</f>
        <v>1822032.5010534257</v>
      </c>
      <c r="J150" s="322" t="s">
        <v>452</v>
      </c>
    </row>
    <row r="151" spans="1:10" x14ac:dyDescent="0.3">
      <c r="C151" s="90"/>
    </row>
    <row r="152" spans="1:10" ht="13.5" x14ac:dyDescent="0.35">
      <c r="A152" s="237" t="s">
        <v>367</v>
      </c>
      <c r="B152" s="90" t="s">
        <v>303</v>
      </c>
      <c r="C152" s="90"/>
      <c r="D152" s="101">
        <f>D150*'Input &amp; Calculation Summary'!C39</f>
        <v>5442967.8609003797</v>
      </c>
      <c r="E152" s="101">
        <f>E150*'Input &amp; Calculation Summary'!D39</f>
        <v>5442967.8609003797</v>
      </c>
      <c r="F152" s="101">
        <f>F150*'Input &amp; Calculation Summary'!E39</f>
        <v>4178395.0278606224</v>
      </c>
      <c r="G152" s="101">
        <f>G150*'Input &amp; Calculation Summary'!F39</f>
        <v>2915252.0016854815</v>
      </c>
      <c r="H152" s="101">
        <f>H150*'Input &amp; Calculation Summary'!G39</f>
        <v>2915252.0016854815</v>
      </c>
      <c r="J152" s="322" t="s">
        <v>368</v>
      </c>
    </row>
    <row r="153" spans="1:10" x14ac:dyDescent="0.3">
      <c r="A153" s="1" t="s">
        <v>369</v>
      </c>
      <c r="B153" s="90" t="s">
        <v>303</v>
      </c>
      <c r="C153" s="90"/>
      <c r="D153" s="101">
        <f>D152*'Input &amp; Calculation Summary'!C245</f>
        <v>108859.3572180076</v>
      </c>
      <c r="E153" s="101">
        <f>E152*'Input &amp; Calculation Summary'!D245</f>
        <v>108859.3572180076</v>
      </c>
      <c r="F153" s="101">
        <f>F152*'Input &amp; Calculation Summary'!E245</f>
        <v>83567.900557212444</v>
      </c>
      <c r="G153" s="101">
        <f>G152*'Input &amp; Calculation Summary'!F245</f>
        <v>58305.040033709629</v>
      </c>
      <c r="H153" s="101">
        <f>H152*'Input &amp; Calculation Summary'!G245</f>
        <v>58305.040033709629</v>
      </c>
      <c r="J153" s="322" t="s">
        <v>371</v>
      </c>
    </row>
    <row r="154" spans="1:10" x14ac:dyDescent="0.3">
      <c r="A154" s="1" t="s">
        <v>372</v>
      </c>
      <c r="B154" s="90" t="s">
        <v>303</v>
      </c>
      <c r="C154" s="90"/>
      <c r="D154" s="101">
        <f>D152*'Input &amp; Calculation Summary'!C246</f>
        <v>544296.78609003802</v>
      </c>
      <c r="E154" s="101">
        <f>E152*'Input &amp; Calculation Summary'!D246</f>
        <v>544296.78609003802</v>
      </c>
      <c r="F154" s="101">
        <f>F152*'Input &amp; Calculation Summary'!E246</f>
        <v>417839.50278606225</v>
      </c>
      <c r="G154" s="101">
        <f>G152*'Input &amp; Calculation Summary'!F246</f>
        <v>291525.20016854815</v>
      </c>
      <c r="H154" s="101">
        <f>H152*'Input &amp; Calculation Summary'!G246</f>
        <v>291525.20016854815</v>
      </c>
      <c r="J154" s="322" t="s">
        <v>374</v>
      </c>
    </row>
    <row r="155" spans="1:10" x14ac:dyDescent="0.3">
      <c r="A155" s="1" t="s">
        <v>375</v>
      </c>
      <c r="B155" s="90" t="s">
        <v>303</v>
      </c>
      <c r="C155" s="90"/>
      <c r="D155" s="162">
        <f>D152*'Input &amp; Calculation Summary'!C244</f>
        <v>1088593.572180076</v>
      </c>
      <c r="E155" s="162">
        <f>E152*'Input &amp; Calculation Summary'!D244</f>
        <v>1088593.572180076</v>
      </c>
      <c r="F155" s="162">
        <f>F152*'Input &amp; Calculation Summary'!E244</f>
        <v>835679.0055721245</v>
      </c>
      <c r="G155" s="162">
        <f>G152*'Input &amp; Calculation Summary'!F244</f>
        <v>583050.4003370963</v>
      </c>
      <c r="H155" s="162">
        <f>H152*'Input &amp; Calculation Summary'!G244</f>
        <v>583050.4003370963</v>
      </c>
      <c r="J155" s="325" t="s">
        <v>377</v>
      </c>
    </row>
    <row r="156" spans="1:10" ht="13.5" x14ac:dyDescent="0.35">
      <c r="A156" s="204" t="s">
        <v>378</v>
      </c>
      <c r="B156" s="90" t="s">
        <v>303</v>
      </c>
      <c r="C156" s="90"/>
      <c r="D156" s="101">
        <f>SUM(D152:D155)</f>
        <v>7184717.5763885006</v>
      </c>
      <c r="E156" s="101">
        <f>SUM(E152:E155)</f>
        <v>7184717.5763885006</v>
      </c>
      <c r="F156" s="101">
        <f>SUM(F152:F155)</f>
        <v>5515481.4367760215</v>
      </c>
      <c r="G156" s="101">
        <f>SUM(G152:G155)</f>
        <v>3848132.6422248357</v>
      </c>
      <c r="H156" s="101">
        <f>SUM(H152:H155)</f>
        <v>3848132.6422248357</v>
      </c>
      <c r="J156" s="322" t="s">
        <v>379</v>
      </c>
    </row>
    <row r="157" spans="1:10" ht="13.5" x14ac:dyDescent="0.35">
      <c r="A157" s="204" t="s">
        <v>380</v>
      </c>
      <c r="B157" s="90" t="s">
        <v>303</v>
      </c>
      <c r="C157" s="90"/>
      <c r="D157" s="101">
        <f>D156*(1+'Input &amp; Calculation Summary'!C$63)</f>
        <v>7400259.1036801562</v>
      </c>
      <c r="E157" s="101">
        <f>E156*(1+'Input &amp; Calculation Summary'!D$63)</f>
        <v>7400259.1036801562</v>
      </c>
      <c r="F157" s="101">
        <f>F156*(1+'Input &amp; Calculation Summary'!E$63)</f>
        <v>5680945.8798793023</v>
      </c>
      <c r="G157" s="101">
        <f>G156*(1+'Input &amp; Calculation Summary'!F$63)</f>
        <v>3963576.6214915807</v>
      </c>
      <c r="H157" s="101">
        <f>H156*(1+'Input &amp; Calculation Summary'!G$63)</f>
        <v>3963576.6214915807</v>
      </c>
    </row>
    <row r="158" spans="1:10" ht="26.5" x14ac:dyDescent="0.35">
      <c r="A158" s="204" t="s">
        <v>381</v>
      </c>
      <c r="B158" s="90" t="s">
        <v>303</v>
      </c>
      <c r="C158" s="90"/>
      <c r="D158" s="101">
        <f>D157*VLOOKUP('Input &amp; Calculation Summary'!C$25,Constants_CC!$B$557:$E$562,4)</f>
        <v>7400259.1036801627</v>
      </c>
      <c r="E158" s="101">
        <f>E157*VLOOKUP('Input &amp; Calculation Summary'!D$25,Constants_CC!$B$557:$E$562,4)</f>
        <v>7400259.1036801627</v>
      </c>
      <c r="F158" s="101">
        <f>F157*VLOOKUP('Input &amp; Calculation Summary'!E$25,Constants_CC!$B$557:$E$562,4)</f>
        <v>5680945.879879307</v>
      </c>
      <c r="G158" s="101">
        <f>G157*VLOOKUP('Input &amp; Calculation Summary'!F$25,Constants_CC!$B$557:$E$562,4)</f>
        <v>3963576.6214915845</v>
      </c>
      <c r="H158" s="101">
        <f>H157*VLOOKUP('Input &amp; Calculation Summary'!G$25,Constants_CC!$B$557:$E$562,4)</f>
        <v>3963576.6214915845</v>
      </c>
      <c r="J158" s="322" t="s">
        <v>382</v>
      </c>
    </row>
    <row r="159" spans="1:10" x14ac:dyDescent="0.3">
      <c r="C159" s="90"/>
      <c r="D159" s="101"/>
      <c r="E159" s="101"/>
      <c r="F159" s="101"/>
      <c r="G159" s="101"/>
      <c r="H159" s="101"/>
    </row>
    <row r="160" spans="1:10" ht="26.5" x14ac:dyDescent="0.35">
      <c r="A160" s="204" t="s">
        <v>383</v>
      </c>
      <c r="B160" s="90" t="s">
        <v>303</v>
      </c>
      <c r="C160" s="90"/>
      <c r="D160" s="162">
        <f>D157*VLOOKUP('Input &amp; Calculation Summary'!C$25,Constants_CC!$B$557:$E$562,3)</f>
        <v>0</v>
      </c>
      <c r="E160" s="162">
        <f>E157*VLOOKUP('Input &amp; Calculation Summary'!D$25,Constants_CC!$B$557:$E$562,3)</f>
        <v>0</v>
      </c>
      <c r="F160" s="162">
        <f>F157*VLOOKUP('Input &amp; Calculation Summary'!E$25,Constants_CC!$B$557:$E$562,3)</f>
        <v>0</v>
      </c>
      <c r="G160" s="162">
        <f>G157*VLOOKUP('Input &amp; Calculation Summary'!F$25,Constants_CC!$B$557:$E$562,3)</f>
        <v>0</v>
      </c>
      <c r="H160" s="162">
        <f>H157*VLOOKUP('Input &amp; Calculation Summary'!G$25,Constants_CC!$B$557:$E$562,3)</f>
        <v>0</v>
      </c>
      <c r="J160" s="322" t="s">
        <v>384</v>
      </c>
    </row>
    <row r="161" spans="1:10" x14ac:dyDescent="0.3">
      <c r="C161" s="90"/>
    </row>
    <row r="162" spans="1:10" ht="13.5" x14ac:dyDescent="0.35">
      <c r="A162" s="204" t="s">
        <v>385</v>
      </c>
      <c r="B162" s="90" t="s">
        <v>303</v>
      </c>
      <c r="C162" s="90"/>
      <c r="D162" s="101">
        <f>D158+D160</f>
        <v>7400259.1036801627</v>
      </c>
      <c r="E162" s="101">
        <f>E158+E160</f>
        <v>7400259.1036801627</v>
      </c>
      <c r="F162" s="101">
        <f>F158+F160</f>
        <v>5680945.879879307</v>
      </c>
      <c r="G162" s="101">
        <f>G158+G160</f>
        <v>3963576.6214915845</v>
      </c>
      <c r="H162" s="101">
        <f>H158+H160</f>
        <v>3963576.6214915845</v>
      </c>
      <c r="J162" s="322" t="s">
        <v>386</v>
      </c>
    </row>
    <row r="163" spans="1:10" x14ac:dyDescent="0.3">
      <c r="A163" s="122" t="s">
        <v>387</v>
      </c>
      <c r="B163" s="90" t="s">
        <v>303</v>
      </c>
      <c r="C163" s="90"/>
      <c r="D163" s="101">
        <f>0.02*D162+D175/12+D176/(12*'Input &amp; Calculation Summary'!C27)</f>
        <v>154543.50944213709</v>
      </c>
      <c r="E163" s="101">
        <f>0.02*E162+E175/12+E176/(12*'Input &amp; Calculation Summary'!D27)</f>
        <v>148284.51766142531</v>
      </c>
      <c r="F163" s="101">
        <f>0.02*F162+F175/12+F176/(12*'Input &amp; Calculation Summary'!E27)</f>
        <v>115929.15024717776</v>
      </c>
      <c r="G163" s="101">
        <f>0.02*G162+G175/12+G176/(12*'Input &amp; Calculation Summary'!F27)</f>
        <v>82804.042417762321</v>
      </c>
      <c r="H163" s="101">
        <f>0.02*H162+H175/12+H176/(12*'Input &amp; Calculation Summary'!G27)</f>
        <v>82804.042417762321</v>
      </c>
      <c r="I163" s="323"/>
      <c r="J163" s="322" t="s">
        <v>503</v>
      </c>
    </row>
    <row r="164" spans="1:10" x14ac:dyDescent="0.3">
      <c r="A164" s="122" t="s">
        <v>454</v>
      </c>
      <c r="B164" s="90" t="s">
        <v>303</v>
      </c>
      <c r="C164" s="90"/>
      <c r="D164" s="101">
        <v>0</v>
      </c>
      <c r="E164" s="101">
        <v>0</v>
      </c>
      <c r="F164" s="101">
        <v>0</v>
      </c>
      <c r="G164" s="101">
        <v>0</v>
      </c>
      <c r="H164" s="101">
        <v>0</v>
      </c>
      <c r="J164" s="333">
        <v>0</v>
      </c>
    </row>
    <row r="165" spans="1:10" x14ac:dyDescent="0.3">
      <c r="C165" s="90"/>
    </row>
    <row r="166" spans="1:10" ht="26.5" x14ac:dyDescent="0.35">
      <c r="A166" s="204" t="s">
        <v>302</v>
      </c>
      <c r="B166" s="90" t="s">
        <v>303</v>
      </c>
      <c r="C166" s="90"/>
      <c r="D166" s="202">
        <f>SUM(D162:D164)</f>
        <v>7554802.6131222993</v>
      </c>
      <c r="E166" s="202">
        <f>SUM(E162:E164)</f>
        <v>7548543.621341588</v>
      </c>
      <c r="F166" s="202">
        <f>SUM(F162:F164)</f>
        <v>5796875.030126485</v>
      </c>
      <c r="G166" s="202">
        <f>SUM(G162:G164)</f>
        <v>4046380.6639093468</v>
      </c>
      <c r="H166" s="202">
        <f>SUM(H162:H164)</f>
        <v>4046380.6639093468</v>
      </c>
      <c r="J166" s="322" t="s">
        <v>396</v>
      </c>
    </row>
    <row r="167" spans="1:10" ht="13.5" x14ac:dyDescent="0.35">
      <c r="A167" s="204"/>
      <c r="B167" s="90" t="s">
        <v>304</v>
      </c>
      <c r="C167" s="90"/>
      <c r="D167" s="242">
        <f>D166/('Input &amp; Calculation Summary'!C25*1000)</f>
        <v>50.365350754148665</v>
      </c>
      <c r="E167" s="242">
        <f>E166/('Input &amp; Calculation Summary'!D25*1000)</f>
        <v>50.323624142277254</v>
      </c>
      <c r="F167" s="242">
        <f>F166/('Input &amp; Calculation Summary'!E25*1000)</f>
        <v>73.378164938309936</v>
      </c>
      <c r="G167" s="242">
        <f>G166/('Input &amp; Calculation Summary'!F25*1000)</f>
        <v>183.92639381406121</v>
      </c>
      <c r="H167" s="242">
        <f>H166/('Input &amp; Calculation Summary'!G25*1000)</f>
        <v>183.92639381406121</v>
      </c>
      <c r="J167" s="326" t="s">
        <v>397</v>
      </c>
    </row>
    <row r="168" spans="1:10" ht="13.5" x14ac:dyDescent="0.35">
      <c r="A168" s="232"/>
      <c r="C168" s="115"/>
      <c r="D168" s="231"/>
      <c r="E168" s="231"/>
      <c r="F168" s="231"/>
      <c r="G168" s="231"/>
      <c r="H168" s="231"/>
      <c r="I168" s="318"/>
    </row>
    <row r="169" spans="1:10" ht="13.5" x14ac:dyDescent="0.35">
      <c r="A169" s="232"/>
      <c r="C169" s="115"/>
      <c r="D169" s="231"/>
      <c r="E169" s="231"/>
      <c r="F169" s="231"/>
      <c r="G169" s="231"/>
      <c r="H169" s="231"/>
      <c r="I169" s="318"/>
    </row>
    <row r="170" spans="1:10" x14ac:dyDescent="0.3">
      <c r="A170" s="111"/>
      <c r="B170" s="112"/>
      <c r="C170" s="112"/>
      <c r="D170" s="112"/>
      <c r="E170" s="112"/>
      <c r="F170" s="112"/>
      <c r="G170" s="112"/>
      <c r="H170" s="112"/>
      <c r="I170" s="310"/>
    </row>
    <row r="171" spans="1:10" ht="18" thickBot="1" x14ac:dyDescent="0.4">
      <c r="A171" s="241" t="s">
        <v>504</v>
      </c>
      <c r="C171" s="90"/>
      <c r="D171" s="155" t="s">
        <v>320</v>
      </c>
      <c r="E171" s="155" t="s">
        <v>321</v>
      </c>
      <c r="F171" s="155" t="s">
        <v>322</v>
      </c>
      <c r="G171" s="155" t="s">
        <v>323</v>
      </c>
      <c r="H171" s="155" t="s">
        <v>324</v>
      </c>
      <c r="I171" s="327"/>
    </row>
    <row r="172" spans="1:10" ht="13.5" x14ac:dyDescent="0.35">
      <c r="A172" s="232" t="s">
        <v>338</v>
      </c>
      <c r="C172" s="115"/>
      <c r="D172" s="231">
        <f>'Input &amp; Calculation Summary'!C46</f>
        <v>2015</v>
      </c>
      <c r="E172" s="231">
        <f>'Input &amp; Calculation Summary'!D46</f>
        <v>2015</v>
      </c>
      <c r="F172" s="231">
        <f>'Input &amp; Calculation Summary'!E46</f>
        <v>2015</v>
      </c>
      <c r="G172" s="231">
        <f>'Input &amp; Calculation Summary'!F46</f>
        <v>2015</v>
      </c>
      <c r="H172" s="231">
        <f>'Input &amp; Calculation Summary'!G46</f>
        <v>2015</v>
      </c>
      <c r="I172" s="318"/>
    </row>
    <row r="174" spans="1:10" ht="27" x14ac:dyDescent="0.35">
      <c r="A174" s="1" t="s">
        <v>505</v>
      </c>
      <c r="B174" s="90" t="s">
        <v>400</v>
      </c>
      <c r="D174" s="313">
        <f>-9.51 * 10^7 * Constants_CC!E491 *'Input &amp; Calculation Summary'!C27 * D139/Constants_CC!E330 * 'Input &amp; Calculation Summary'!C65/1000</f>
        <v>-15239.114583333334</v>
      </c>
      <c r="E174" s="313">
        <f>-9.51 * 10^7 * Constants_CC!F491 *'Input &amp; Calculation Summary'!D27 * E139/Constants_CC!F330 * 'Input &amp; Calculation Summary'!D65/1000</f>
        <v>-54423.876116071435</v>
      </c>
      <c r="F174" s="313">
        <f>-9.51 * 10^7 * Constants_CC!G491 *'Input &amp; Calculation Summary'!E27 * F139/Constants_CC!G330 * 'Input &amp; Calculation Summary'!E65/1000</f>
        <v>-28663.241421130951</v>
      </c>
      <c r="G174" s="313">
        <f>-9.51 * 10^7 * Constants_CC!H491 *'Input &amp; Calculation Summary'!F27 * G139/Constants_CC!H330 * 'Input &amp; Calculation Summary'!F65/1000</f>
        <v>-7982.1684970238111</v>
      </c>
      <c r="H174" s="313">
        <f>-9.51 * 10^7 * Constants_CC!I491 *'Input &amp; Calculation Summary'!G27 * H139/Constants_CC!I330 * 'Input &amp; Calculation Summary'!G65/1000</f>
        <v>-7982.1684970238111</v>
      </c>
      <c r="I174" s="314" t="s">
        <v>506</v>
      </c>
      <c r="J174" s="314" t="s">
        <v>507</v>
      </c>
    </row>
    <row r="175" spans="1:10" ht="26.5" x14ac:dyDescent="0.35">
      <c r="A175" s="1" t="s">
        <v>508</v>
      </c>
      <c r="B175" s="90" t="s">
        <v>400</v>
      </c>
      <c r="D175" s="313">
        <f>('Input &amp; Calculation Summary'!C243*D156-1387.5*D139*('Input &amp; Calculation Summary'!C25/500)^0.6)</f>
        <v>107669.69952469098</v>
      </c>
      <c r="E175" s="313">
        <f>('Input &amp; Calculation Summary'!D243*E156-1387.5*E139*('Input &amp; Calculation Summary'!D25/500)^0.6)</f>
        <v>107669.69952469098</v>
      </c>
      <c r="F175" s="313">
        <f>('Input &amp; Calculation Summary'!E243*F156-1387.5*F139*('Input &amp; Calculation Summary'!E25/500)^0.6)</f>
        <v>82663.432629734642</v>
      </c>
      <c r="G175" s="313">
        <f>('Input &amp; Calculation Summary'!F243*G156-1387.5*G139*('Input &amp; Calculation Summary'!F25/500)^0.6)</f>
        <v>57690.045150888778</v>
      </c>
      <c r="H175" s="313">
        <f>('Input &amp; Calculation Summary'!G243*H156-1387.5*H139*('Input &amp; Calculation Summary'!G25/500)^0.6)</f>
        <v>57690.045150888778</v>
      </c>
      <c r="I175" s="314" t="s">
        <v>509</v>
      </c>
      <c r="J175" s="314" t="s">
        <v>510</v>
      </c>
    </row>
    <row r="176" spans="1:10" ht="27" x14ac:dyDescent="0.35">
      <c r="A176" s="1" t="s">
        <v>511</v>
      </c>
      <c r="B176" s="90" t="s">
        <v>400</v>
      </c>
      <c r="D176" s="313">
        <f>- (D140 * D139 +  (IF('Input &amp; Calculation Summary'!C39&gt;1,2,1)-1)*4.336 * D139 *Constants_CC!E519*2000 * 'Input &amp; Calculation Summary'!C27) *'Input &amp; Calculation Summary'!C241</f>
        <v>-18986.351216485262</v>
      </c>
      <c r="E176" s="313">
        <f>- (E140 * E139 +  (IF('Input &amp; Calculation Summary'!D39&gt;1,2,1)-1)*4.336 * E139 *Constants_CC!F519*2000 * 'Input &amp; Calculation Summary'!D27) *'Input &amp; Calculation Summary'!D241</f>
        <v>-67806.487106037253</v>
      </c>
      <c r="F176" s="313">
        <f>- (F140 * F139 +  (IF('Input &amp; Calculation Summary'!E39&gt;1,2,1)-1)*4.336 * F139 *Constants_CC!G519*2000 * 'Input &amp; Calculation Summary'!E27) *'Input &amp; Calculation Summary'!E241</f>
        <v>-35711.416542512954</v>
      </c>
      <c r="G176" s="313">
        <f>- (G140 * G139 +  (IF('Input &amp; Calculation Summary'!F39&gt;1,2,1)-1)*4.336 * G139 *Constants_CC!H519*2000 * 'Input &amp; Calculation Summary'!F27) *'Input &amp; Calculation Summary'!F241</f>
        <v>-9944.9514422187985</v>
      </c>
      <c r="H176" s="313">
        <f>- (H140 * H139 +  (IF('Input &amp; Calculation Summary'!G39&gt;1,2,1)-1)*4.336 * H139 *Constants_CC!I519*2000 * 'Input &amp; Calculation Summary'!G27) *'Input &amp; Calculation Summary'!G241</f>
        <v>-9944.9514422187985</v>
      </c>
      <c r="I176" s="314" t="s">
        <v>512</v>
      </c>
      <c r="J176" s="314" t="s">
        <v>513</v>
      </c>
    </row>
    <row r="177" spans="1:10" ht="27" x14ac:dyDescent="0.35">
      <c r="A177" s="1" t="s">
        <v>514</v>
      </c>
      <c r="B177" s="90" t="s">
        <v>400</v>
      </c>
      <c r="D177" s="313">
        <f>Constants_CC!E491*D139*8760*'Input &amp; Calculation Summary'!C27*('Input &amp; Calculation Summary'!C242-Constants_CC!E331)</f>
        <v>343835.03700000001</v>
      </c>
      <c r="E177" s="313">
        <f>Constants_CC!F491*E139*8760*'Input &amp; Calculation Summary'!D27*('Input &amp; Calculation Summary'!D242-Constants_CC!F331)</f>
        <v>1227947.6839500002</v>
      </c>
      <c r="F177" s="313">
        <f>Constants_CC!G491*F139*8760*'Input &amp; Calculation Summary'!E27*('Input &amp; Calculation Summary'!E242-Constants_CC!G331)</f>
        <v>646719.11354699999</v>
      </c>
      <c r="G177" s="313">
        <f>Constants_CC!H491*G139*8760*'Input &amp; Calculation Summary'!F27*('Input &amp; Calculation Summary'!F242-Constants_CC!H331)</f>
        <v>180098.99364600002</v>
      </c>
      <c r="H177" s="313">
        <f>Constants_CC!I491*H139*8760*'Input &amp; Calculation Summary'!G27*('Input &amp; Calculation Summary'!G242-Constants_CC!I331)</f>
        <v>180098.99364600002</v>
      </c>
      <c r="I177" s="314" t="s">
        <v>515</v>
      </c>
      <c r="J177" s="314" t="s">
        <v>516</v>
      </c>
    </row>
    <row r="178" spans="1:10" x14ac:dyDescent="0.3">
      <c r="A178" s="237" t="s">
        <v>421</v>
      </c>
      <c r="D178" s="344">
        <f>SUM(D174:D177)</f>
        <v>417279.27072487242</v>
      </c>
      <c r="E178" s="344">
        <f>SUM(E174:E177)</f>
        <v>1213387.0202525826</v>
      </c>
      <c r="F178" s="344">
        <f>SUM(F174:F177)</f>
        <v>665007.88821309071</v>
      </c>
      <c r="G178" s="344">
        <f>SUM(G174:G177)</f>
        <v>219861.91885764617</v>
      </c>
      <c r="H178" s="344">
        <f>SUM(H174:H177)</f>
        <v>219861.91885764617</v>
      </c>
      <c r="I178" s="314"/>
      <c r="J178" s="314"/>
    </row>
    <row r="179" spans="1:10" x14ac:dyDescent="0.3">
      <c r="D179" s="313"/>
      <c r="E179" s="313"/>
      <c r="F179" s="313"/>
      <c r="G179" s="313"/>
      <c r="H179" s="313"/>
      <c r="I179" s="314"/>
      <c r="J179" s="314"/>
    </row>
    <row r="180" spans="1:10" x14ac:dyDescent="0.3">
      <c r="D180" s="313"/>
      <c r="E180" s="313"/>
      <c r="F180" s="313"/>
      <c r="G180" s="313"/>
      <c r="H180" s="313"/>
      <c r="I180" s="314"/>
      <c r="J180" s="314"/>
    </row>
    <row r="181" spans="1:10" x14ac:dyDescent="0.3">
      <c r="D181" s="313"/>
      <c r="E181" s="313"/>
      <c r="F181" s="313"/>
      <c r="G181" s="313"/>
      <c r="H181" s="313"/>
      <c r="I181" s="314"/>
      <c r="J181" s="314"/>
    </row>
    <row r="182" spans="1:10" x14ac:dyDescent="0.3">
      <c r="A182" s="111"/>
      <c r="B182" s="112"/>
      <c r="C182" s="112"/>
      <c r="D182" s="112"/>
      <c r="E182" s="112"/>
      <c r="F182" s="112"/>
      <c r="G182" s="112"/>
      <c r="H182" s="112"/>
      <c r="I182" s="310"/>
    </row>
  </sheetData>
  <printOptions horizontalCentered="1" gridLines="1"/>
  <pageMargins left="0.1" right="0.1" top="0.5" bottom="0.5" header="0.25" footer="0.25"/>
  <pageSetup scale="63" fitToHeight="9" orientation="portrait" r:id="rId1"/>
  <headerFooter alignWithMargins="0">
    <oddHeader>&amp;L&amp;"Times New Roman,Regular"CUECost - Air Pollution Control Systems Economics Spreadsheet</oddHeader>
    <oddFooter>&amp;L&amp;"Times New Roman,Regular"&amp;8&amp;F, &amp;A&amp;C&amp;"Times New Roman,Regular"&amp;P&amp;R&amp;"Times New Roman,Regular"&amp;8&amp;D, &amp;T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953"/>
  <sheetViews>
    <sheetView zoomScale="70" zoomScaleNormal="70" workbookViewId="0">
      <selection activeCell="J332" sqref="J332"/>
    </sheetView>
  </sheetViews>
  <sheetFormatPr defaultColWidth="9.08984375" defaultRowHeight="13" x14ac:dyDescent="0.3"/>
  <cols>
    <col min="1" max="1" width="57" style="1" customWidth="1"/>
    <col min="2" max="2" width="10.90625" style="1" bestFit="1" customWidth="1"/>
    <col min="3" max="3" width="13.90625" style="1" bestFit="1" customWidth="1"/>
    <col min="4" max="4" width="14.6328125" style="1" customWidth="1"/>
    <col min="5" max="8" width="14.6328125" style="1" hidden="1" customWidth="1"/>
    <col min="9" max="16384" width="9.08984375" style="1"/>
  </cols>
  <sheetData>
    <row r="2" hidden="1" x14ac:dyDescent="0.3"/>
    <row r="3" hidden="1" x14ac:dyDescent="0.3"/>
    <row r="4" hidden="1" x14ac:dyDescent="0.3"/>
    <row r="5" hidden="1" x14ac:dyDescent="0.3"/>
    <row r="6" hidden="1" x14ac:dyDescent="0.3"/>
    <row r="7" hidden="1" x14ac:dyDescent="0.3"/>
    <row r="8" hidden="1" x14ac:dyDescent="0.3"/>
    <row r="9" hidden="1" x14ac:dyDescent="0.3"/>
    <row r="10" hidden="1" x14ac:dyDescent="0.3"/>
    <row r="11" hidden="1" x14ac:dyDescent="0.3"/>
    <row r="12" hidden="1" x14ac:dyDescent="0.3"/>
    <row r="13" hidden="1" x14ac:dyDescent="0.3"/>
    <row r="14" hidden="1" x14ac:dyDescent="0.3"/>
    <row r="15" hidden="1" x14ac:dyDescent="0.3"/>
    <row r="16" hidden="1" x14ac:dyDescent="0.3"/>
    <row r="17" spans="1:8" hidden="1" x14ac:dyDescent="0.3"/>
    <row r="18" spans="1:8" hidden="1" x14ac:dyDescent="0.3"/>
    <row r="19" spans="1:8" hidden="1" x14ac:dyDescent="0.3"/>
    <row r="20" spans="1:8" x14ac:dyDescent="0.3">
      <c r="A20" s="111"/>
      <c r="B20" s="111"/>
      <c r="C20" s="112"/>
      <c r="D20" s="112"/>
      <c r="E20" s="112"/>
      <c r="F20" s="112"/>
      <c r="G20" s="112"/>
      <c r="H20" s="112"/>
    </row>
    <row r="21" spans="1:8" ht="20.5" thickBot="1" x14ac:dyDescent="0.45">
      <c r="A21" s="109" t="s">
        <v>517</v>
      </c>
      <c r="C21" s="90"/>
      <c r="D21" s="116" t="s">
        <v>320</v>
      </c>
      <c r="E21" s="116" t="s">
        <v>518</v>
      </c>
      <c r="F21" s="116" t="s">
        <v>519</v>
      </c>
      <c r="G21" s="116" t="s">
        <v>520</v>
      </c>
      <c r="H21" s="116" t="s">
        <v>521</v>
      </c>
    </row>
    <row r="22" spans="1:8" x14ac:dyDescent="0.3">
      <c r="C22" s="90"/>
      <c r="D22" s="90"/>
      <c r="E22" s="90"/>
      <c r="F22" s="90"/>
      <c r="G22" s="90"/>
    </row>
    <row r="23" spans="1:8" ht="15.5" x14ac:dyDescent="0.35">
      <c r="A23" s="123" t="s">
        <v>522</v>
      </c>
      <c r="B23" s="90"/>
      <c r="C23" s="90"/>
      <c r="D23" s="90"/>
      <c r="E23" s="90"/>
      <c r="F23" s="90"/>
      <c r="G23" s="90"/>
      <c r="H23" s="90"/>
    </row>
    <row r="24" spans="1:8" x14ac:dyDescent="0.3">
      <c r="A24" s="113" t="s">
        <v>523</v>
      </c>
      <c r="B24" s="19" t="s">
        <v>51</v>
      </c>
      <c r="C24" s="90"/>
      <c r="D24" s="90">
        <f>'Input &amp; Calculation Summary'!C30-10+5</f>
        <v>295</v>
      </c>
      <c r="E24" s="90">
        <f>'Input &amp; Calculation Summary'!D30-10+5</f>
        <v>295</v>
      </c>
      <c r="F24" s="90">
        <f>'Input &amp; Calculation Summary'!E30-10+5</f>
        <v>295</v>
      </c>
      <c r="G24" s="90">
        <f>'Input &amp; Calculation Summary'!F30-10+5</f>
        <v>295</v>
      </c>
      <c r="H24" s="90">
        <f>'Input &amp; Calculation Summary'!G30-10+5</f>
        <v>295</v>
      </c>
    </row>
    <row r="25" spans="1:8" x14ac:dyDescent="0.3">
      <c r="A25" s="1" t="s">
        <v>524</v>
      </c>
      <c r="B25" s="90" t="s">
        <v>132</v>
      </c>
      <c r="C25" s="90"/>
      <c r="D25" s="90">
        <f>'Input &amp; Calculation Summary'!C84+4</f>
        <v>10</v>
      </c>
      <c r="E25" s="90">
        <f>'Input &amp; Calculation Summary'!D84+4</f>
        <v>10</v>
      </c>
      <c r="F25" s="90">
        <f>'Input &amp; Calculation Summary'!E84+4</f>
        <v>10</v>
      </c>
      <c r="G25" s="90">
        <f>'Input &amp; Calculation Summary'!F84+4</f>
        <v>10</v>
      </c>
      <c r="H25" s="90">
        <f>'Input &amp; Calculation Summary'!G84+4</f>
        <v>10</v>
      </c>
    </row>
    <row r="26" spans="1:8" x14ac:dyDescent="0.3">
      <c r="A26" s="1" t="s">
        <v>525</v>
      </c>
      <c r="B26" s="90" t="s">
        <v>526</v>
      </c>
      <c r="C26" s="90"/>
      <c r="D26" s="93">
        <f>((D28/CO2_MolWt)+(D29/N2_MolWt)+(D30/SO2_MolWt)+(D31/O2_MolWt)+(D33/NO2_MolWt)+(D32/HCl_MolWt)+(D34/H2O_MolWt))*cubft_60/60</f>
        <v>205105.59024746579</v>
      </c>
      <c r="E26" s="93">
        <f>((E28/CO2_MolWt)+(E29/N2_MolWt)+(E30/SO2_MolWt)+(E31/O2_MolWt)+(E33/NO2_MolWt)+(E32/HCl_MolWt)+(E34/H2O_MolWt))*cubft_60/60</f>
        <v>732569.95056592673</v>
      </c>
      <c r="F26" s="93">
        <f>((F28/CO2_MolWt)+(F29/N2_MolWt)+(F30/SO2_MolWt)+(F31/O2_MolWt)+(F33/NO2_MolWt)+(F32/HCl_MolWt)+(F34/H2O_MolWt))*cubft_60/60</f>
        <v>385820.17396472127</v>
      </c>
      <c r="G26" s="93">
        <f>((G28/CO2_MolWt)+(G29/N2_MolWt)+(G30/SO2_MolWt)+(G31/O2_MolWt)+(G33/NO2_MolWt)+(G32/HCl_MolWt)+(G34/H2O_MolWt))*cubft_60/60</f>
        <v>107443.59274966927</v>
      </c>
      <c r="H26" s="93">
        <f>((H28/CO2_MolWt)+(H29/N2_MolWt)+(H30/SO2_MolWt)+(H31/O2_MolWt)+(H33/NO2_MolWt)+(H32/HCl_MolWt)+(H34/H2O_MolWt))*cubft_60/60</f>
        <v>107443.59274966927</v>
      </c>
    </row>
    <row r="27" spans="1:8" x14ac:dyDescent="0.3">
      <c r="A27" s="1" t="s">
        <v>525</v>
      </c>
      <c r="B27" s="90" t="s">
        <v>527</v>
      </c>
      <c r="C27" s="90"/>
      <c r="D27" s="108">
        <f>D26*((D24+460)/520)*(29.92/('Input &amp; Calculation Summary'!C32+(D25/inH2O_inHg)))</f>
        <v>295677.94756425993</v>
      </c>
      <c r="E27" s="108">
        <f>E26*((E24+460)/520)*(29.92/('Input &amp; Calculation Summary'!D32+(E25/inH2O_inHg)))</f>
        <v>1056064.7282662783</v>
      </c>
      <c r="F27" s="108">
        <f>F26*((F24+460)/520)*(29.92/('Input &amp; Calculation Summary'!E32+(F25/inH2O_inHg)))</f>
        <v>556194.0902202396</v>
      </c>
      <c r="G27" s="108">
        <f>G26*((G24+460)/520)*(29.92/('Input &amp; Calculation Summary'!F32+(G25/inH2O_inHg)))</f>
        <v>154889.49347905416</v>
      </c>
      <c r="H27" s="108">
        <f>H26*((H24+460)/520)*(29.92/('Input &amp; Calculation Summary'!G32+(H25/inH2O_inHg)))</f>
        <v>154889.49347905416</v>
      </c>
    </row>
    <row r="28" spans="1:8" x14ac:dyDescent="0.3">
      <c r="A28" s="1" t="s">
        <v>528</v>
      </c>
      <c r="B28" s="90" t="s">
        <v>327</v>
      </c>
      <c r="C28" s="90"/>
      <c r="D28" s="108">
        <f>Constants_CC!E467*Constants_CC!E491</f>
        <v>167773.16285284923</v>
      </c>
      <c r="E28" s="108">
        <f>Constants_CC!F467*Constants_CC!F491</f>
        <v>599172.98874379217</v>
      </c>
      <c r="F28" s="108">
        <f>Constants_CC!G467*Constants_CC!G491</f>
        <v>315564.44073839724</v>
      </c>
      <c r="G28" s="108">
        <f>Constants_CC!H467*Constants_CC!H491</f>
        <v>87878.70501575619</v>
      </c>
      <c r="H28" s="108">
        <f>Constants_CC!I467*Constants_CC!I491</f>
        <v>87878.70501575619</v>
      </c>
    </row>
    <row r="29" spans="1:8" x14ac:dyDescent="0.3">
      <c r="A29" s="1" t="s">
        <v>529</v>
      </c>
      <c r="B29" s="90" t="s">
        <v>327</v>
      </c>
      <c r="C29" s="90"/>
      <c r="D29" s="108">
        <f>Constants_CC!E468*Constants_CC!E491</f>
        <v>662514.46976216964</v>
      </c>
      <c r="E29" s="108">
        <f>Constants_CC!F468*Constants_CC!F491</f>
        <v>2366056.4549383563</v>
      </c>
      <c r="F29" s="108">
        <f>Constants_CC!G468*Constants_CC!G491</f>
        <v>1246123.0662675342</v>
      </c>
      <c r="G29" s="108">
        <f>Constants_CC!H468*Constants_CC!H491</f>
        <v>347021.61339095893</v>
      </c>
      <c r="H29" s="108">
        <f>Constants_CC!I468*Constants_CC!I491</f>
        <v>347021.61339095893</v>
      </c>
    </row>
    <row r="30" spans="1:8" x14ac:dyDescent="0.3">
      <c r="A30" s="1" t="s">
        <v>530</v>
      </c>
      <c r="B30" s="90" t="s">
        <v>327</v>
      </c>
      <c r="C30" s="90"/>
      <c r="D30" s="108">
        <f>Constants_CC!E471*Constants_CC!E491</f>
        <v>193.83</v>
      </c>
      <c r="E30" s="108">
        <f>Constants_CC!F471*Constants_CC!F491</f>
        <v>1407.2582372457464</v>
      </c>
      <c r="F30" s="108">
        <f>Constants_CC!G471*Constants_CC!G491</f>
        <v>741.15600494942635</v>
      </c>
      <c r="G30" s="108">
        <f>Constants_CC!H471*Constants_CC!H491</f>
        <v>206.3978747960428</v>
      </c>
      <c r="H30" s="108">
        <f>Constants_CC!I471*Constants_CC!I491</f>
        <v>206.3978747960428</v>
      </c>
    </row>
    <row r="31" spans="1:8" x14ac:dyDescent="0.3">
      <c r="A31" s="1" t="s">
        <v>531</v>
      </c>
      <c r="B31" s="90" t="s">
        <v>327</v>
      </c>
      <c r="C31" s="90"/>
      <c r="D31" s="108">
        <f>Constants_CC!E466*Constants_CC!E491</f>
        <v>52552.209491370908</v>
      </c>
      <c r="E31" s="108">
        <f>Constants_CC!F466*Constants_CC!F491</f>
        <v>187681.17552657705</v>
      </c>
      <c r="F31" s="108">
        <f>Constants_CC!G466*Constants_CC!G491</f>
        <v>98845.419110663919</v>
      </c>
      <c r="G31" s="108">
        <f>Constants_CC!H466*Constants_CC!H491</f>
        <v>27526.572410564637</v>
      </c>
      <c r="H31" s="108">
        <f>Constants_CC!I466*Constants_CC!I491</f>
        <v>27526.572410564637</v>
      </c>
    </row>
    <row r="32" spans="1:8" x14ac:dyDescent="0.3">
      <c r="A32" s="1" t="s">
        <v>532</v>
      </c>
      <c r="B32" s="90" t="s">
        <v>327</v>
      </c>
      <c r="C32" s="90"/>
      <c r="D32" s="108">
        <f>Constants_CC!E470*Constants_CC!E491</f>
        <v>0</v>
      </c>
      <c r="E32" s="108">
        <f>Constants_CC!F470*Constants_CC!F491</f>
        <v>0</v>
      </c>
      <c r="F32" s="108">
        <f>Constants_CC!G470*Constants_CC!G491</f>
        <v>0</v>
      </c>
      <c r="G32" s="108">
        <f>Constants_CC!H470*Constants_CC!H491</f>
        <v>0</v>
      </c>
      <c r="H32" s="108">
        <f>Constants_CC!I470*Constants_CC!I491</f>
        <v>0</v>
      </c>
    </row>
    <row r="33" spans="1:8" x14ac:dyDescent="0.3">
      <c r="A33" s="1" t="s">
        <v>533</v>
      </c>
      <c r="B33" s="90" t="s">
        <v>327</v>
      </c>
      <c r="C33" s="90"/>
      <c r="D33" s="108">
        <f>Constants_CC!E469*Constants_CC!E491</f>
        <v>149.92314802537967</v>
      </c>
      <c r="E33" s="108">
        <f>Constants_CC!F469*Constants_CC!F491</f>
        <v>535.42473156468338</v>
      </c>
      <c r="F33" s="108">
        <f>Constants_CC!G469*Constants_CC!G491</f>
        <v>281.99035862406657</v>
      </c>
      <c r="G33" s="108">
        <f>Constants_CC!H469*Constants_CC!H491</f>
        <v>78.528960629486903</v>
      </c>
      <c r="H33" s="108">
        <f>Constants_CC!I469*Constants_CC!I491</f>
        <v>78.528960629486903</v>
      </c>
    </row>
    <row r="34" spans="1:8" x14ac:dyDescent="0.3">
      <c r="A34" s="1" t="s">
        <v>534</v>
      </c>
      <c r="B34" s="90" t="s">
        <v>327</v>
      </c>
      <c r="C34" s="90"/>
      <c r="D34" s="108">
        <f>Constants_CC!E472*Constants_CC!E491</f>
        <v>59658.73835034934</v>
      </c>
      <c r="E34" s="108">
        <f>Constants_CC!F472*Constants_CC!F491</f>
        <v>213060.92079467318</v>
      </c>
      <c r="F34" s="108">
        <f>Constants_CC!G472*Constants_CC!G491</f>
        <v>112212.08495186119</v>
      </c>
      <c r="G34" s="108">
        <f>Constants_CC!H472*Constants_CC!H491</f>
        <v>31248.9350498854</v>
      </c>
      <c r="H34" s="108">
        <f>Constants_CC!I472*Constants_CC!I491</f>
        <v>31248.9350498854</v>
      </c>
    </row>
    <row r="35" spans="1:8" x14ac:dyDescent="0.3">
      <c r="A35" s="1" t="s">
        <v>60</v>
      </c>
      <c r="B35" s="90" t="s">
        <v>327</v>
      </c>
      <c r="C35" s="90"/>
      <c r="D35" s="108">
        <f>'Input &amp; Calculation Summary'!C164*Constants_CC!E491</f>
        <v>14.91</v>
      </c>
      <c r="E35" s="108">
        <f>'Input &amp; Calculation Summary'!D164*Constants_CC!F491</f>
        <v>53.2485</v>
      </c>
      <c r="F35" s="108">
        <f>'Input &amp; Calculation Summary'!E164*Constants_CC!G491</f>
        <v>28.04421</v>
      </c>
      <c r="G35" s="108">
        <f>'Input &amp; Calculation Summary'!F164*Constants_CC!H491</f>
        <v>7.8097799999999999</v>
      </c>
      <c r="H35" s="108">
        <f>'Input &amp; Calculation Summary'!G164*Constants_CC!I491</f>
        <v>7.8097799999999999</v>
      </c>
    </row>
    <row r="36" spans="1:8" x14ac:dyDescent="0.3">
      <c r="A36" s="1" t="s">
        <v>535</v>
      </c>
      <c r="B36" s="90" t="s">
        <v>327</v>
      </c>
      <c r="C36" s="90"/>
      <c r="D36" s="108">
        <f>SUM(D28:D34)</f>
        <v>942842.33360476454</v>
      </c>
      <c r="E36" s="108">
        <f>SUM(E28:E34)</f>
        <v>3367914.2229722096</v>
      </c>
      <c r="F36" s="108">
        <f>SUM(F28:F34)</f>
        <v>1773768.1574320302</v>
      </c>
      <c r="G36" s="108">
        <f>SUM(G28:G34)</f>
        <v>493960.75270259072</v>
      </c>
      <c r="H36" s="108">
        <f>SUM(H28:H34)</f>
        <v>493960.75270259072</v>
      </c>
    </row>
    <row r="37" spans="1:8" x14ac:dyDescent="0.3">
      <c r="B37" s="90"/>
      <c r="C37" s="90"/>
      <c r="D37" s="90"/>
      <c r="E37" s="90"/>
      <c r="F37" s="90"/>
      <c r="G37" s="90"/>
      <c r="H37" s="90"/>
    </row>
    <row r="38" spans="1:8" ht="15.5" x14ac:dyDescent="0.35">
      <c r="A38" s="123" t="s">
        <v>536</v>
      </c>
      <c r="B38" s="90"/>
      <c r="C38" s="90"/>
      <c r="D38" s="90"/>
      <c r="E38" s="90"/>
      <c r="F38" s="90"/>
      <c r="G38" s="90"/>
      <c r="H38" s="90"/>
    </row>
    <row r="39" spans="1:8" x14ac:dyDescent="0.3">
      <c r="A39" s="113" t="s">
        <v>523</v>
      </c>
      <c r="B39" s="19" t="s">
        <v>51</v>
      </c>
      <c r="C39" s="90"/>
      <c r="D39" s="90">
        <f t="shared" ref="D39:H40" si="0">D24</f>
        <v>295</v>
      </c>
      <c r="E39" s="90">
        <f t="shared" si="0"/>
        <v>295</v>
      </c>
      <c r="F39" s="90">
        <f t="shared" si="0"/>
        <v>295</v>
      </c>
      <c r="G39" s="90">
        <f t="shared" si="0"/>
        <v>295</v>
      </c>
      <c r="H39" s="90">
        <f t="shared" si="0"/>
        <v>295</v>
      </c>
    </row>
    <row r="40" spans="1:8" x14ac:dyDescent="0.3">
      <c r="A40" s="1" t="s">
        <v>524</v>
      </c>
      <c r="B40" s="90" t="s">
        <v>132</v>
      </c>
      <c r="C40" s="90"/>
      <c r="D40" s="90">
        <f t="shared" si="0"/>
        <v>10</v>
      </c>
      <c r="E40" s="90">
        <f t="shared" si="0"/>
        <v>10</v>
      </c>
      <c r="F40" s="90">
        <f t="shared" si="0"/>
        <v>10</v>
      </c>
      <c r="G40" s="90">
        <f t="shared" si="0"/>
        <v>10</v>
      </c>
      <c r="H40" s="90">
        <f t="shared" si="0"/>
        <v>10</v>
      </c>
    </row>
    <row r="41" spans="1:8" x14ac:dyDescent="0.3">
      <c r="A41" s="1" t="s">
        <v>525</v>
      </c>
      <c r="B41" s="90" t="s">
        <v>526</v>
      </c>
      <c r="C41" s="90"/>
      <c r="D41" s="93">
        <f>((D43/CO2_MolWt)+(D44/N2_MolWt)+(D45/SO2_MolWt)+(D46/O2_MolWt)+(D48/NO2_MolWt)+(D47/HCl_MolWt)+(D49/H2O_MolWt))*cubft_60/60</f>
        <v>205105.59024746579</v>
      </c>
      <c r="E41" s="93">
        <f>((E43/CO2_MolWt)+(E44/N2_MolWt)+(E45/SO2_MolWt)+(E46/O2_MolWt)+(E48/NO2_MolWt)+(E47/HCl_MolWt)+(E49/H2O_MolWt))*cubft_60/60</f>
        <v>732569.95056592673</v>
      </c>
      <c r="F41" s="93">
        <f>((F43/CO2_MolWt)+(F44/N2_MolWt)+(F45/SO2_MolWt)+(F46/O2_MolWt)+(F48/NO2_MolWt)+(F47/HCl_MolWt)+(F49/H2O_MolWt))*cubft_60/60</f>
        <v>385820.17396472127</v>
      </c>
      <c r="G41" s="93">
        <f>((G43/CO2_MolWt)+(G44/N2_MolWt)+(G45/SO2_MolWt)+(G46/O2_MolWt)+(G48/NO2_MolWt)+(G47/HCl_MolWt)+(G49/H2O_MolWt))*cubft_60/60</f>
        <v>107443.59274966927</v>
      </c>
      <c r="H41" s="93">
        <f>((H43/CO2_MolWt)+(H44/N2_MolWt)+(H45/SO2_MolWt)+(H46/O2_MolWt)+(H48/NO2_MolWt)+(H47/HCl_MolWt)+(H49/H2O_MolWt))*cubft_60/60</f>
        <v>107443.59274966927</v>
      </c>
    </row>
    <row r="42" spans="1:8" x14ac:dyDescent="0.3">
      <c r="A42" s="1" t="s">
        <v>525</v>
      </c>
      <c r="B42" s="90" t="s">
        <v>527</v>
      </c>
      <c r="C42" s="90"/>
      <c r="D42" s="108">
        <f>D41*((D39+460)/520)*(29.92/('Input &amp; Calculation Summary'!C32+(D40/inH2O_inHg)))</f>
        <v>295677.94756425993</v>
      </c>
      <c r="E42" s="108">
        <f>E41*((E39+460)/520)*(29.92/('Input &amp; Calculation Summary'!D32+(E40/inH2O_inHg)))</f>
        <v>1056064.7282662783</v>
      </c>
      <c r="F42" s="108">
        <f>F41*((F39+460)/520)*(29.92/('Input &amp; Calculation Summary'!E32+(F40/inH2O_inHg)))</f>
        <v>556194.0902202396</v>
      </c>
      <c r="G42" s="108">
        <f>G41*((G39+460)/520)*(29.92/('Input &amp; Calculation Summary'!F32+(G40/inH2O_inHg)))</f>
        <v>154889.49347905416</v>
      </c>
      <c r="H42" s="108">
        <f>H41*((H39+460)/520)*(29.92/('Input &amp; Calculation Summary'!G32+(H40/inH2O_inHg)))</f>
        <v>154889.49347905416</v>
      </c>
    </row>
    <row r="43" spans="1:8" x14ac:dyDescent="0.3">
      <c r="A43" s="1" t="s">
        <v>528</v>
      </c>
      <c r="B43" s="90" t="s">
        <v>327</v>
      </c>
      <c r="C43" s="90"/>
      <c r="D43" s="108">
        <f>D28/'Input &amp; Calculation Summary'!C80</f>
        <v>167773.16285284923</v>
      </c>
      <c r="E43" s="108">
        <f>E28/'Input &amp; Calculation Summary'!D80</f>
        <v>599172.98874379217</v>
      </c>
      <c r="F43" s="108">
        <f>F28/'Input &amp; Calculation Summary'!E80</f>
        <v>315564.44073839724</v>
      </c>
      <c r="G43" s="108">
        <f>G28/'Input &amp; Calculation Summary'!F80</f>
        <v>87878.70501575619</v>
      </c>
      <c r="H43" s="108">
        <f>H28/'Input &amp; Calculation Summary'!G80</f>
        <v>87878.70501575619</v>
      </c>
    </row>
    <row r="44" spans="1:8" x14ac:dyDescent="0.3">
      <c r="A44" s="1" t="s">
        <v>529</v>
      </c>
      <c r="B44" s="90" t="s">
        <v>327</v>
      </c>
      <c r="C44" s="90"/>
      <c r="D44" s="108">
        <f>D29/'Input &amp; Calculation Summary'!C80</f>
        <v>662514.46976216964</v>
      </c>
      <c r="E44" s="108">
        <f>E29/'Input &amp; Calculation Summary'!D80</f>
        <v>2366056.4549383563</v>
      </c>
      <c r="F44" s="108">
        <f>F29/'Input &amp; Calculation Summary'!E80</f>
        <v>1246123.0662675342</v>
      </c>
      <c r="G44" s="108">
        <f>G29/'Input &amp; Calculation Summary'!F80</f>
        <v>347021.61339095893</v>
      </c>
      <c r="H44" s="108">
        <f>H29/'Input &amp; Calculation Summary'!G80</f>
        <v>347021.61339095893</v>
      </c>
    </row>
    <row r="45" spans="1:8" x14ac:dyDescent="0.3">
      <c r="A45" s="1" t="s">
        <v>530</v>
      </c>
      <c r="B45" s="90" t="s">
        <v>327</v>
      </c>
      <c r="C45" s="90"/>
      <c r="D45" s="108">
        <f>D30/'Input &amp; Calculation Summary'!C80</f>
        <v>193.83</v>
      </c>
      <c r="E45" s="108">
        <f>E30/'Input &amp; Calculation Summary'!D80</f>
        <v>1407.2582372457464</v>
      </c>
      <c r="F45" s="108">
        <f>F30/'Input &amp; Calculation Summary'!E80</f>
        <v>741.15600494942635</v>
      </c>
      <c r="G45" s="108">
        <f>G30/'Input &amp; Calculation Summary'!F80</f>
        <v>206.3978747960428</v>
      </c>
      <c r="H45" s="108">
        <f>H30/'Input &amp; Calculation Summary'!G80</f>
        <v>206.3978747960428</v>
      </c>
    </row>
    <row r="46" spans="1:8" x14ac:dyDescent="0.3">
      <c r="A46" s="1" t="s">
        <v>531</v>
      </c>
      <c r="B46" s="90" t="s">
        <v>327</v>
      </c>
      <c r="C46" s="90"/>
      <c r="D46" s="108">
        <f>D31/'Input &amp; Calculation Summary'!C80</f>
        <v>52552.209491370908</v>
      </c>
      <c r="E46" s="108">
        <f>E31/'Input &amp; Calculation Summary'!D80</f>
        <v>187681.17552657705</v>
      </c>
      <c r="F46" s="108">
        <f>F31/'Input &amp; Calculation Summary'!E80</f>
        <v>98845.419110663919</v>
      </c>
      <c r="G46" s="108">
        <f>G31/'Input &amp; Calculation Summary'!F80</f>
        <v>27526.572410564637</v>
      </c>
      <c r="H46" s="108">
        <f>H31/'Input &amp; Calculation Summary'!G80</f>
        <v>27526.572410564637</v>
      </c>
    </row>
    <row r="47" spans="1:8" x14ac:dyDescent="0.3">
      <c r="A47" s="1" t="s">
        <v>532</v>
      </c>
      <c r="B47" s="90" t="s">
        <v>327</v>
      </c>
      <c r="C47" s="90"/>
      <c r="D47" s="108">
        <f>D32/'Input &amp; Calculation Summary'!C80</f>
        <v>0</v>
      </c>
      <c r="E47" s="108">
        <f>E32/'Input &amp; Calculation Summary'!D80</f>
        <v>0</v>
      </c>
      <c r="F47" s="108">
        <f>F32/'Input &amp; Calculation Summary'!E80</f>
        <v>0</v>
      </c>
      <c r="G47" s="108">
        <f>G32/'Input &amp; Calculation Summary'!F80</f>
        <v>0</v>
      </c>
      <c r="H47" s="108">
        <f>H32/'Input &amp; Calculation Summary'!G80</f>
        <v>0</v>
      </c>
    </row>
    <row r="48" spans="1:8" x14ac:dyDescent="0.3">
      <c r="A48" s="1" t="s">
        <v>533</v>
      </c>
      <c r="B48" s="90" t="s">
        <v>327</v>
      </c>
      <c r="C48" s="90"/>
      <c r="D48" s="108">
        <f>D33/'Input &amp; Calculation Summary'!C80</f>
        <v>149.92314802537967</v>
      </c>
      <c r="E48" s="108">
        <f>E33/'Input &amp; Calculation Summary'!D80</f>
        <v>535.42473156468338</v>
      </c>
      <c r="F48" s="108">
        <f>F33/'Input &amp; Calculation Summary'!E80</f>
        <v>281.99035862406657</v>
      </c>
      <c r="G48" s="108">
        <f>G33/'Input &amp; Calculation Summary'!F80</f>
        <v>78.528960629486903</v>
      </c>
      <c r="H48" s="108">
        <f>H33/'Input &amp; Calculation Summary'!G80</f>
        <v>78.528960629486903</v>
      </c>
    </row>
    <row r="49" spans="1:8" x14ac:dyDescent="0.3">
      <c r="A49" s="1" t="s">
        <v>534</v>
      </c>
      <c r="B49" s="90" t="s">
        <v>327</v>
      </c>
      <c r="C49" s="90"/>
      <c r="D49" s="108">
        <f>D34/'Input &amp; Calculation Summary'!C80</f>
        <v>59658.73835034934</v>
      </c>
      <c r="E49" s="108">
        <f>E34/'Input &amp; Calculation Summary'!D80</f>
        <v>213060.92079467318</v>
      </c>
      <c r="F49" s="108">
        <f>F34/'Input &amp; Calculation Summary'!E80</f>
        <v>112212.08495186119</v>
      </c>
      <c r="G49" s="108">
        <f>G34/'Input &amp; Calculation Summary'!F80</f>
        <v>31248.9350498854</v>
      </c>
      <c r="H49" s="108">
        <f>H34/'Input &amp; Calculation Summary'!G80</f>
        <v>31248.9350498854</v>
      </c>
    </row>
    <row r="50" spans="1:8" x14ac:dyDescent="0.3">
      <c r="A50" s="1" t="s">
        <v>60</v>
      </c>
      <c r="B50" s="90" t="s">
        <v>327</v>
      </c>
      <c r="C50" s="90"/>
      <c r="D50" s="108">
        <f>D35/'Input &amp; Calculation Summary'!C80</f>
        <v>14.91</v>
      </c>
      <c r="E50" s="108">
        <f>E35/'Input &amp; Calculation Summary'!D80</f>
        <v>53.2485</v>
      </c>
      <c r="F50" s="108">
        <f>F35/'Input &amp; Calculation Summary'!E80</f>
        <v>28.04421</v>
      </c>
      <c r="G50" s="108">
        <f>G35/'Input &amp; Calculation Summary'!F80</f>
        <v>7.8097799999999999</v>
      </c>
      <c r="H50" s="108">
        <f>H35/'Input &amp; Calculation Summary'!G80</f>
        <v>7.8097799999999999</v>
      </c>
    </row>
    <row r="51" spans="1:8" x14ac:dyDescent="0.3">
      <c r="A51" s="1" t="s">
        <v>535</v>
      </c>
      <c r="B51" s="90" t="s">
        <v>327</v>
      </c>
      <c r="C51" s="90"/>
      <c r="D51" s="108">
        <f>SUM(D43:D49)</f>
        <v>942842.33360476454</v>
      </c>
      <c r="E51" s="108">
        <f>SUM(E43:E49)</f>
        <v>3367914.2229722096</v>
      </c>
      <c r="F51" s="108">
        <f>SUM(F43:F49)</f>
        <v>1773768.1574320302</v>
      </c>
      <c r="G51" s="108">
        <f>SUM(G43:G49)</f>
        <v>493960.75270259072</v>
      </c>
      <c r="H51" s="108">
        <f>SUM(H43:H49)</f>
        <v>493960.75270259072</v>
      </c>
    </row>
    <row r="52" spans="1:8" x14ac:dyDescent="0.3">
      <c r="B52" s="90"/>
      <c r="C52" s="90"/>
      <c r="D52" s="108"/>
      <c r="E52" s="108"/>
      <c r="F52" s="108"/>
      <c r="G52" s="108"/>
      <c r="H52" s="108"/>
    </row>
    <row r="53" spans="1:8" ht="15.5" x14ac:dyDescent="0.35">
      <c r="A53" s="123" t="s">
        <v>537</v>
      </c>
      <c r="B53" s="90"/>
      <c r="C53" s="90"/>
      <c r="D53" s="90"/>
      <c r="E53" s="90"/>
      <c r="F53" s="90"/>
      <c r="G53" s="90"/>
      <c r="H53" s="90"/>
    </row>
    <row r="54" spans="1:8" x14ac:dyDescent="0.3">
      <c r="A54" s="113" t="s">
        <v>523</v>
      </c>
      <c r="B54" s="19" t="s">
        <v>51</v>
      </c>
      <c r="C54" s="90"/>
      <c r="D54" s="90">
        <f>'Input &amp; Calculation Summary'!C74</f>
        <v>127</v>
      </c>
      <c r="E54" s="90">
        <f>'Input &amp; Calculation Summary'!D74</f>
        <v>127</v>
      </c>
      <c r="F54" s="90">
        <f>'Input &amp; Calculation Summary'!E74</f>
        <v>127</v>
      </c>
      <c r="G54" s="90">
        <f>'Input &amp; Calculation Summary'!F74</f>
        <v>127</v>
      </c>
      <c r="H54" s="90">
        <f>'Input &amp; Calculation Summary'!G74</f>
        <v>127</v>
      </c>
    </row>
    <row r="55" spans="1:8" x14ac:dyDescent="0.3">
      <c r="A55" s="1" t="s">
        <v>524</v>
      </c>
      <c r="B55" s="90" t="s">
        <v>132</v>
      </c>
      <c r="C55" s="90"/>
      <c r="D55" s="90">
        <f>D40-'Input &amp; Calculation Summary'!C84</f>
        <v>4</v>
      </c>
      <c r="E55" s="90">
        <f>E40-'Input &amp; Calculation Summary'!D84</f>
        <v>4</v>
      </c>
      <c r="F55" s="90">
        <f>F40-'Input &amp; Calculation Summary'!E84</f>
        <v>4</v>
      </c>
      <c r="G55" s="90">
        <f>G40-'Input &amp; Calculation Summary'!F84</f>
        <v>4</v>
      </c>
      <c r="H55" s="90">
        <f>H40-'Input &amp; Calculation Summary'!G84</f>
        <v>4</v>
      </c>
    </row>
    <row r="56" spans="1:8" x14ac:dyDescent="0.3">
      <c r="A56" s="1" t="s">
        <v>525</v>
      </c>
      <c r="B56" s="90" t="s">
        <v>526</v>
      </c>
      <c r="C56" s="90"/>
      <c r="D56" s="108">
        <f>((D58/CO2_MolWt)+(D59/N2_MolWt)+(D60/SO2_MolWt)+(D61/O2_MolWt)+(D63/NO_MolWt)+(D64/H2O_MolWt))*(cubft_60/60)</f>
        <v>213946.18985825373</v>
      </c>
      <c r="E56" s="108">
        <f>((E58/CO2_MolWt)+(E59/N2_MolWt)+(E60/SO2_MolWt)+(E61/O2_MolWt)+(E63/NO_MolWt)+(E64/H2O_MolWt))*(cubft_60/60)</f>
        <v>765041.90750016877</v>
      </c>
      <c r="F56" s="108">
        <f>((F58/CO2_MolWt)+(F59/N2_MolWt)+(F60/SO2_MolWt)+(F61/O2_MolWt)+(F63/NO_MolWt)+(F64/H2O_MolWt))*(cubft_60/60)</f>
        <v>402922.07128342212</v>
      </c>
      <c r="G56" s="108">
        <f>((G58/CO2_MolWt)+(G59/N2_MolWt)+(G60/SO2_MolWt)+(G61/O2_MolWt)+(G63/NO_MolWt)+(G64/H2O_MolWt))*(cubft_60/60)</f>
        <v>112206.1464333581</v>
      </c>
      <c r="H56" s="108">
        <f>((H58/CO2_MolWt)+(H59/N2_MolWt)+(H60/SO2_MolWt)+(H61/O2_MolWt)+(H63/NO_MolWt)+(H64/H2O_MolWt))*(cubft_60/60)</f>
        <v>112206.1464333581</v>
      </c>
    </row>
    <row r="57" spans="1:8" x14ac:dyDescent="0.3">
      <c r="A57" s="1" t="s">
        <v>525</v>
      </c>
      <c r="B57" s="90" t="s">
        <v>527</v>
      </c>
      <c r="C57" s="90"/>
      <c r="D57" s="108">
        <f>D56*((D54+460)/520)*(29.92/('Input &amp; Calculation Summary'!C32+(D55/inH2O_inHg)))</f>
        <v>243352.16694679589</v>
      </c>
      <c r="E57" s="108">
        <f>E56*((E54+460)/520)*(29.92/('Input &amp; Calculation Summary'!D32+(E55/inH2O_inHg)))</f>
        <v>870193.6039086415</v>
      </c>
      <c r="F57" s="108">
        <f>F56*((F54+460)/520)*(29.92/('Input &amp; Calculation Summary'!E32+(F55/inH2O_inHg)))</f>
        <v>458301.96472521772</v>
      </c>
      <c r="G57" s="108">
        <f>G56*((G54+460)/520)*(29.92/('Input &amp; Calculation Summary'!F32+(G55/inH2O_inHg)))</f>
        <v>127628.39523993409</v>
      </c>
      <c r="H57" s="108">
        <f>H56*((H54+460)/520)*(29.92/('Input &amp; Calculation Summary'!G32+(H55/inH2O_inHg)))</f>
        <v>127628.39523993409</v>
      </c>
    </row>
    <row r="58" spans="1:8" x14ac:dyDescent="0.3">
      <c r="A58" s="1" t="s">
        <v>528</v>
      </c>
      <c r="B58" s="90" t="s">
        <v>327</v>
      </c>
      <c r="C58" s="90"/>
      <c r="D58" s="108">
        <f>D43+D354+(D47/HCl_MolWt*CO2_MolWt/2)</f>
        <v>167839.74172779694</v>
      </c>
      <c r="E58" s="108">
        <f>E43+E354+(E47/HCl_MolWt*CO2_MolWt/2)</f>
        <v>600091.41196709999</v>
      </c>
      <c r="F58" s="108">
        <f>F43+F354+(F47/HCl_MolWt*CO2_MolWt/2)</f>
        <v>316048.14363600605</v>
      </c>
      <c r="G58" s="108">
        <f>G43+G354+(G47/HCl_MolWt*CO2_MolWt/2)</f>
        <v>88013.407088508015</v>
      </c>
      <c r="H58" s="108">
        <f>H43+H354+(H47/HCl_MolWt*CO2_MolWt/2)</f>
        <v>88013.407088508015</v>
      </c>
    </row>
    <row r="59" spans="1:8" x14ac:dyDescent="0.3">
      <c r="A59" s="1" t="s">
        <v>529</v>
      </c>
      <c r="B59" s="90" t="s">
        <v>327</v>
      </c>
      <c r="C59" s="90"/>
      <c r="D59" s="108">
        <f>D44+D126</f>
        <v>662835.50564022316</v>
      </c>
      <c r="E59" s="108">
        <f>E44+E126</f>
        <v>2370484.9888562239</v>
      </c>
      <c r="F59" s="108">
        <f>F44+F126</f>
        <v>1248455.4274642777</v>
      </c>
      <c r="G59" s="108">
        <f>G44+G126</f>
        <v>347671.13169891282</v>
      </c>
      <c r="H59" s="108">
        <f>H44+H126</f>
        <v>347671.13169891282</v>
      </c>
    </row>
    <row r="60" spans="1:8" x14ac:dyDescent="0.3">
      <c r="A60" s="1" t="s">
        <v>530</v>
      </c>
      <c r="B60" s="90" t="s">
        <v>327</v>
      </c>
      <c r="C60" s="90"/>
      <c r="D60" s="108">
        <f>D45-D350</f>
        <v>96.915000000000006</v>
      </c>
      <c r="E60" s="108">
        <f>E45-E350</f>
        <v>70.362911862287319</v>
      </c>
      <c r="F60" s="108">
        <f>F45-F350</f>
        <v>37.057800247471391</v>
      </c>
      <c r="G60" s="108">
        <f>G45-G350</f>
        <v>10.319893739802154</v>
      </c>
      <c r="H60" s="108">
        <f>H45-H350</f>
        <v>10.319893739802154</v>
      </c>
    </row>
    <row r="61" spans="1:8" x14ac:dyDescent="0.3">
      <c r="A61" s="1" t="s">
        <v>531</v>
      </c>
      <c r="B61" s="90" t="s">
        <v>327</v>
      </c>
      <c r="C61" s="90"/>
      <c r="D61" s="108">
        <f>D46+D127-D362</f>
        <v>52624.821764843189</v>
      </c>
      <c r="E61" s="108">
        <f>E46+E127-E362</f>
        <v>188682.82655036653</v>
      </c>
      <c r="F61" s="108">
        <f>F46+F127-F362</f>
        <v>99372.955316526379</v>
      </c>
      <c r="G61" s="108">
        <f>G46+G127-G362</f>
        <v>27673.481227387092</v>
      </c>
      <c r="H61" s="108">
        <f>H46+H127-H362</f>
        <v>27673.481227387092</v>
      </c>
    </row>
    <row r="62" spans="1:8" x14ac:dyDescent="0.3">
      <c r="A62" s="1" t="s">
        <v>532</v>
      </c>
      <c r="B62" s="90" t="s">
        <v>327</v>
      </c>
      <c r="C62" s="90"/>
      <c r="D62" s="90">
        <v>0</v>
      </c>
      <c r="E62" s="90">
        <v>0</v>
      </c>
      <c r="F62" s="90">
        <v>0</v>
      </c>
      <c r="G62" s="90">
        <v>0</v>
      </c>
      <c r="H62" s="90">
        <v>0</v>
      </c>
    </row>
    <row r="63" spans="1:8" x14ac:dyDescent="0.3">
      <c r="A63" s="1" t="s">
        <v>533</v>
      </c>
      <c r="B63" s="90" t="s">
        <v>327</v>
      </c>
      <c r="C63" s="90"/>
      <c r="D63" s="108">
        <f>D48</f>
        <v>149.92314802537967</v>
      </c>
      <c r="E63" s="108">
        <f>E48</f>
        <v>535.42473156468338</v>
      </c>
      <c r="F63" s="108">
        <f>F48</f>
        <v>281.99035862406657</v>
      </c>
      <c r="G63" s="108">
        <f>G48</f>
        <v>78.528960629486903</v>
      </c>
      <c r="H63" s="108">
        <f>H48</f>
        <v>78.528960629486903</v>
      </c>
    </row>
    <row r="64" spans="1:8" x14ac:dyDescent="0.3">
      <c r="A64" s="1" t="s">
        <v>534</v>
      </c>
      <c r="B64" s="90" t="s">
        <v>327</v>
      </c>
      <c r="C64" s="90"/>
      <c r="D64" s="108">
        <f>D368*H2O_MolWt+(D47/HCl_MolWt*H2O_MolWt/2)</f>
        <v>84551.987913555582</v>
      </c>
      <c r="E64" s="108">
        <f>E368*H2O_MolWt+(E47/HCl_MolWt*H2O_MolWt/2)</f>
        <v>301995.30278122053</v>
      </c>
      <c r="F64" s="108">
        <f>F368*H2O_MolWt+(F47/HCl_MolWt*H2O_MolWt/2)</f>
        <v>159050.85946477612</v>
      </c>
      <c r="G64" s="108">
        <f>G368*H2O_MolWt+(G47/HCl_MolWt*H2O_MolWt/2)</f>
        <v>44292.644407912354</v>
      </c>
      <c r="H64" s="108">
        <f>H368*H2O_MolWt+(H47/HCl_MolWt*H2O_MolWt/2)</f>
        <v>44292.644407912354</v>
      </c>
    </row>
    <row r="65" spans="1:8" x14ac:dyDescent="0.3">
      <c r="A65" s="1" t="s">
        <v>60</v>
      </c>
      <c r="B65" s="90" t="s">
        <v>327</v>
      </c>
      <c r="C65" s="90"/>
      <c r="D65" s="108">
        <f>D50</f>
        <v>14.91</v>
      </c>
      <c r="E65" s="108">
        <f>E50</f>
        <v>53.2485</v>
      </c>
      <c r="F65" s="108">
        <f>F50</f>
        <v>28.04421</v>
      </c>
      <c r="G65" s="108">
        <f>G50</f>
        <v>7.8097799999999999</v>
      </c>
      <c r="H65" s="108">
        <f>H50</f>
        <v>7.8097799999999999</v>
      </c>
    </row>
    <row r="66" spans="1:8" x14ac:dyDescent="0.3">
      <c r="A66" s="1" t="s">
        <v>535</v>
      </c>
      <c r="B66" s="90" t="s">
        <v>327</v>
      </c>
      <c r="C66" s="90"/>
      <c r="D66" s="108">
        <f>SUM(D58:D64)</f>
        <v>968098.89519444434</v>
      </c>
      <c r="E66" s="108">
        <f>SUM(E58:E64)</f>
        <v>3461860.3177983379</v>
      </c>
      <c r="F66" s="108">
        <f>SUM(F58:F64)</f>
        <v>1823246.4340404579</v>
      </c>
      <c r="G66" s="108">
        <f>SUM(G58:G64)</f>
        <v>507739.51327708957</v>
      </c>
      <c r="H66" s="108">
        <f>SUM(H58:H64)</f>
        <v>507739.51327708957</v>
      </c>
    </row>
    <row r="67" spans="1:8" ht="13.5" x14ac:dyDescent="0.35">
      <c r="A67" s="204" t="s">
        <v>538</v>
      </c>
      <c r="B67" s="90"/>
      <c r="C67" s="90"/>
      <c r="D67" s="108"/>
      <c r="E67" s="108"/>
      <c r="F67" s="108"/>
      <c r="G67" s="108"/>
      <c r="H67" s="108"/>
    </row>
    <row r="68" spans="1:8" x14ac:dyDescent="0.3">
      <c r="A68" s="1" t="s">
        <v>539</v>
      </c>
      <c r="B68" s="19" t="s">
        <v>540</v>
      </c>
      <c r="C68" s="90"/>
      <c r="D68" s="205">
        <f>6.732+((0.001505*(D83^2-D85^2))/(2*(D83-D85)))-((0.0000001791*(D83^3-D85^3))/(3*(D83-D85)))</f>
        <v>7.2129169651740739</v>
      </c>
      <c r="E68" s="205">
        <f>6.732+((0.001505*(E83^2-E85^2))/(2*(E83-E85)))-((0.0000001791*(E83^3-E85^3))/(3*(E83-E85)))</f>
        <v>7.2129169651740739</v>
      </c>
      <c r="F68" s="205">
        <f>6.732+((0.001505*(F83^2-F85^2))/(2*(F83-F85)))-((0.0000001791*(F83^3-F85^3))/(3*(F83-F85)))</f>
        <v>7.2129169651740739</v>
      </c>
      <c r="G68" s="205">
        <f>6.732+((0.001505*(G83^2-G85^2))/(2*(G83-G85)))-((0.0000001791*(G83^3-G85^3))/(3*(G83-G85)))</f>
        <v>7.2129169651740739</v>
      </c>
      <c r="H68" s="205">
        <f>6.732+((0.001505*(H83^2-H85^2))/(2*(H83-H85)))-((0.0000001791*(H83^3-H85^3))/(3*(H83-H85)))</f>
        <v>7.2129169651740739</v>
      </c>
    </row>
    <row r="69" spans="1:8" x14ac:dyDescent="0.3">
      <c r="A69" s="1" t="s">
        <v>541</v>
      </c>
      <c r="B69" s="19" t="s">
        <v>540</v>
      </c>
      <c r="C69" s="90"/>
      <c r="D69" s="205">
        <f>18.036-((0.00004474*(D83^2-D85^2))/(2*(D83-D85)))-((158.08*(D83^0.5-D85^0.5))/(0.5*(D83-D85)))</f>
        <v>9.3542960257738539</v>
      </c>
      <c r="E69" s="205">
        <f>18.036-((0.00004474*(E83^2-E85^2))/(2*(E83-E85)))-((158.08*(E83^0.5-E85^0.5))/(0.5*(E83-E85)))</f>
        <v>9.3542960257738539</v>
      </c>
      <c r="F69" s="205">
        <f>18.036-((0.00004474*(F83^2-F85^2))/(2*(F83-F85)))-((158.08*(F83^0.5-F85^0.5))/(0.5*(F83-F85)))</f>
        <v>9.3542960257738539</v>
      </c>
      <c r="G69" s="205">
        <f>18.036-((0.00004474*(G83^2-G85^2))/(2*(G83-G85)))-((158.08*(G83^0.5-G85^0.5))/(0.5*(G83-G85)))</f>
        <v>9.3542960257738539</v>
      </c>
      <c r="H69" s="205">
        <f>18.036-((0.00004474*(H83^2-H85^2))/(2*(H83-H85)))-((158.08*(H83^0.5-H85^0.5))/(0.5*(H83-H85)))</f>
        <v>9.3542960257738539</v>
      </c>
    </row>
    <row r="70" spans="1:8" x14ac:dyDescent="0.3">
      <c r="A70" s="1" t="s">
        <v>542</v>
      </c>
      <c r="B70" s="19" t="s">
        <v>540</v>
      </c>
      <c r="C70" s="90"/>
      <c r="D70" s="205">
        <f>6.529+((0.001488*(D83^2-D85^2))/(2*(D83-D85)))-((0.0000002271*(D83^3-D85^3))/(3*(D83-D85)))</f>
        <v>6.9989461200876537</v>
      </c>
      <c r="E70" s="205">
        <f>6.529+((0.001488*(E83^2-E85^2))/(2*(E83-E85)))-((0.0000002271*(E83^3-E85^3))/(3*(E83-E85)))</f>
        <v>6.9989461200876537</v>
      </c>
      <c r="F70" s="205">
        <f>6.529+((0.001488*(F83^2-F85^2))/(2*(F83-F85)))-((0.0000002271*(F83^3-F85^3))/(3*(F83-F85)))</f>
        <v>6.9989461200876537</v>
      </c>
      <c r="G70" s="205">
        <f>6.529+((0.001488*(G83^2-G85^2))/(2*(G83-G85)))-((0.0000002271*(G83^3-G85^3))/(3*(G83-G85)))</f>
        <v>6.9989461200876537</v>
      </c>
      <c r="H70" s="205">
        <f>6.529+((0.001488*(H83^2-H85^2))/(2*(H83-H85)))-((0.0000002271*(H83^3-H85^3))/(3*(H83-H85)))</f>
        <v>6.9989461200876537</v>
      </c>
    </row>
    <row r="71" spans="1:8" x14ac:dyDescent="0.3">
      <c r="A71" s="1" t="s">
        <v>543</v>
      </c>
      <c r="B71" s="19" t="s">
        <v>540</v>
      </c>
      <c r="C71" s="90"/>
      <c r="D71" s="205">
        <f>7.88+((0.0032*(D82^2-D84^2))/(2*(D82-D84)))-((0.0000004833*(D82^3-D84^3))/(3*(D82-D84)))</f>
        <v>8.0693795347222235</v>
      </c>
      <c r="E71" s="205">
        <f>7.88+((0.0032*(E82^2-E84^2))/(2*(E82-E84)))-((0.0000004833*(E82^3-E84^3))/(3*(E82-E84)))</f>
        <v>8.0693795347222235</v>
      </c>
      <c r="F71" s="205">
        <f>7.88+((0.0032*(F82^2-F84^2))/(2*(F82-F84)))-((0.0000004833*(F82^3-F84^3))/(3*(F82-F84)))</f>
        <v>8.0693795347222235</v>
      </c>
      <c r="G71" s="205">
        <f>7.88+((0.0032*(G82^2-G84^2))/(2*(G82-G84)))-((0.0000004833*(G82^3-G84^3))/(3*(G82-G84)))</f>
        <v>8.0693795347222235</v>
      </c>
      <c r="H71" s="205">
        <f>7.88+((0.0032*(H82^2-H84^2))/(2*(H82-H84)))-((0.0000004833*(H82^3-H84^3))/(3*(H82-H84)))</f>
        <v>8.0693795347222235</v>
      </c>
    </row>
    <row r="72" spans="1:8" x14ac:dyDescent="0.3">
      <c r="A72" s="1" t="s">
        <v>544</v>
      </c>
      <c r="B72" s="19" t="s">
        <v>540</v>
      </c>
      <c r="C72" s="90"/>
      <c r="D72" s="205">
        <f>7.05+((0.001957*(D82^2-D84^2))/(2*(D82-D84)))-((0.000000699*(D82^3-D84^3))/(3*(D82-D84)))+((0.00000000008729*(D82^4-D84^4))/(4*(D82-D84)))</f>
        <v>7.1643908438431811</v>
      </c>
      <c r="E72" s="205">
        <f>7.05+((0.001957*(E82^2-E84^2))/(2*(E82-E84)))-((0.000000699*(E82^3-E84^3))/(3*(E82-E84)))+((0.00000000008729*(E82^4-E84^4))/(4*(E82-E84)))</f>
        <v>7.1643908438431811</v>
      </c>
      <c r="F72" s="205">
        <f>7.05+((0.001957*(F82^2-F84^2))/(2*(F82-F84)))-((0.000000699*(F82^3-F84^3))/(3*(F82-F84)))+((0.00000000008729*(F82^4-F84^4))/(4*(F82-F84)))</f>
        <v>7.1643908438431811</v>
      </c>
      <c r="G72" s="205">
        <f>7.05+((0.001957*(G82^2-G84^2))/(2*(G82-G84)))-((0.000000699*(G82^3-G84^3))/(3*(G82-G84)))+((0.00000000008729*(G82^4-G84^4))/(4*(G82-G84)))</f>
        <v>7.1643908438431811</v>
      </c>
      <c r="H72" s="205">
        <f>7.05+((0.001957*(H82^2-H84^2))/(2*(H82-H84)))-((0.000000699*(H82^3-H84^3))/(3*(H82-H84)))+((0.00000000008729*(H82^4-H84^4))/(4*(H82-H84)))</f>
        <v>7.1643908438431811</v>
      </c>
    </row>
    <row r="73" spans="1:8" x14ac:dyDescent="0.3">
      <c r="A73" s="1" t="s">
        <v>545</v>
      </c>
      <c r="B73" s="19" t="s">
        <v>540</v>
      </c>
      <c r="C73" s="90"/>
      <c r="D73" s="205">
        <f>9.299+((0.00933*(D82^2-D84^2))/(2*(D82-D84)))-((0.000007418*(D82^3-D84^3))/(3*(D82-D84)))+((0.0000000021*(D82^4-D84^4))/(4*(D82-D84)))</f>
        <v>9.830084359889403</v>
      </c>
      <c r="E73" s="205">
        <f>9.299+((0.00933*(E82^2-E84^2))/(2*(E82-E84)))-((0.000007418*(E82^3-E84^3))/(3*(E82-E84)))+((0.0000000021*(E82^4-E84^4))/(4*(E82-E84)))</f>
        <v>9.830084359889403</v>
      </c>
      <c r="F73" s="205">
        <f>9.299+((0.00933*(F82^2-F84^2))/(2*(F82-F84)))-((0.000007418*(F82^3-F84^3))/(3*(F82-F84)))+((0.0000000021*(F82^4-F84^4))/(4*(F82-F84)))</f>
        <v>9.830084359889403</v>
      </c>
      <c r="G73" s="205">
        <f>9.299+((0.00933*(G82^2-G84^2))/(2*(G82-G84)))-((0.000007418*(G82^3-G84^3))/(3*(G82-G84)))+((0.0000000021*(G82^4-G84^4))/(4*(G82-G84)))</f>
        <v>9.830084359889403</v>
      </c>
      <c r="H73" s="205">
        <f>9.299+((0.00933*(H82^2-H84^2))/(2*(H82-H84)))-((0.000007418*(H82^3-H84^3))/(3*(H82-H84)))+((0.0000000021*(H82^4-H84^4))/(4*(H82-H84)))</f>
        <v>9.830084359889403</v>
      </c>
    </row>
    <row r="74" spans="1:8" x14ac:dyDescent="0.3">
      <c r="A74" s="1" t="s">
        <v>546</v>
      </c>
      <c r="B74" s="19" t="s">
        <v>540</v>
      </c>
      <c r="C74" s="90"/>
      <c r="D74" s="205">
        <f>6.962-((0.0003206*(D82^2-D84^2))/(2*(D82-D84)))+((0.000002322*(D82^3-D84^3))/(3*(D82-D84)))-((0.000000001*(D82^4-D84^4))/(4*(D82-D84)))</f>
        <v>6.9509564671210553</v>
      </c>
      <c r="E74" s="205">
        <f>6.962-((0.0003206*(E82^2-E84^2))/(2*(E82-E84)))+((0.000002322*(E82^3-E84^3))/(3*(E82-E84)))-((0.000000001*(E82^4-E84^4))/(4*(E82-E84)))</f>
        <v>6.9509564671210553</v>
      </c>
      <c r="F74" s="205">
        <f>6.962-((0.0003206*(F82^2-F84^2))/(2*(F82-F84)))+((0.000002322*(F82^3-F84^3))/(3*(F82-F84)))-((0.000000001*(F82^4-F84^4))/(4*(F82-F84)))</f>
        <v>6.9509564671210553</v>
      </c>
      <c r="G74" s="205">
        <f>6.962-((0.0003206*(G82^2-G84^2))/(2*(G82-G84)))+((0.000002322*(G82^3-G84^3))/(3*(G82-G84)))-((0.000000001*(G82^4-G84^4))/(4*(G82-G84)))</f>
        <v>6.9509564671210553</v>
      </c>
      <c r="H74" s="205">
        <f>6.962-((0.0003206*(H82^2-H84^2))/(2*(H82-H84)))+((0.000002322*(H82^3-H84^3))/(3*(H82-H84)))-((0.000000001*(H82^4-H84^4))/(4*(H82-H84)))</f>
        <v>6.9509564671210553</v>
      </c>
    </row>
    <row r="75" spans="1:8" x14ac:dyDescent="0.3">
      <c r="A75" s="1" t="s">
        <v>539</v>
      </c>
      <c r="B75" s="19" t="s">
        <v>547</v>
      </c>
      <c r="C75" s="90"/>
      <c r="D75" s="206">
        <f>D68/O2_MolWt</f>
        <v>0.22541210811574416</v>
      </c>
      <c r="E75" s="206">
        <f>E68/O2_MolWt</f>
        <v>0.22541210811574416</v>
      </c>
      <c r="F75" s="206">
        <f>F68/O2_MolWt</f>
        <v>0.22541210811574416</v>
      </c>
      <c r="G75" s="206">
        <f>G68/O2_MolWt</f>
        <v>0.22541210811574416</v>
      </c>
      <c r="H75" s="206">
        <f>H68/O2_MolWt</f>
        <v>0.22541210811574416</v>
      </c>
    </row>
    <row r="76" spans="1:8" x14ac:dyDescent="0.3">
      <c r="A76" s="1" t="s">
        <v>541</v>
      </c>
      <c r="B76" s="19" t="s">
        <v>547</v>
      </c>
      <c r="C76" s="90"/>
      <c r="D76" s="206">
        <f>D69/CO2_MolWt</f>
        <v>0.21254933028343229</v>
      </c>
      <c r="E76" s="206">
        <f>E69/CO2_MolWt</f>
        <v>0.21254933028343229</v>
      </c>
      <c r="F76" s="206">
        <f>F69/CO2_MolWt</f>
        <v>0.21254933028343229</v>
      </c>
      <c r="G76" s="206">
        <f>G69/CO2_MolWt</f>
        <v>0.21254933028343229</v>
      </c>
      <c r="H76" s="206">
        <f>H69/CO2_MolWt</f>
        <v>0.21254933028343229</v>
      </c>
    </row>
    <row r="77" spans="1:8" x14ac:dyDescent="0.3">
      <c r="A77" s="1" t="s">
        <v>542</v>
      </c>
      <c r="B77" s="19" t="s">
        <v>547</v>
      </c>
      <c r="C77" s="90"/>
      <c r="D77" s="206">
        <f>D70/N2_MolWt</f>
        <v>0.24978394432861006</v>
      </c>
      <c r="E77" s="206">
        <f>E70/N2_MolWt</f>
        <v>0.24978394432861006</v>
      </c>
      <c r="F77" s="206">
        <f>F70/N2_MolWt</f>
        <v>0.24978394432861006</v>
      </c>
      <c r="G77" s="206">
        <f>G70/N2_MolWt</f>
        <v>0.24978394432861006</v>
      </c>
      <c r="H77" s="206">
        <f>H70/N2_MolWt</f>
        <v>0.24978394432861006</v>
      </c>
    </row>
    <row r="78" spans="1:8" x14ac:dyDescent="0.3">
      <c r="A78" s="1" t="s">
        <v>543</v>
      </c>
      <c r="B78" s="19" t="s">
        <v>547</v>
      </c>
      <c r="C78" s="90"/>
      <c r="D78" s="206">
        <f>D71/H2O_MolWt</f>
        <v>0.44791713810131945</v>
      </c>
      <c r="E78" s="206">
        <f>E71/H2O_MolWt</f>
        <v>0.44791713810131945</v>
      </c>
      <c r="F78" s="206">
        <f>F71/H2O_MolWt</f>
        <v>0.44791713810131945</v>
      </c>
      <c r="G78" s="206">
        <f>G71/H2O_MolWt</f>
        <v>0.44791713810131945</v>
      </c>
      <c r="H78" s="206">
        <f>H71/H2O_MolWt</f>
        <v>0.44791713810131945</v>
      </c>
    </row>
    <row r="79" spans="1:8" x14ac:dyDescent="0.3">
      <c r="A79" s="1" t="s">
        <v>544</v>
      </c>
      <c r="B79" s="19" t="s">
        <v>547</v>
      </c>
      <c r="C79" s="90"/>
      <c r="D79" s="206">
        <f>D72/NO_MolWt</f>
        <v>0.23873822348474749</v>
      </c>
      <c r="E79" s="206">
        <f>E72/NO_MolWt</f>
        <v>0.23873822348474749</v>
      </c>
      <c r="F79" s="206">
        <f>F72/NO_MolWt</f>
        <v>0.23873822348474749</v>
      </c>
      <c r="G79" s="206">
        <f>G72/NO_MolWt</f>
        <v>0.23873822348474749</v>
      </c>
      <c r="H79" s="206">
        <f>H72/NO_MolWt</f>
        <v>0.23873822348474749</v>
      </c>
    </row>
    <row r="80" spans="1:8" x14ac:dyDescent="0.3">
      <c r="A80" s="1" t="s">
        <v>545</v>
      </c>
      <c r="B80" s="19" t="s">
        <v>547</v>
      </c>
      <c r="C80" s="90"/>
      <c r="D80" s="206">
        <f>D73/SO2_MolWt</f>
        <v>0.15344450070695323</v>
      </c>
      <c r="E80" s="206">
        <f>E73/SO2_MolWt</f>
        <v>0.15344450070695323</v>
      </c>
      <c r="F80" s="206">
        <f>F73/SO2_MolWt</f>
        <v>0.15344450070695323</v>
      </c>
      <c r="G80" s="206">
        <f>G73/SO2_MolWt</f>
        <v>0.15344450070695323</v>
      </c>
      <c r="H80" s="206">
        <f>H73/SO2_MolWt</f>
        <v>0.15344450070695323</v>
      </c>
    </row>
    <row r="81" spans="1:8" x14ac:dyDescent="0.3">
      <c r="A81" s="1" t="s">
        <v>546</v>
      </c>
      <c r="B81" s="19" t="s">
        <v>547</v>
      </c>
      <c r="C81" s="90"/>
      <c r="D81" s="206">
        <f>D74/HCl_MolWt</f>
        <v>0.19064086193799007</v>
      </c>
      <c r="E81" s="206">
        <f>E74/HCl_MolWt</f>
        <v>0.19064086193799007</v>
      </c>
      <c r="F81" s="206">
        <f>F74/HCl_MolWt</f>
        <v>0.19064086193799007</v>
      </c>
      <c r="G81" s="206">
        <f>G74/HCl_MolWt</f>
        <v>0.19064086193799007</v>
      </c>
      <c r="H81" s="206">
        <f>H74/HCl_MolWt</f>
        <v>0.19064086193799007</v>
      </c>
    </row>
    <row r="82" spans="1:8" x14ac:dyDescent="0.3">
      <c r="A82" s="1" t="s">
        <v>548</v>
      </c>
      <c r="B82" s="19" t="s">
        <v>549</v>
      </c>
      <c r="C82" s="90"/>
      <c r="D82" s="154">
        <f>IF('Input &amp; Calculation Summary'!C85=1,((D54+(IF('Input &amp; Calculation Summary'!C85=1,'Input &amp; Calculation Summary'!C87,0)))-32)/1.8,((D54+(IF('Input &amp; Calculation Summary'!C85=1,'Input &amp; Calculation Summary'!C87,0)))-32)/1.8+0.000001)</f>
        <v>66.666666666666671</v>
      </c>
      <c r="E82" s="154">
        <f>IF('Input &amp; Calculation Summary'!D85=1,((E54+(IF('Input &amp; Calculation Summary'!D85=1,'Input &amp; Calculation Summary'!D87,0)))-32)/1.8,((E54+(IF('Input &amp; Calculation Summary'!D85=1,'Input &amp; Calculation Summary'!D87,0)))-32)/1.8+0.000001)</f>
        <v>66.666666666666671</v>
      </c>
      <c r="F82" s="154">
        <f>IF('Input &amp; Calculation Summary'!E85=1,((F54+(IF('Input &amp; Calculation Summary'!E85=1,'Input &amp; Calculation Summary'!E87,0)))-32)/1.8,((F54+(IF('Input &amp; Calculation Summary'!E85=1,'Input &amp; Calculation Summary'!E87,0)))-32)/1.8+0.000001)</f>
        <v>66.666666666666671</v>
      </c>
      <c r="G82" s="154">
        <f>IF('Input &amp; Calculation Summary'!F85=1,((G54+(IF('Input &amp; Calculation Summary'!F85=1,'Input &amp; Calculation Summary'!F87,0)))-32)/1.8,((G54+(IF('Input &amp; Calculation Summary'!F85=1,'Input &amp; Calculation Summary'!F87,0)))-32)/1.8+0.000001)</f>
        <v>66.666666666666671</v>
      </c>
      <c r="H82" s="154">
        <f>IF('Input &amp; Calculation Summary'!G85=1,((H54+(IF('Input &amp; Calculation Summary'!G85=1,'Input &amp; Calculation Summary'!G87,0)))-32)/1.8,((H54+(IF('Input &amp; Calculation Summary'!G85=1,'Input &amp; Calculation Summary'!G87,0)))-32)/1.8+0.000001)</f>
        <v>66.666666666666671</v>
      </c>
    </row>
    <row r="83" spans="1:8" x14ac:dyDescent="0.3">
      <c r="B83" s="19" t="s">
        <v>550</v>
      </c>
      <c r="C83" s="90"/>
      <c r="D83" s="154">
        <f>D82+273</f>
        <v>339.66666666666669</v>
      </c>
      <c r="E83" s="154">
        <f>E82+273</f>
        <v>339.66666666666669</v>
      </c>
      <c r="F83" s="154">
        <f>F82+273</f>
        <v>339.66666666666669</v>
      </c>
      <c r="G83" s="154">
        <f>G82+273</f>
        <v>339.66666666666669</v>
      </c>
      <c r="H83" s="154">
        <f>H82+273</f>
        <v>339.66666666666669</v>
      </c>
    </row>
    <row r="84" spans="1:8" x14ac:dyDescent="0.3">
      <c r="A84" s="1" t="s">
        <v>551</v>
      </c>
      <c r="B84" s="19" t="s">
        <v>549</v>
      </c>
      <c r="C84" s="90"/>
      <c r="D84" s="154">
        <f>(D54-32)/1.8</f>
        <v>52.777777777777779</v>
      </c>
      <c r="E84" s="154">
        <f>(E54-32)/1.8</f>
        <v>52.777777777777779</v>
      </c>
      <c r="F84" s="154">
        <f>(F54-32)/1.8</f>
        <v>52.777777777777779</v>
      </c>
      <c r="G84" s="154">
        <f>(G54-32)/1.8</f>
        <v>52.777777777777779</v>
      </c>
      <c r="H84" s="154">
        <f>(H54-32)/1.8</f>
        <v>52.777777777777779</v>
      </c>
    </row>
    <row r="85" spans="1:8" x14ac:dyDescent="0.3">
      <c r="B85" s="19" t="s">
        <v>550</v>
      </c>
      <c r="C85" s="90"/>
      <c r="D85" s="154">
        <f>D84+273</f>
        <v>325.77777777777777</v>
      </c>
      <c r="E85" s="154">
        <f>E84+273</f>
        <v>325.77777777777777</v>
      </c>
      <c r="F85" s="154">
        <f>F84+273</f>
        <v>325.77777777777777</v>
      </c>
      <c r="G85" s="154">
        <f>G84+273</f>
        <v>325.77777777777777</v>
      </c>
      <c r="H85" s="154">
        <f>H84+273</f>
        <v>325.77777777777777</v>
      </c>
    </row>
    <row r="86" spans="1:8" x14ac:dyDescent="0.3">
      <c r="A86" s="1" t="s">
        <v>552</v>
      </c>
      <c r="B86" s="90" t="s">
        <v>553</v>
      </c>
      <c r="C86" s="90"/>
      <c r="D86" s="108">
        <f>((D58*D76+D59*D77+D60*D80+D61*D75+D63*D79+D64*D78)*((D54+'Input &amp; Calculation Summary'!C87)-D54))</f>
        <v>6275627.7914775424</v>
      </c>
      <c r="E86" s="108">
        <f>((E58*E76+E59*E77+E60*E80+E61*E75+E63*E79+E64*E78)*((E54+'Input &amp; Calculation Summary'!D87)-E54))</f>
        <v>22439925.170039471</v>
      </c>
      <c r="F86" s="108">
        <f>((F58*F76+F59*F77+F60*F80+F61*F75+F63*F79+F64*F78)*((F54+'Input &amp; Calculation Summary'!E87)-F54))</f>
        <v>11818360.589554124</v>
      </c>
      <c r="G86" s="108">
        <f>((G58*G76+G59*G77+G60*G80+G61*G75+G63*G79+G64*G78)*((G54+'Input &amp; Calculation Summary'!F87)-G54))</f>
        <v>3291189.0249391231</v>
      </c>
      <c r="H86" s="108">
        <f>((H58*H76+H59*H77+H60*H80+H61*H75+H63*H79+H64*H78)*((H54+'Input &amp; Calculation Summary'!G87)-H54))</f>
        <v>3291189.0249391231</v>
      </c>
    </row>
    <row r="87" spans="1:8" x14ac:dyDescent="0.3">
      <c r="B87" s="90"/>
      <c r="C87" s="90"/>
      <c r="D87" s="108"/>
      <c r="E87" s="108"/>
      <c r="F87" s="108"/>
      <c r="G87" s="108"/>
      <c r="H87" s="108"/>
    </row>
    <row r="88" spans="1:8" ht="15.5" x14ac:dyDescent="0.35">
      <c r="A88" s="123" t="s">
        <v>554</v>
      </c>
      <c r="B88" s="90"/>
      <c r="C88" s="90"/>
      <c r="D88" s="108"/>
      <c r="E88" s="108"/>
      <c r="F88" s="108"/>
      <c r="G88" s="108"/>
      <c r="H88" s="108"/>
    </row>
    <row r="89" spans="1:8" x14ac:dyDescent="0.3">
      <c r="A89" s="113" t="s">
        <v>523</v>
      </c>
      <c r="B89" s="19" t="s">
        <v>51</v>
      </c>
      <c r="C89" s="90"/>
      <c r="D89" s="207">
        <v>440</v>
      </c>
      <c r="E89" s="207">
        <v>440</v>
      </c>
      <c r="F89" s="207">
        <v>440</v>
      </c>
      <c r="G89" s="207">
        <v>440</v>
      </c>
      <c r="H89" s="207">
        <v>440</v>
      </c>
    </row>
    <row r="90" spans="1:8" x14ac:dyDescent="0.3">
      <c r="A90" s="1" t="s">
        <v>524</v>
      </c>
      <c r="B90" s="90" t="s">
        <v>132</v>
      </c>
      <c r="C90" s="90"/>
      <c r="D90" s="207">
        <v>1</v>
      </c>
      <c r="E90" s="207">
        <v>1</v>
      </c>
      <c r="F90" s="207">
        <v>1</v>
      </c>
      <c r="G90" s="207">
        <v>1</v>
      </c>
      <c r="H90" s="207">
        <v>1</v>
      </c>
    </row>
    <row r="91" spans="1:8" x14ac:dyDescent="0.3">
      <c r="A91" s="1" t="s">
        <v>525</v>
      </c>
      <c r="B91" s="90" t="s">
        <v>526</v>
      </c>
      <c r="C91" s="90"/>
      <c r="D91" s="108">
        <f>((D93/N2_MolWt+D94/O2_MolWt+D95/H2O_MolWt)*(cubft_60/60))</f>
        <v>19267.172433859625</v>
      </c>
      <c r="E91" s="108">
        <f>((E93/N2_MolWt+E94/O2_MolWt+E95/H2O_MolWt)*(cubft_60/60))</f>
        <v>68894.128527062188</v>
      </c>
      <c r="F91" s="108">
        <f>((F93/N2_MolWt+F94/O2_MolWt+F95/H2O_MolWt)*(cubft_60/60))</f>
        <v>36284.241024252762</v>
      </c>
      <c r="G91" s="108">
        <f>((G93/N2_MolWt+G94/O2_MolWt+G95/H2O_MolWt)*(cubft_60/60))</f>
        <v>10104.472183969125</v>
      </c>
      <c r="H91" s="108">
        <f>((H93/N2_MolWt+H94/O2_MolWt+H95/H2O_MolWt)*(cubft_60/60))</f>
        <v>10104.472183969125</v>
      </c>
    </row>
    <row r="92" spans="1:8" x14ac:dyDescent="0.3">
      <c r="A92" s="1" t="s">
        <v>525</v>
      </c>
      <c r="B92" s="90" t="s">
        <v>527</v>
      </c>
      <c r="C92" s="90"/>
      <c r="D92" s="108">
        <f>D91*((D89+460)/520)*(29.92/('Input &amp; Calculation Summary'!C32+(D90/inH2O_inHg)))</f>
        <v>33852.269351418923</v>
      </c>
      <c r="E92" s="108">
        <f>E91*((E89+460)/520)*(29.92/('Input &amp; Calculation Summary'!D32+(E90/inH2O_inHg)))</f>
        <v>121046.43811308798</v>
      </c>
      <c r="F92" s="108">
        <f>F91*((F89+460)/520)*(29.92/('Input &amp; Calculation Summary'!E32+(F90/inH2O_inHg)))</f>
        <v>63751.124072893021</v>
      </c>
      <c r="G92" s="108">
        <f>G91*((G89+460)/520)*(29.92/('Input &amp; Calculation Summary'!F32+(G90/inH2O_inHg)))</f>
        <v>17753.477589919577</v>
      </c>
      <c r="H92" s="108">
        <f>H91*((H89+460)/520)*(29.92/('Input &amp; Calculation Summary'!G32+(H90/inH2O_inHg)))</f>
        <v>17753.477589919577</v>
      </c>
    </row>
    <row r="93" spans="1:8" x14ac:dyDescent="0.3">
      <c r="A93" s="1" t="s">
        <v>529</v>
      </c>
      <c r="B93" s="90" t="s">
        <v>327</v>
      </c>
      <c r="C93" s="90"/>
      <c r="D93" s="108">
        <f>0.7683*(1-'Input &amp; Calculation Summary'!C34)*D96</f>
        <v>66105.564031669797</v>
      </c>
      <c r="E93" s="108">
        <f>0.7683*(1-'Input &amp; Calculation Summary'!D34)*E96</f>
        <v>236375.38099509699</v>
      </c>
      <c r="F93" s="108">
        <f>0.7683*(1-'Input &amp; Calculation Summary'!E34)*F96</f>
        <v>124491.03399075109</v>
      </c>
      <c r="G93" s="108">
        <f>0.7683*(1-'Input &amp; Calculation Summary'!F34)*G96</f>
        <v>34668.389212614231</v>
      </c>
      <c r="H93" s="108">
        <f>0.7683*(1-'Input &amp; Calculation Summary'!G34)*H96</f>
        <v>34668.389212614231</v>
      </c>
    </row>
    <row r="94" spans="1:8" x14ac:dyDescent="0.3">
      <c r="A94" s="1" t="s">
        <v>531</v>
      </c>
      <c r="B94" s="90" t="s">
        <v>327</v>
      </c>
      <c r="C94" s="90"/>
      <c r="D94" s="108">
        <f>0.2317*(1-'Input &amp; Calculation Summary'!C34)*D96</f>
        <v>19935.779234853431</v>
      </c>
      <c r="E94" s="108">
        <f>0.2317*(1-'Input &amp; Calculation Summary'!D34)*E96</f>
        <v>71284.883218227216</v>
      </c>
      <c r="F94" s="108">
        <f>0.2317*(1-'Input &amp; Calculation Summary'!E34)*F96</f>
        <v>37543.371828266339</v>
      </c>
      <c r="G94" s="108">
        <f>0.2317*(1-'Input &amp; Calculation Summary'!F34)*G96</f>
        <v>10455.116205339995</v>
      </c>
      <c r="H94" s="108">
        <f>0.2317*(1-'Input &amp; Calculation Summary'!G34)*H96</f>
        <v>10455.116205339995</v>
      </c>
    </row>
    <row r="95" spans="1:8" x14ac:dyDescent="0.3">
      <c r="A95" s="1" t="s">
        <v>534</v>
      </c>
      <c r="B95" s="90" t="s">
        <v>327</v>
      </c>
      <c r="C95" s="90"/>
      <c r="D95" s="108">
        <f>D96*'Input &amp; Calculation Summary'!C34</f>
        <v>1133.2699721021297</v>
      </c>
      <c r="E95" s="108">
        <f>E96*'Input &amp; Calculation Summary'!D34</f>
        <v>4052.2628518472288</v>
      </c>
      <c r="F95" s="108">
        <f>F96*'Input &amp; Calculation Summary'!E34</f>
        <v>2134.1917686395409</v>
      </c>
      <c r="G95" s="108">
        <f>G96*'Input &amp; Calculation Summary'!F34</f>
        <v>594.3318849375936</v>
      </c>
      <c r="H95" s="108">
        <f>H96*'Input &amp; Calculation Summary'!G34</f>
        <v>594.3318849375936</v>
      </c>
    </row>
    <row r="96" spans="1:8" x14ac:dyDescent="0.3">
      <c r="A96" s="1" t="s">
        <v>555</v>
      </c>
      <c r="B96" s="90" t="s">
        <v>327</v>
      </c>
      <c r="C96" s="90"/>
      <c r="D96" s="108">
        <f>(D86/((0.7683*(1-'Input &amp; Calculation Summary'!C34)*D113+0.2317*(1-'Input &amp; Calculation Summary'!C34)*D112+'Input &amp; Calculation Summary'!C34*D114)*(D89-(D54+'Input &amp; Calculation Summary'!C87))))</f>
        <v>87174.613238625359</v>
      </c>
      <c r="E96" s="108">
        <f>(E86/((0.7683*(1-'Input &amp; Calculation Summary'!D34)*E113+0.2317*(1-'Input &amp; Calculation Summary'!D34)*E112+'Input &amp; Calculation Summary'!D34*E114)*(E89-(E54+'Input &amp; Calculation Summary'!D87))))</f>
        <v>311712.52706517145</v>
      </c>
      <c r="F96" s="108">
        <f>(F86/((0.7683*(1-'Input &amp; Calculation Summary'!E34)*F113+0.2317*(1-'Input &amp; Calculation Summary'!E34)*F112+'Input &amp; Calculation Summary'!E34*F114)*(F89-(F54+'Input &amp; Calculation Summary'!E87))))</f>
        <v>164168.59758765699</v>
      </c>
      <c r="G96" s="108">
        <f>(G86/((0.7683*(1-'Input &amp; Calculation Summary'!F34)*G113+0.2317*(1-'Input &amp; Calculation Summary'!F34)*G112+'Input &amp; Calculation Summary'!F34*G114)*(G89-(G54+'Input &amp; Calculation Summary'!F87))))</f>
        <v>45717.837302891821</v>
      </c>
      <c r="H96" s="108">
        <f>(H86/((0.7683*(1-'Input &amp; Calculation Summary'!G34)*H113+0.2317*(1-'Input &amp; Calculation Summary'!G34)*H112+'Input &amp; Calculation Summary'!G34*H114)*(H89-(H54+'Input &amp; Calculation Summary'!G87))))</f>
        <v>45717.837302891821</v>
      </c>
    </row>
    <row r="97" spans="1:8" ht="13.5" x14ac:dyDescent="0.35">
      <c r="A97" s="204" t="s">
        <v>556</v>
      </c>
      <c r="B97" s="90"/>
      <c r="C97" s="90"/>
      <c r="D97" s="108"/>
      <c r="E97" s="108"/>
      <c r="F97" s="108"/>
      <c r="G97" s="108"/>
      <c r="H97" s="108"/>
    </row>
    <row r="98" spans="1:8" x14ac:dyDescent="0.3">
      <c r="A98" s="1" t="s">
        <v>539</v>
      </c>
      <c r="B98" s="19" t="s">
        <v>540</v>
      </c>
      <c r="C98" s="90"/>
      <c r="D98" s="205">
        <f>6.732+((0.001505*(D105^2-D107^2))/(2*(D105-D107)))-((0.0000001791*(D105^3-D107^3))/(3*(D105-D107)))</f>
        <v>7.3316731414333338</v>
      </c>
      <c r="E98" s="205">
        <f>6.732+((0.001505*(E105^2-E107^2))/(2*(E105-E107)))-((0.0000001791*(E105^3-E107^3))/(3*(E105-E107)))</f>
        <v>7.3316731414333338</v>
      </c>
      <c r="F98" s="205">
        <f>6.732+((0.001505*(F105^2-F107^2))/(2*(F105-F107)))-((0.0000001791*(F105^3-F107^3))/(3*(F105-F107)))</f>
        <v>7.3316731414333338</v>
      </c>
      <c r="G98" s="205">
        <f>6.732+((0.001505*(G105^2-G107^2))/(2*(G105-G107)))-((0.0000001791*(G105^3-G107^3))/(3*(G105-G107)))</f>
        <v>7.3316731414333338</v>
      </c>
      <c r="H98" s="205">
        <f>6.732+((0.001505*(H105^2-H107^2))/(2*(H105-H107)))-((0.0000001791*(H105^3-H107^3))/(3*(H105-H107)))</f>
        <v>7.3316731414333338</v>
      </c>
    </row>
    <row r="99" spans="1:8" x14ac:dyDescent="0.3">
      <c r="A99" s="1" t="s">
        <v>542</v>
      </c>
      <c r="B99" s="19" t="s">
        <v>540</v>
      </c>
      <c r="C99" s="90"/>
      <c r="D99" s="205">
        <f>6.529+((0.001488*(D105^2-D107^2))/(2*(D105-D107)))-((0.0000002271*(D105^3-D107^3))/(3*(D105-D107)))</f>
        <v>7.1129826427666663</v>
      </c>
      <c r="E99" s="205">
        <f>6.529+((0.001488*(E105^2-E107^2))/(2*(E105-E107)))-((0.0000002271*(E105^3-E107^3))/(3*(E105-E107)))</f>
        <v>7.1129826427666663</v>
      </c>
      <c r="F99" s="205">
        <f>6.529+((0.001488*(F105^2-F107^2))/(2*(F105-F107)))-((0.0000002271*(F105^3-F107^3))/(3*(F105-F107)))</f>
        <v>7.1129826427666663</v>
      </c>
      <c r="G99" s="205">
        <f>6.529+((0.001488*(G105^2-G107^2))/(2*(G105-G107)))-((0.0000002271*(G105^3-G107^3))/(3*(G105-G107)))</f>
        <v>7.1129826427666663</v>
      </c>
      <c r="H99" s="205">
        <f>6.529+((0.001488*(H105^2-H107^2))/(2*(H105-H107)))-((0.0000002271*(H105^3-H107^3))/(3*(H105-H107)))</f>
        <v>7.1129826427666663</v>
      </c>
    </row>
    <row r="100" spans="1:8" x14ac:dyDescent="0.3">
      <c r="A100" s="1" t="s">
        <v>543</v>
      </c>
      <c r="B100" s="19" t="s">
        <v>540</v>
      </c>
      <c r="C100" s="90"/>
      <c r="D100" s="205">
        <f>7.88+((0.0032*(D104^2-D106^2))/(2*(D104-D106)))-((0.0000004833*(D104^3-D106^3))/(3*(D104-D106)))</f>
        <v>8.3379059733333332</v>
      </c>
      <c r="E100" s="205">
        <f>7.88+((0.0032*(E104^2-E106^2))/(2*(E104-E106)))-((0.0000004833*(E104^3-E106^3))/(3*(E104-E106)))</f>
        <v>8.3379059733333332</v>
      </c>
      <c r="F100" s="205">
        <f>7.88+((0.0032*(F104^2-F106^2))/(2*(F104-F106)))-((0.0000004833*(F104^3-F106^3))/(3*(F104-F106)))</f>
        <v>8.3379059733333332</v>
      </c>
      <c r="G100" s="205">
        <f>7.88+((0.0032*(G104^2-G106^2))/(2*(G104-G106)))-((0.0000004833*(G104^3-G106^3))/(3*(G104-G106)))</f>
        <v>8.3379059733333332</v>
      </c>
      <c r="H100" s="205">
        <f>7.88+((0.0032*(H104^2-H106^2))/(2*(H104-H106)))-((0.0000004833*(H104^3-H106^3))/(3*(H104-H106)))</f>
        <v>8.3379059733333332</v>
      </c>
    </row>
    <row r="101" spans="1:8" x14ac:dyDescent="0.3">
      <c r="A101" s="1" t="s">
        <v>539</v>
      </c>
      <c r="B101" s="19" t="s">
        <v>547</v>
      </c>
      <c r="C101" s="90"/>
      <c r="D101" s="206">
        <f>D98/O2_MolWt</f>
        <v>0.22912337779645905</v>
      </c>
      <c r="E101" s="206">
        <f>E98/O2_MolWt</f>
        <v>0.22912337779645905</v>
      </c>
      <c r="F101" s="206">
        <f>F98/O2_MolWt</f>
        <v>0.22912337779645905</v>
      </c>
      <c r="G101" s="206">
        <f>G98/O2_MolWt</f>
        <v>0.22912337779645905</v>
      </c>
      <c r="H101" s="206">
        <f>H98/O2_MolWt</f>
        <v>0.22912337779645905</v>
      </c>
    </row>
    <row r="102" spans="1:8" x14ac:dyDescent="0.3">
      <c r="A102" s="1" t="s">
        <v>542</v>
      </c>
      <c r="B102" s="19" t="s">
        <v>547</v>
      </c>
      <c r="C102" s="90"/>
      <c r="D102" s="206">
        <f>D99/N2_MolWt</f>
        <v>0.25385377026290745</v>
      </c>
      <c r="E102" s="206">
        <f>E99/N2_MolWt</f>
        <v>0.25385377026290745</v>
      </c>
      <c r="F102" s="206">
        <f>F99/N2_MolWt</f>
        <v>0.25385377026290745</v>
      </c>
      <c r="G102" s="206">
        <f>G99/N2_MolWt</f>
        <v>0.25385377026290745</v>
      </c>
      <c r="H102" s="206">
        <f>H99/N2_MolWt</f>
        <v>0.25385377026290745</v>
      </c>
    </row>
    <row r="103" spans="1:8" x14ac:dyDescent="0.3">
      <c r="A103" s="1" t="s">
        <v>543</v>
      </c>
      <c r="B103" s="19" t="s">
        <v>547</v>
      </c>
      <c r="C103" s="90"/>
      <c r="D103" s="206">
        <f>D100/H2O_MolWt</f>
        <v>0.46282257083870376</v>
      </c>
      <c r="E103" s="206">
        <f>E100/H2O_MolWt</f>
        <v>0.46282257083870376</v>
      </c>
      <c r="F103" s="206">
        <f>F100/H2O_MolWt</f>
        <v>0.46282257083870376</v>
      </c>
      <c r="G103" s="206">
        <f>G100/H2O_MolWt</f>
        <v>0.46282257083870376</v>
      </c>
      <c r="H103" s="206">
        <f>H100/H2O_MolWt</f>
        <v>0.46282257083870376</v>
      </c>
    </row>
    <row r="104" spans="1:8" x14ac:dyDescent="0.3">
      <c r="A104" s="1" t="s">
        <v>557</v>
      </c>
      <c r="B104" s="19" t="s">
        <v>549</v>
      </c>
      <c r="C104" s="90"/>
      <c r="D104" s="154">
        <f>(D89-32)/1.8</f>
        <v>226.66666666666666</v>
      </c>
      <c r="E104" s="154">
        <f>(E89-32)/1.8</f>
        <v>226.66666666666666</v>
      </c>
      <c r="F104" s="154">
        <f>(F89-32)/1.8</f>
        <v>226.66666666666666</v>
      </c>
      <c r="G104" s="154">
        <f>(G89-32)/1.8</f>
        <v>226.66666666666666</v>
      </c>
      <c r="H104" s="154">
        <f>(H89-32)/1.8</f>
        <v>226.66666666666666</v>
      </c>
    </row>
    <row r="105" spans="1:8" x14ac:dyDescent="0.3">
      <c r="B105" s="19" t="s">
        <v>550</v>
      </c>
      <c r="C105" s="90"/>
      <c r="D105" s="154">
        <f>D104+273</f>
        <v>499.66666666666663</v>
      </c>
      <c r="E105" s="154">
        <f>E104+273</f>
        <v>499.66666666666663</v>
      </c>
      <c r="F105" s="154">
        <f>F104+273</f>
        <v>499.66666666666663</v>
      </c>
      <c r="G105" s="154">
        <f>G104+273</f>
        <v>499.66666666666663</v>
      </c>
      <c r="H105" s="154">
        <f>H104+273</f>
        <v>499.66666666666663</v>
      </c>
    </row>
    <row r="106" spans="1:8" x14ac:dyDescent="0.3">
      <c r="A106" s="1" t="s">
        <v>551</v>
      </c>
      <c r="B106" s="19" t="s">
        <v>549</v>
      </c>
      <c r="C106" s="90"/>
      <c r="D106" s="154">
        <f>(D54+'Input &amp; Calculation Summary'!C87-32)/1.8</f>
        <v>66.666666666666671</v>
      </c>
      <c r="E106" s="154">
        <f>(E54+'Input &amp; Calculation Summary'!D87-32)/1.8</f>
        <v>66.666666666666671</v>
      </c>
      <c r="F106" s="154">
        <f>(F54+'Input &amp; Calculation Summary'!E87-32)/1.8</f>
        <v>66.666666666666671</v>
      </c>
      <c r="G106" s="154">
        <f>(G54+'Input &amp; Calculation Summary'!F87-32)/1.8</f>
        <v>66.666666666666671</v>
      </c>
      <c r="H106" s="154">
        <f>(H54+'Input &amp; Calculation Summary'!G87-32)/1.8</f>
        <v>66.666666666666671</v>
      </c>
    </row>
    <row r="107" spans="1:8" x14ac:dyDescent="0.3">
      <c r="B107" s="19" t="s">
        <v>550</v>
      </c>
      <c r="C107" s="90"/>
      <c r="D107" s="154">
        <f>D106+273</f>
        <v>339.66666666666669</v>
      </c>
      <c r="E107" s="154">
        <f>E106+273</f>
        <v>339.66666666666669</v>
      </c>
      <c r="F107" s="154">
        <f>F106+273</f>
        <v>339.66666666666669</v>
      </c>
      <c r="G107" s="154">
        <f>G106+273</f>
        <v>339.66666666666669</v>
      </c>
      <c r="H107" s="154">
        <f>H106+273</f>
        <v>339.66666666666669</v>
      </c>
    </row>
    <row r="108" spans="1:8" ht="13.5" x14ac:dyDescent="0.35">
      <c r="A108" s="204" t="s">
        <v>558</v>
      </c>
      <c r="B108" s="90"/>
      <c r="C108" s="90"/>
      <c r="D108" s="108"/>
      <c r="E108" s="108"/>
      <c r="F108" s="108"/>
      <c r="G108" s="108"/>
      <c r="H108" s="108"/>
    </row>
    <row r="109" spans="1:8" x14ac:dyDescent="0.3">
      <c r="A109" s="1" t="s">
        <v>539</v>
      </c>
      <c r="B109" s="19" t="s">
        <v>540</v>
      </c>
      <c r="C109" s="90"/>
      <c r="D109" s="205">
        <f>6.732+((0.001505*(D116^2-D118^2))/(2*(D116-D118)))-((0.0000001791*(D116^3-D118^3))/(3*(D116-D118)))</f>
        <v>7.3042930734333336</v>
      </c>
      <c r="E109" s="205">
        <f>6.732+((0.001505*(E116^2-E118^2))/(2*(E116-E118)))-((0.0000001791*(E116^3-E118^3))/(3*(E116-E118)))</f>
        <v>7.3042930734333336</v>
      </c>
      <c r="F109" s="205">
        <f>6.732+((0.001505*(F116^2-F118^2))/(2*(F116-F118)))-((0.0000001791*(F116^3-F118^3))/(3*(F116-F118)))</f>
        <v>7.3042930734333336</v>
      </c>
      <c r="G109" s="205">
        <f>6.732+((0.001505*(G116^2-G118^2))/(2*(G116-G118)))-((0.0000001791*(G116^3-G118^3))/(3*(G116-G118)))</f>
        <v>7.3042930734333336</v>
      </c>
      <c r="H109" s="205">
        <f>6.732+((0.001505*(H116^2-H118^2))/(2*(H116-H118)))-((0.0000001791*(H116^3-H118^3))/(3*(H116-H118)))</f>
        <v>7.3042930734333336</v>
      </c>
    </row>
    <row r="110" spans="1:8" x14ac:dyDescent="0.3">
      <c r="A110" s="1" t="s">
        <v>542</v>
      </c>
      <c r="B110" s="19" t="s">
        <v>540</v>
      </c>
      <c r="C110" s="90"/>
      <c r="D110" s="205">
        <f>6.529+((0.001488*(D116^2-D118^2))/(2*(D116-D118)))-((0.0000002271*(D116^3-D118^3))/(3*(D116-D118)))</f>
        <v>7.0866715347666664</v>
      </c>
      <c r="E110" s="205">
        <f>6.529+((0.001488*(E116^2-E118^2))/(2*(E116-E118)))-((0.0000002271*(E116^3-E118^3))/(3*(E116-E118)))</f>
        <v>7.0866715347666664</v>
      </c>
      <c r="F110" s="205">
        <f>6.529+((0.001488*(F116^2-F118^2))/(2*(F116-F118)))-((0.0000002271*(F116^3-F118^3))/(3*(F116-F118)))</f>
        <v>7.0866715347666664</v>
      </c>
      <c r="G110" s="205">
        <f>6.529+((0.001488*(G116^2-G118^2))/(2*(G116-G118)))-((0.0000002271*(G116^3-G118^3))/(3*(G116-G118)))</f>
        <v>7.0866715347666664</v>
      </c>
      <c r="H110" s="205">
        <f>6.529+((0.001488*(H116^2-H118^2))/(2*(H116-H118)))-((0.0000002271*(H116^3-H118^3))/(3*(H116-H118)))</f>
        <v>7.0866715347666664</v>
      </c>
    </row>
    <row r="111" spans="1:8" x14ac:dyDescent="0.3">
      <c r="A111" s="1" t="s">
        <v>543</v>
      </c>
      <c r="B111" s="19" t="s">
        <v>540</v>
      </c>
      <c r="C111" s="90"/>
      <c r="D111" s="205">
        <f>7.88+((0.0032*(D115^2-D117^2))/(2*(D115-D117)))-((0.0000004833*(D115^3-D117^3))/(3*(D115-D117)))</f>
        <v>8.2759680533333331</v>
      </c>
      <c r="E111" s="205">
        <f>7.88+((0.0032*(E115^2-E117^2))/(2*(E115-E117)))-((0.0000004833*(E115^3-E117^3))/(3*(E115-E117)))</f>
        <v>8.2759680533333331</v>
      </c>
      <c r="F111" s="205">
        <f>7.88+((0.0032*(F115^2-F117^2))/(2*(F115-F117)))-((0.0000004833*(F115^3-F117^3))/(3*(F115-F117)))</f>
        <v>8.2759680533333331</v>
      </c>
      <c r="G111" s="205">
        <f>7.88+((0.0032*(G115^2-G117^2))/(2*(G115-G117)))-((0.0000004833*(G115^3-G117^3))/(3*(G115-G117)))</f>
        <v>8.2759680533333331</v>
      </c>
      <c r="H111" s="205">
        <f>7.88+((0.0032*(H115^2-H117^2))/(2*(H115-H117)))-((0.0000004833*(H115^3-H117^3))/(3*(H115-H117)))</f>
        <v>8.2759680533333331</v>
      </c>
    </row>
    <row r="112" spans="1:8" x14ac:dyDescent="0.3">
      <c r="A112" s="1" t="s">
        <v>539</v>
      </c>
      <c r="B112" s="19" t="s">
        <v>547</v>
      </c>
      <c r="C112" s="90"/>
      <c r="D112" s="206">
        <f>D109/O2_MolWt</f>
        <v>0.22826771858423858</v>
      </c>
      <c r="E112" s="206">
        <f>E109/O2_MolWt</f>
        <v>0.22826771858423858</v>
      </c>
      <c r="F112" s="206">
        <f>F109/O2_MolWt</f>
        <v>0.22826771858423858</v>
      </c>
      <c r="G112" s="206">
        <f>G109/O2_MolWt</f>
        <v>0.22826771858423858</v>
      </c>
      <c r="H112" s="206">
        <f>H109/O2_MolWt</f>
        <v>0.22826771858423858</v>
      </c>
    </row>
    <row r="113" spans="1:8" x14ac:dyDescent="0.3">
      <c r="A113" s="1" t="s">
        <v>542</v>
      </c>
      <c r="B113" s="19" t="s">
        <v>547</v>
      </c>
      <c r="C113" s="90"/>
      <c r="D113" s="206">
        <f>D110/N2_MolWt</f>
        <v>0.25291475855698309</v>
      </c>
      <c r="E113" s="206">
        <f>E110/N2_MolWt</f>
        <v>0.25291475855698309</v>
      </c>
      <c r="F113" s="206">
        <f>F110/N2_MolWt</f>
        <v>0.25291475855698309</v>
      </c>
      <c r="G113" s="206">
        <f>G110/N2_MolWt</f>
        <v>0.25291475855698309</v>
      </c>
      <c r="H113" s="206">
        <f>H110/N2_MolWt</f>
        <v>0.25291475855698309</v>
      </c>
    </row>
    <row r="114" spans="1:8" x14ac:dyDescent="0.3">
      <c r="A114" s="1" t="s">
        <v>543</v>
      </c>
      <c r="B114" s="19" t="s">
        <v>547</v>
      </c>
      <c r="C114" s="90"/>
      <c r="D114" s="206">
        <f>D111/H2O_MolWt</f>
        <v>0.45938450527901964</v>
      </c>
      <c r="E114" s="206">
        <f>E111/H2O_MolWt</f>
        <v>0.45938450527901964</v>
      </c>
      <c r="F114" s="206">
        <f>F111/H2O_MolWt</f>
        <v>0.45938450527901964</v>
      </c>
      <c r="G114" s="206">
        <f>G111/H2O_MolWt</f>
        <v>0.45938450527901964</v>
      </c>
      <c r="H114" s="206">
        <f>H111/H2O_MolWt</f>
        <v>0.45938450527901964</v>
      </c>
    </row>
    <row r="115" spans="1:8" x14ac:dyDescent="0.3">
      <c r="A115" s="1" t="s">
        <v>557</v>
      </c>
      <c r="B115" s="19" t="s">
        <v>549</v>
      </c>
      <c r="C115" s="90"/>
      <c r="D115" s="154">
        <f>(D89-32)/1.8</f>
        <v>226.66666666666666</v>
      </c>
      <c r="E115" s="154">
        <f>(E89-32)/1.8</f>
        <v>226.66666666666666</v>
      </c>
      <c r="F115" s="154">
        <f>(F89-32)/1.8</f>
        <v>226.66666666666666</v>
      </c>
      <c r="G115" s="154">
        <f>(G89-32)/1.8</f>
        <v>226.66666666666666</v>
      </c>
      <c r="H115" s="154">
        <f>(H89-32)/1.8</f>
        <v>226.66666666666666</v>
      </c>
    </row>
    <row r="116" spans="1:8" x14ac:dyDescent="0.3">
      <c r="B116" s="19" t="s">
        <v>550</v>
      </c>
      <c r="C116" s="90"/>
      <c r="D116" s="154">
        <f>D115+273</f>
        <v>499.66666666666663</v>
      </c>
      <c r="E116" s="154">
        <f>E115+273</f>
        <v>499.66666666666663</v>
      </c>
      <c r="F116" s="154">
        <f>F115+273</f>
        <v>499.66666666666663</v>
      </c>
      <c r="G116" s="154">
        <f>G115+273</f>
        <v>499.66666666666663</v>
      </c>
      <c r="H116" s="154">
        <f>H115+273</f>
        <v>499.66666666666663</v>
      </c>
    </row>
    <row r="117" spans="1:8" x14ac:dyDescent="0.3">
      <c r="A117" s="1" t="s">
        <v>559</v>
      </c>
      <c r="B117" s="19" t="s">
        <v>549</v>
      </c>
      <c r="C117" s="90"/>
      <c r="D117" s="154">
        <f>('Input &amp; Calculation Summary'!C31-32)/1.8</f>
        <v>26.666666666666664</v>
      </c>
      <c r="E117" s="154">
        <f>('Input &amp; Calculation Summary'!D31-32)/1.8</f>
        <v>26.666666666666664</v>
      </c>
      <c r="F117" s="154">
        <f>('Input &amp; Calculation Summary'!E31-32)/1.8</f>
        <v>26.666666666666664</v>
      </c>
      <c r="G117" s="154">
        <f>('Input &amp; Calculation Summary'!F31-32)/1.8</f>
        <v>26.666666666666664</v>
      </c>
      <c r="H117" s="154">
        <f>('Input &amp; Calculation Summary'!G31-32)/1.8</f>
        <v>26.666666666666664</v>
      </c>
    </row>
    <row r="118" spans="1:8" x14ac:dyDescent="0.3">
      <c r="B118" s="19" t="s">
        <v>550</v>
      </c>
      <c r="C118" s="90"/>
      <c r="D118" s="154">
        <f>D117+273</f>
        <v>299.66666666666669</v>
      </c>
      <c r="E118" s="154">
        <f>E117+273</f>
        <v>299.66666666666669</v>
      </c>
      <c r="F118" s="154">
        <f>F117+273</f>
        <v>299.66666666666669</v>
      </c>
      <c r="G118" s="154">
        <f>G117+273</f>
        <v>299.66666666666669</v>
      </c>
      <c r="H118" s="154">
        <f>H117+273</f>
        <v>299.66666666666669</v>
      </c>
    </row>
    <row r="119" spans="1:8" ht="13.5" x14ac:dyDescent="0.35">
      <c r="A119" s="204" t="s">
        <v>560</v>
      </c>
      <c r="B119" s="19" t="s">
        <v>553</v>
      </c>
      <c r="C119" s="90"/>
      <c r="D119" s="108">
        <f>(D93*D113+D94*D112+D95*D114)*(D89-'Input &amp; Calculation Summary'!C31)</f>
        <v>7844534.739346928</v>
      </c>
      <c r="E119" s="108">
        <f>(E93*E113+E94*E112+E95*E114)*(E89-'Input &amp; Calculation Summary'!D31)</f>
        <v>28049906.462549336</v>
      </c>
      <c r="F119" s="108">
        <f>(F93*F113+F94*F112+F95*F114)*(F89-'Input &amp; Calculation Summary'!E31)</f>
        <v>14772950.736942654</v>
      </c>
      <c r="G119" s="108">
        <f>(G93*G113+G94*G112+G95*G114)*(G89-'Input &amp; Calculation Summary'!F31)</f>
        <v>4113986.281173904</v>
      </c>
      <c r="H119" s="108">
        <f>(H93*H113+H94*H112+H95*H114)*(H89-'Input &amp; Calculation Summary'!G31)</f>
        <v>4113986.281173904</v>
      </c>
    </row>
    <row r="120" spans="1:8" x14ac:dyDescent="0.3">
      <c r="B120" s="90"/>
      <c r="C120" s="90"/>
      <c r="D120" s="90"/>
      <c r="E120" s="90"/>
      <c r="F120" s="90"/>
      <c r="G120" s="90"/>
      <c r="H120" s="90"/>
    </row>
    <row r="121" spans="1:8" ht="15.5" x14ac:dyDescent="0.35">
      <c r="A121" s="123" t="s">
        <v>561</v>
      </c>
      <c r="B121" s="90"/>
      <c r="C121" s="90"/>
      <c r="D121" s="90"/>
      <c r="E121" s="90"/>
      <c r="F121" s="90"/>
      <c r="G121" s="90"/>
      <c r="H121" s="90"/>
    </row>
    <row r="122" spans="1:8" x14ac:dyDescent="0.3">
      <c r="A122" s="113" t="s">
        <v>523</v>
      </c>
      <c r="B122" s="19" t="s">
        <v>51</v>
      </c>
      <c r="C122" s="90"/>
      <c r="D122" s="90">
        <v>60</v>
      </c>
      <c r="E122" s="90">
        <v>60</v>
      </c>
      <c r="F122" s="90">
        <v>60</v>
      </c>
      <c r="G122" s="90">
        <v>60</v>
      </c>
      <c r="H122" s="90">
        <v>60</v>
      </c>
    </row>
    <row r="123" spans="1:8" x14ac:dyDescent="0.3">
      <c r="A123" s="1" t="s">
        <v>524</v>
      </c>
      <c r="B123" s="90" t="s">
        <v>132</v>
      </c>
      <c r="C123" s="90"/>
      <c r="D123" s="90">
        <v>0</v>
      </c>
      <c r="E123" s="90">
        <v>0</v>
      </c>
      <c r="F123" s="90">
        <v>0</v>
      </c>
      <c r="G123" s="90">
        <v>0</v>
      </c>
      <c r="H123" s="90">
        <v>0</v>
      </c>
    </row>
    <row r="124" spans="1:8" x14ac:dyDescent="0.3">
      <c r="A124" s="1" t="s">
        <v>525</v>
      </c>
      <c r="B124" s="90" t="s">
        <v>526</v>
      </c>
      <c r="C124" s="90"/>
      <c r="D124" s="108">
        <f>((D126/N2_MolWt)+(D127/O2_MolWt)+(D128/H2O_MolWt))*(cubft_60/60)</f>
        <v>93.54420623100863</v>
      </c>
      <c r="E124" s="108">
        <f>((E126/N2_MolWt)+(E127/O2_MolWt)+(E128/H2O_MolWt))*(cubft_60/60)</f>
        <v>1290.396863508659</v>
      </c>
      <c r="F124" s="108">
        <f>((F126/N2_MolWt)+(F127/O2_MolWt)+(F128/H2O_MolWt))*(cubft_60/60)</f>
        <v>679.60901478122685</v>
      </c>
      <c r="G124" s="108">
        <f>((G126/N2_MolWt)+(G127/O2_MolWt)+(G128/H2O_MolWt))*(cubft_60/60)</f>
        <v>189.25820664793665</v>
      </c>
      <c r="H124" s="108">
        <f>((H126/N2_MolWt)+(H127/O2_MolWt)+(H128/H2O_MolWt))*(cubft_60/60)</f>
        <v>189.25820664793665</v>
      </c>
    </row>
    <row r="125" spans="1:8" x14ac:dyDescent="0.3">
      <c r="A125" s="1" t="s">
        <v>525</v>
      </c>
      <c r="B125" s="90" t="s">
        <v>527</v>
      </c>
      <c r="C125" s="90"/>
      <c r="D125" s="108">
        <f>D124*((D122+460)/520)*(29.92/('Input &amp; Calculation Summary'!C32+(D123/inH2O_inHg)))</f>
        <v>95.198729606523074</v>
      </c>
      <c r="E125" s="108">
        <f>E124*((E122+460)/520)*(29.92/('Input &amp; Calculation Summary'!D32+(E123/inH2O_inHg)))</f>
        <v>1313.2202093938463</v>
      </c>
      <c r="F125" s="108">
        <f>F124*((F122+460)/520)*(29.92/('Input &amp; Calculation Summary'!E32+(F123/inH2O_inHg)))</f>
        <v>691.62931028075877</v>
      </c>
      <c r="G125" s="108">
        <f>G124*((G122+460)/520)*(29.92/('Input &amp; Calculation Summary'!F32+(G123/inH2O_inHg)))</f>
        <v>192.60563071109743</v>
      </c>
      <c r="H125" s="108">
        <f>H124*((H122+460)/520)*(29.92/('Input &amp; Calculation Summary'!G32+(H123/inH2O_inHg)))</f>
        <v>192.60563071109743</v>
      </c>
    </row>
    <row r="126" spans="1:8" x14ac:dyDescent="0.3">
      <c r="A126" s="1" t="s">
        <v>529</v>
      </c>
      <c r="B126" s="90" t="s">
        <v>327</v>
      </c>
      <c r="C126" s="90"/>
      <c r="D126" s="108">
        <f>D127/0.2317*0.7683</f>
        <v>321.03587805353465</v>
      </c>
      <c r="E126" s="108">
        <f>E127/0.2317*0.7683</f>
        <v>4428.5339178676641</v>
      </c>
      <c r="F126" s="108">
        <f>F127/0.2317*0.7683</f>
        <v>2332.3611967436359</v>
      </c>
      <c r="G126" s="108">
        <f>G127/0.2317*0.7683</f>
        <v>649.51830795392402</v>
      </c>
      <c r="H126" s="108">
        <f>H127/0.2317*0.7683</f>
        <v>649.51830795392402</v>
      </c>
    </row>
    <row r="127" spans="1:8" x14ac:dyDescent="0.3">
      <c r="A127" s="1" t="s">
        <v>531</v>
      </c>
      <c r="B127" s="90" t="s">
        <v>327</v>
      </c>
      <c r="C127" s="90"/>
      <c r="D127" s="108">
        <f>D345*2*O2_MolWt</f>
        <v>96.81636462970711</v>
      </c>
      <c r="E127" s="108">
        <f>E345*2*O2_MolWt</f>
        <v>1335.5346983859661</v>
      </c>
      <c r="F127" s="108">
        <f>F345*2*O2_MolWt</f>
        <v>703.38160781660861</v>
      </c>
      <c r="G127" s="108">
        <f>G345*2*O2_MolWt</f>
        <v>195.87842242994168</v>
      </c>
      <c r="H127" s="108">
        <f>H345*2*O2_MolWt</f>
        <v>195.87842242994168</v>
      </c>
    </row>
    <row r="128" spans="1:8" x14ac:dyDescent="0.3">
      <c r="A128" s="1" t="s">
        <v>534</v>
      </c>
      <c r="B128" s="90" t="s">
        <v>327</v>
      </c>
      <c r="C128" s="90"/>
      <c r="D128" s="108">
        <f>(D126+D127)*'Input &amp; Calculation Summary'!C34</f>
        <v>5.4320791548821425</v>
      </c>
      <c r="E128" s="108">
        <f>(E126+E127)*'Input &amp; Calculation Summary'!D34</f>
        <v>74.932892011297184</v>
      </c>
      <c r="F128" s="108">
        <f>(F126+F127)*'Input &amp; Calculation Summary'!E34</f>
        <v>39.464656459283177</v>
      </c>
      <c r="G128" s="108">
        <f>(G126+G127)*'Input &amp; Calculation Summary'!F34</f>
        <v>10.990157494990253</v>
      </c>
      <c r="H128" s="108">
        <f>(H126+H127)*'Input &amp; Calculation Summary'!G34</f>
        <v>10.990157494990253</v>
      </c>
    </row>
    <row r="129" spans="1:8" x14ac:dyDescent="0.3">
      <c r="A129" s="1" t="s">
        <v>535</v>
      </c>
      <c r="B129" s="90" t="s">
        <v>327</v>
      </c>
      <c r="C129" s="90"/>
      <c r="D129" s="108">
        <f>SUM(D126:D128)</f>
        <v>423.2843218381239</v>
      </c>
      <c r="E129" s="108">
        <f>SUM(E126:E128)</f>
        <v>5839.0015082649279</v>
      </c>
      <c r="F129" s="108">
        <f>SUM(F126:F128)</f>
        <v>3075.2074610195277</v>
      </c>
      <c r="G129" s="108">
        <f>SUM(G126:G128)</f>
        <v>856.38688787885599</v>
      </c>
      <c r="H129" s="108">
        <f>SUM(H126:H128)</f>
        <v>856.38688787885599</v>
      </c>
    </row>
    <row r="130" spans="1:8" x14ac:dyDescent="0.3">
      <c r="B130" s="90"/>
      <c r="C130" s="90"/>
      <c r="D130" s="90"/>
      <c r="E130" s="90"/>
      <c r="F130" s="90"/>
      <c r="G130" s="90"/>
      <c r="H130" s="90"/>
    </row>
    <row r="131" spans="1:8" ht="15.5" x14ac:dyDescent="0.35">
      <c r="A131" s="123" t="s">
        <v>562</v>
      </c>
      <c r="B131" s="90"/>
      <c r="C131" s="90"/>
      <c r="D131" s="90"/>
      <c r="E131" s="90"/>
      <c r="F131" s="90"/>
      <c r="G131" s="90"/>
      <c r="H131" s="90"/>
    </row>
    <row r="132" spans="1:8" x14ac:dyDescent="0.3">
      <c r="A132" s="113" t="s">
        <v>523</v>
      </c>
      <c r="B132" s="19" t="s">
        <v>51</v>
      </c>
      <c r="C132" s="90"/>
      <c r="D132" s="90">
        <f>'Input &amp; Calculation Summary'!C31</f>
        <v>80</v>
      </c>
      <c r="E132" s="90">
        <f>'Input &amp; Calculation Summary'!D31</f>
        <v>80</v>
      </c>
      <c r="F132" s="90">
        <f>'Input &amp; Calculation Summary'!E31</f>
        <v>80</v>
      </c>
      <c r="G132" s="90">
        <f>'Input &amp; Calculation Summary'!F31</f>
        <v>80</v>
      </c>
      <c r="H132" s="90">
        <f>'Input &amp; Calculation Summary'!G31</f>
        <v>80</v>
      </c>
    </row>
    <row r="133" spans="1:8" x14ac:dyDescent="0.3">
      <c r="A133" s="1" t="s">
        <v>563</v>
      </c>
      <c r="B133" s="90" t="s">
        <v>564</v>
      </c>
      <c r="C133" s="90"/>
      <c r="D133" s="141">
        <v>1</v>
      </c>
      <c r="E133" s="141">
        <v>1</v>
      </c>
      <c r="F133" s="141">
        <v>1</v>
      </c>
      <c r="G133" s="141">
        <v>1</v>
      </c>
      <c r="H133" s="141">
        <v>1</v>
      </c>
    </row>
    <row r="134" spans="1:8" x14ac:dyDescent="0.3">
      <c r="A134" s="1" t="s">
        <v>565</v>
      </c>
      <c r="B134" s="90" t="s">
        <v>327</v>
      </c>
      <c r="C134" s="90"/>
      <c r="D134" s="108">
        <f>D135/(Constants_CC!$D$53/100)*((100-Constants_CC!$D$53)/100)</f>
        <v>7.840927275174038</v>
      </c>
      <c r="E134" s="108">
        <f>E135/(Constants_CC!$D$53/100)*((100-Constants_CC!$D$53)/100)</f>
        <v>108.1617811572185</v>
      </c>
      <c r="F134" s="108">
        <f>F135/(Constants_CC!$D$53/100)*((100-Constants_CC!$D$53)/100)</f>
        <v>56.965204742801731</v>
      </c>
      <c r="G134" s="108">
        <f>G135/(Constants_CC!$D$53/100)*((100-Constants_CC!$D$53)/100)</f>
        <v>15.863727903058717</v>
      </c>
      <c r="H134" s="108">
        <f>H135/(Constants_CC!$D$53/100)*((100-Constants_CC!$D$53)/100)</f>
        <v>15.863727903058717</v>
      </c>
    </row>
    <row r="135" spans="1:8" x14ac:dyDescent="0.3">
      <c r="A135" s="1" t="s">
        <v>566</v>
      </c>
      <c r="B135" s="90" t="s">
        <v>327</v>
      </c>
      <c r="C135" s="90"/>
      <c r="D135" s="108">
        <f>IF(((D30/SO2_MolWt*'Input &amp; Calculation Summary'!C75*CaCO3_MolWt*'Input &amp; Calculation Summary'!C70)-D351)-(D32/HCl_MolWt*CaCO3_MolWt/2)&lt;0,D30/SO2_MolWt*'Input &amp; Calculation Summary'!C75*CaCO3_MolWt*'Input &amp; Calculation Summary'!C70+D32/HCl_MolWt*CaCO3_MolWt/2,D30/SO2_MolWt*'Input &amp; Calculation Summary'!C75*CaCO3_MolWt*'Input &amp; Calculation Summary'!C70)</f>
        <v>158.98731262214582</v>
      </c>
      <c r="E135" s="108">
        <f>IF(((E30/SO2_MolWt*'Input &amp; Calculation Summary'!D75*CaCO3_MolWt*'Input &amp; Calculation Summary'!D70)-E351)-(E32/HCl_MolWt*CaCO3_MolWt/2)&lt;0,E30/SO2_MolWt*'Input &amp; Calculation Summary'!D75*CaCO3_MolWt*'Input &amp; Calculation Summary'!D70+E32/HCl_MolWt*CaCO3_MolWt/2,E30/SO2_MolWt*'Input &amp; Calculation Summary'!D75*CaCO3_MolWt*'Input &amp; Calculation Summary'!D70)</f>
        <v>2193.1527115495564</v>
      </c>
      <c r="F135" s="108">
        <f>IF(((F30/SO2_MolWt*'Input &amp; Calculation Summary'!E75*CaCO3_MolWt*'Input &amp; Calculation Summary'!E70)-F351)-(F32/HCl_MolWt*CaCO3_MolWt/2)&lt;0,F30/SO2_MolWt*'Input &amp; Calculation Summary'!E75*CaCO3_MolWt*'Input &amp; Calculation Summary'!E70+F32/HCl_MolWt*CaCO3_MolWt/2,F30/SO2_MolWt*'Input &amp; Calculation Summary'!E75*CaCO3_MolWt*'Input &amp; Calculation Summary'!E70)</f>
        <v>1155.0604280827663</v>
      </c>
      <c r="G135" s="108">
        <f>IF(((G30/SO2_MolWt*'Input &amp; Calculation Summary'!F75*CaCO3_MolWt*'Input &amp; Calculation Summary'!F70)-G351)-(G32/HCl_MolWt*CaCO3_MolWt/2)&lt;0,G30/SO2_MolWt*'Input &amp; Calculation Summary'!F75*CaCO3_MolWt*'Input &amp; Calculation Summary'!F70+G32/HCl_MolWt*CaCO3_MolWt/2,G30/SO2_MolWt*'Input &amp; Calculation Summary'!F75*CaCO3_MolWt*'Input &amp; Calculation Summary'!F70)</f>
        <v>321.66239769393508</v>
      </c>
      <c r="H135" s="108">
        <f>IF(((H30/SO2_MolWt*'Input &amp; Calculation Summary'!G75*CaCO3_MolWt*'Input &amp; Calculation Summary'!G70)-H351)-(H32/HCl_MolWt*CaCO3_MolWt/2)&lt;0,H30/SO2_MolWt*'Input &amp; Calculation Summary'!G75*CaCO3_MolWt*'Input &amp; Calculation Summary'!G70+H32/HCl_MolWt*CaCO3_MolWt/2,H30/SO2_MolWt*'Input &amp; Calculation Summary'!G75*CaCO3_MolWt*'Input &amp; Calculation Summary'!G70)</f>
        <v>321.66239769393508</v>
      </c>
    </row>
    <row r="136" spans="1:8" x14ac:dyDescent="0.3">
      <c r="A136" s="1" t="s">
        <v>555</v>
      </c>
      <c r="B136" s="90" t="s">
        <v>327</v>
      </c>
      <c r="C136" s="90"/>
      <c r="D136" s="108">
        <f>D135+D134</f>
        <v>166.82823989731986</v>
      </c>
      <c r="E136" s="108">
        <f>E135+E134</f>
        <v>2301.3144927067751</v>
      </c>
      <c r="F136" s="108">
        <f>F135+F134</f>
        <v>1212.025632825568</v>
      </c>
      <c r="G136" s="108">
        <f>G135+G134</f>
        <v>337.52612559699378</v>
      </c>
      <c r="H136" s="108">
        <f>H135+H134</f>
        <v>337.52612559699378</v>
      </c>
    </row>
    <row r="137" spans="1:8" x14ac:dyDescent="0.3">
      <c r="B137" s="90"/>
      <c r="C137" s="90"/>
      <c r="D137" s="90"/>
      <c r="E137" s="90"/>
      <c r="F137" s="90"/>
      <c r="G137" s="90"/>
      <c r="H137" s="90"/>
    </row>
    <row r="138" spans="1:8" ht="15.5" x14ac:dyDescent="0.35">
      <c r="A138" s="123" t="s">
        <v>567</v>
      </c>
      <c r="B138" s="90"/>
      <c r="C138" s="90"/>
      <c r="D138" s="90"/>
      <c r="E138" s="90"/>
      <c r="F138" s="90"/>
      <c r="G138" s="90"/>
      <c r="H138" s="90"/>
    </row>
    <row r="139" spans="1:8" x14ac:dyDescent="0.3">
      <c r="A139" s="113" t="s">
        <v>523</v>
      </c>
      <c r="B139" s="19" t="s">
        <v>51</v>
      </c>
      <c r="C139" s="90"/>
      <c r="D139" s="90">
        <v>90</v>
      </c>
      <c r="E139" s="90">
        <v>90</v>
      </c>
      <c r="F139" s="90">
        <v>90</v>
      </c>
      <c r="G139" s="90">
        <v>90</v>
      </c>
      <c r="H139" s="90">
        <v>90</v>
      </c>
    </row>
    <row r="140" spans="1:8" x14ac:dyDescent="0.3">
      <c r="A140" s="1" t="s">
        <v>525</v>
      </c>
      <c r="B140" s="90" t="s">
        <v>568</v>
      </c>
      <c r="C140" s="90"/>
      <c r="D140" s="140">
        <f>D145/(8.34*(1+D141))/60</f>
        <v>0.59533887139331343</v>
      </c>
      <c r="E140" s="140">
        <f>E145/(8.34*(1+E141))/60</f>
        <v>8.2124104027734077</v>
      </c>
      <c r="F140" s="140">
        <f>F145/(8.34*(1+F141))/60</f>
        <v>4.3252028121273272</v>
      </c>
      <c r="G140" s="140">
        <f>G145/(8.34*(1+G141))/60</f>
        <v>1.2044868590734334</v>
      </c>
      <c r="H140" s="140">
        <f>H145/(8.34*(1+H141))/60</f>
        <v>1.2044868590734334</v>
      </c>
    </row>
    <row r="141" spans="1:8" x14ac:dyDescent="0.3">
      <c r="A141" s="1" t="s">
        <v>563</v>
      </c>
      <c r="B141" s="90" t="s">
        <v>564</v>
      </c>
      <c r="C141" s="90"/>
      <c r="D141" s="141">
        <v>0.4</v>
      </c>
      <c r="E141" s="141">
        <v>0.4</v>
      </c>
      <c r="F141" s="141">
        <v>0.4</v>
      </c>
      <c r="G141" s="141">
        <v>0.4</v>
      </c>
      <c r="H141" s="141">
        <v>0.4</v>
      </c>
    </row>
    <row r="142" spans="1:8" x14ac:dyDescent="0.3">
      <c r="A142" s="1" t="s">
        <v>565</v>
      </c>
      <c r="B142" s="90" t="s">
        <v>327</v>
      </c>
      <c r="C142" s="90"/>
      <c r="D142" s="108">
        <f t="shared" ref="D142:H143" si="1">D134</f>
        <v>7.840927275174038</v>
      </c>
      <c r="E142" s="108">
        <f t="shared" si="1"/>
        <v>108.1617811572185</v>
      </c>
      <c r="F142" s="108">
        <f t="shared" si="1"/>
        <v>56.965204742801731</v>
      </c>
      <c r="G142" s="108">
        <f t="shared" si="1"/>
        <v>15.863727903058717</v>
      </c>
      <c r="H142" s="108">
        <f t="shared" si="1"/>
        <v>15.863727903058717</v>
      </c>
    </row>
    <row r="143" spans="1:8" x14ac:dyDescent="0.3">
      <c r="A143" s="1" t="s">
        <v>566</v>
      </c>
      <c r="B143" s="90" t="s">
        <v>327</v>
      </c>
      <c r="C143" s="90"/>
      <c r="D143" s="108">
        <f t="shared" si="1"/>
        <v>158.98731262214582</v>
      </c>
      <c r="E143" s="108">
        <f t="shared" si="1"/>
        <v>2193.1527115495564</v>
      </c>
      <c r="F143" s="108">
        <f t="shared" si="1"/>
        <v>1155.0604280827663</v>
      </c>
      <c r="G143" s="108">
        <f t="shared" si="1"/>
        <v>321.66239769393508</v>
      </c>
      <c r="H143" s="108">
        <f t="shared" si="1"/>
        <v>321.66239769393508</v>
      </c>
    </row>
    <row r="144" spans="1:8" x14ac:dyDescent="0.3">
      <c r="A144" s="1" t="s">
        <v>534</v>
      </c>
      <c r="B144" s="90" t="s">
        <v>327</v>
      </c>
      <c r="C144" s="90"/>
      <c r="D144" s="108">
        <f>(D143+D142)/D141*(1-D141)</f>
        <v>250.24235984597976</v>
      </c>
      <c r="E144" s="108">
        <f>(E143+E142)/E141*(1-E141)</f>
        <v>3451.9717390601627</v>
      </c>
      <c r="F144" s="108">
        <f>(F143+F142)/F141*(1-F141)</f>
        <v>1818.0384492383516</v>
      </c>
      <c r="G144" s="108">
        <f>(G143+G142)/G141*(1-G141)</f>
        <v>506.28918839549067</v>
      </c>
      <c r="H144" s="108">
        <f>(H143+H142)/H141*(1-H141)</f>
        <v>506.28918839549067</v>
      </c>
    </row>
    <row r="145" spans="1:8" x14ac:dyDescent="0.3">
      <c r="A145" s="1" t="s">
        <v>555</v>
      </c>
      <c r="B145" s="90" t="s">
        <v>327</v>
      </c>
      <c r="C145" s="90"/>
      <c r="D145" s="108">
        <f>SUM(D142:D144)</f>
        <v>417.07059974329962</v>
      </c>
      <c r="E145" s="108">
        <f>SUM(E142:E144)</f>
        <v>5753.2862317669378</v>
      </c>
      <c r="F145" s="108">
        <f>SUM(F142:F144)</f>
        <v>3030.0640820639196</v>
      </c>
      <c r="G145" s="108">
        <f>SUM(G142:G144)</f>
        <v>843.81531399248445</v>
      </c>
      <c r="H145" s="108">
        <f>SUM(H142:H144)</f>
        <v>843.81531399248445</v>
      </c>
    </row>
    <row r="146" spans="1:8" x14ac:dyDescent="0.3">
      <c r="B146" s="90"/>
      <c r="C146" s="90"/>
      <c r="D146" s="90"/>
      <c r="E146" s="90"/>
      <c r="F146" s="90"/>
      <c r="G146" s="90"/>
      <c r="H146" s="90"/>
    </row>
    <row r="147" spans="1:8" ht="15.5" x14ac:dyDescent="0.35">
      <c r="A147" s="123" t="s">
        <v>569</v>
      </c>
      <c r="B147" s="90"/>
      <c r="C147" s="90"/>
      <c r="D147" s="90"/>
      <c r="E147" s="90"/>
      <c r="F147" s="90"/>
      <c r="G147" s="90"/>
      <c r="H147" s="90"/>
    </row>
    <row r="148" spans="1:8" x14ac:dyDescent="0.3">
      <c r="A148" s="113" t="s">
        <v>523</v>
      </c>
      <c r="B148" s="19" t="s">
        <v>51</v>
      </c>
      <c r="C148" s="90"/>
      <c r="D148" s="90">
        <v>68</v>
      </c>
      <c r="E148" s="90">
        <v>68</v>
      </c>
      <c r="F148" s="90">
        <v>68</v>
      </c>
      <c r="G148" s="90">
        <v>68</v>
      </c>
      <c r="H148" s="90">
        <v>68</v>
      </c>
    </row>
    <row r="149" spans="1:8" x14ac:dyDescent="0.3">
      <c r="A149" s="1" t="s">
        <v>525</v>
      </c>
      <c r="B149" s="90" t="s">
        <v>568</v>
      </c>
      <c r="C149" s="90"/>
      <c r="D149" s="140">
        <f>D154/(8.34*(1+D150))/60</f>
        <v>1.3891240332510648</v>
      </c>
      <c r="E149" s="140">
        <f>E154/(8.34*(1+E150))/60</f>
        <v>19.162290939804617</v>
      </c>
      <c r="F149" s="140">
        <f>F154/(8.34*(1+F150))/60</f>
        <v>10.092139894963763</v>
      </c>
      <c r="G149" s="140">
        <f>G154/(8.34*(1+G150))/60</f>
        <v>2.8104693378380117</v>
      </c>
      <c r="H149" s="140">
        <f>H154/(8.34*(1+H150))/60</f>
        <v>2.8104693378380117</v>
      </c>
    </row>
    <row r="150" spans="1:8" x14ac:dyDescent="0.3">
      <c r="A150" s="1" t="s">
        <v>563</v>
      </c>
      <c r="B150" s="90" t="s">
        <v>564</v>
      </c>
      <c r="C150" s="90"/>
      <c r="D150" s="141">
        <v>0.2</v>
      </c>
      <c r="E150" s="141">
        <v>0.2</v>
      </c>
      <c r="F150" s="141">
        <v>0.2</v>
      </c>
      <c r="G150" s="141">
        <v>0.2</v>
      </c>
      <c r="H150" s="141">
        <v>0.2</v>
      </c>
    </row>
    <row r="151" spans="1:8" x14ac:dyDescent="0.3">
      <c r="A151" s="1" t="s">
        <v>565</v>
      </c>
      <c r="B151" s="90" t="s">
        <v>327</v>
      </c>
      <c r="C151" s="90"/>
      <c r="D151" s="108">
        <f t="shared" ref="D151:H152" si="2">D142</f>
        <v>7.840927275174038</v>
      </c>
      <c r="E151" s="108">
        <f t="shared" si="2"/>
        <v>108.1617811572185</v>
      </c>
      <c r="F151" s="108">
        <f t="shared" si="2"/>
        <v>56.965204742801731</v>
      </c>
      <c r="G151" s="108">
        <f t="shared" si="2"/>
        <v>15.863727903058717</v>
      </c>
      <c r="H151" s="108">
        <f t="shared" si="2"/>
        <v>15.863727903058717</v>
      </c>
    </row>
    <row r="152" spans="1:8" x14ac:dyDescent="0.3">
      <c r="A152" s="1" t="s">
        <v>566</v>
      </c>
      <c r="B152" s="90" t="s">
        <v>327</v>
      </c>
      <c r="C152" s="90"/>
      <c r="D152" s="108">
        <f t="shared" si="2"/>
        <v>158.98731262214582</v>
      </c>
      <c r="E152" s="108">
        <f t="shared" si="2"/>
        <v>2193.1527115495564</v>
      </c>
      <c r="F152" s="108">
        <f t="shared" si="2"/>
        <v>1155.0604280827663</v>
      </c>
      <c r="G152" s="108">
        <f t="shared" si="2"/>
        <v>321.66239769393508</v>
      </c>
      <c r="H152" s="108">
        <f t="shared" si="2"/>
        <v>321.66239769393508</v>
      </c>
    </row>
    <row r="153" spans="1:8" x14ac:dyDescent="0.3">
      <c r="A153" s="1" t="s">
        <v>534</v>
      </c>
      <c r="B153" s="90" t="s">
        <v>327</v>
      </c>
      <c r="C153" s="90"/>
      <c r="D153" s="108">
        <f>(D152+D151)/D150*(1-D150)</f>
        <v>667.31295958927944</v>
      </c>
      <c r="E153" s="108">
        <f>(E152+E151)/E150*(1-E150)</f>
        <v>9205.2579708271005</v>
      </c>
      <c r="F153" s="108">
        <f>(F152+F151)/F150*(1-F150)</f>
        <v>4848.1025313022719</v>
      </c>
      <c r="G153" s="108">
        <f>(G152+G151)/G150*(1-G150)</f>
        <v>1350.1045023879751</v>
      </c>
      <c r="H153" s="108">
        <f>(H152+H151)/H150*(1-H150)</f>
        <v>1350.1045023879751</v>
      </c>
    </row>
    <row r="154" spans="1:8" x14ac:dyDescent="0.3">
      <c r="A154" s="1" t="s">
        <v>555</v>
      </c>
      <c r="B154" s="90" t="s">
        <v>327</v>
      </c>
      <c r="C154" s="90"/>
      <c r="D154" s="108">
        <f>SUM(D151:D153)</f>
        <v>834.14119948659936</v>
      </c>
      <c r="E154" s="108">
        <f>SUM(E151:E153)</f>
        <v>11506.572463533876</v>
      </c>
      <c r="F154" s="108">
        <f>SUM(F151:F153)</f>
        <v>6060.1281641278401</v>
      </c>
      <c r="G154" s="108">
        <f>SUM(G151:G153)</f>
        <v>1687.6306279849689</v>
      </c>
      <c r="H154" s="108">
        <f>SUM(H151:H153)</f>
        <v>1687.6306279849689</v>
      </c>
    </row>
    <row r="155" spans="1:8" x14ac:dyDescent="0.3">
      <c r="B155" s="90"/>
      <c r="C155" s="90"/>
      <c r="D155" s="90"/>
      <c r="E155" s="90"/>
      <c r="F155" s="90"/>
      <c r="G155" s="90"/>
      <c r="H155" s="90"/>
    </row>
    <row r="156" spans="1:8" ht="15.5" x14ac:dyDescent="0.35">
      <c r="A156" s="123" t="s">
        <v>570</v>
      </c>
      <c r="B156" s="90"/>
      <c r="C156" s="90"/>
      <c r="D156" s="90"/>
      <c r="E156" s="90"/>
      <c r="F156" s="90"/>
      <c r="G156" s="90"/>
      <c r="H156" s="90"/>
    </row>
    <row r="157" spans="1:8" x14ac:dyDescent="0.3">
      <c r="A157" s="113" t="s">
        <v>523</v>
      </c>
      <c r="B157" s="19" t="s">
        <v>51</v>
      </c>
      <c r="C157" s="90"/>
      <c r="D157" s="90">
        <v>126</v>
      </c>
      <c r="E157" s="90">
        <v>126</v>
      </c>
      <c r="F157" s="90">
        <v>126</v>
      </c>
      <c r="G157" s="90">
        <v>126</v>
      </c>
      <c r="H157" s="90">
        <v>126</v>
      </c>
    </row>
    <row r="158" spans="1:8" x14ac:dyDescent="0.3">
      <c r="A158" s="1" t="s">
        <v>525</v>
      </c>
      <c r="B158" s="90" t="s">
        <v>568</v>
      </c>
      <c r="C158" s="90"/>
      <c r="D158" s="108">
        <f>D57/(29.92/('Input &amp; Calculation Summary'!C32+(D55/inH2O_inHg)))*(29.92/('Input &amp; Calculation Summary'!C32+((D40-1)/inH2O_inHg)))/1000*(IF('Input &amp; Calculation Summary'!C72=2,'Input &amp; Calculation Summary'!C71,70))</f>
        <v>30047.405512782658</v>
      </c>
      <c r="E158" s="108">
        <f>E57/(29.92/('Input &amp; Calculation Summary'!D32+(E55/inH2O_inHg)))*(29.92/('Input &amp; Calculation Summary'!D32+((E40-1)/inH2O_inHg)))/1000*(IF('Input &amp; Calculation Summary'!D72=2,'Input &amp; Calculation Summary'!D71,70))</f>
        <v>60169.399084553799</v>
      </c>
      <c r="F158" s="108">
        <f>F57/(29.92/('Input &amp; Calculation Summary'!E32+(F55/inH2O_inHg)))*(29.92/('Input &amp; Calculation Summary'!E32+((F40-1)/inH2O_inHg)))/1000*(IF('Input &amp; Calculation Summary'!E72=2,'Input &amp; Calculation Summary'!E71,70))</f>
        <v>31689.216851198325</v>
      </c>
      <c r="G158" s="108">
        <f>G57/(29.92/('Input &amp; Calculation Summary'!F32+(G55/inH2O_inHg)))*(29.92/('Input &amp; Calculation Summary'!F32+((G40-1)/inH2O_inHg)))/1000*(IF('Input &amp; Calculation Summary'!F72=2,'Input &amp; Calculation Summary'!F71,70))</f>
        <v>8824.8451990678914</v>
      </c>
      <c r="H158" s="108">
        <f>H57/(29.92/('Input &amp; Calculation Summary'!G32+(H55/inH2O_inHg)))*(29.92/('Input &amp; Calculation Summary'!G32+((H40-1)/inH2O_inHg)))/1000*(IF('Input &amp; Calculation Summary'!G72=2,'Input &amp; Calculation Summary'!G71,70))</f>
        <v>8824.8451990678914</v>
      </c>
    </row>
    <row r="159" spans="1:8" x14ac:dyDescent="0.3">
      <c r="A159" s="1" t="s">
        <v>563</v>
      </c>
      <c r="B159" s="90" t="s">
        <v>564</v>
      </c>
      <c r="C159" s="90"/>
      <c r="D159" s="141">
        <f>'Input &amp; Calculation Summary'!C77</f>
        <v>0.15</v>
      </c>
      <c r="E159" s="141">
        <f>'Input &amp; Calculation Summary'!D77</f>
        <v>0.15</v>
      </c>
      <c r="F159" s="141">
        <f>'Input &amp; Calculation Summary'!E77</f>
        <v>0.15</v>
      </c>
      <c r="G159" s="141">
        <f>'Input &amp; Calculation Summary'!F77</f>
        <v>0.15</v>
      </c>
      <c r="H159" s="141">
        <f>'Input &amp; Calculation Summary'!G77</f>
        <v>0.15</v>
      </c>
    </row>
    <row r="160" spans="1:8" x14ac:dyDescent="0.3">
      <c r="A160" s="1" t="s">
        <v>571</v>
      </c>
      <c r="B160" s="90" t="s">
        <v>327</v>
      </c>
      <c r="C160" s="90"/>
      <c r="D160" s="90">
        <f t="shared" ref="D160:H165" si="3">D172/D$178*D$166</f>
        <v>0</v>
      </c>
      <c r="E160" s="90">
        <f t="shared" si="3"/>
        <v>0</v>
      </c>
      <c r="F160" s="90">
        <f t="shared" si="3"/>
        <v>0</v>
      </c>
      <c r="G160" s="90">
        <f t="shared" si="3"/>
        <v>0</v>
      </c>
      <c r="H160" s="90">
        <f t="shared" si="3"/>
        <v>0</v>
      </c>
    </row>
    <row r="161" spans="1:8" x14ac:dyDescent="0.3">
      <c r="A161" s="1" t="s">
        <v>572</v>
      </c>
      <c r="B161" s="90" t="s">
        <v>327</v>
      </c>
      <c r="C161" s="90"/>
      <c r="D161" s="108">
        <f t="shared" si="3"/>
        <v>2448767.7201579507</v>
      </c>
      <c r="E161" s="108">
        <f t="shared" si="3"/>
        <v>4903614.1292423895</v>
      </c>
      <c r="F161" s="108">
        <f t="shared" si="3"/>
        <v>2582570.1080676578</v>
      </c>
      <c r="G161" s="108">
        <f t="shared" si="3"/>
        <v>719196.73895555025</v>
      </c>
      <c r="H161" s="108">
        <f t="shared" si="3"/>
        <v>719196.73895555025</v>
      </c>
    </row>
    <row r="162" spans="1:8" x14ac:dyDescent="0.3">
      <c r="A162" s="1" t="s">
        <v>565</v>
      </c>
      <c r="B162" s="90" t="s">
        <v>327</v>
      </c>
      <c r="C162" s="90"/>
      <c r="D162" s="108">
        <f t="shared" si="3"/>
        <v>73716.830261874406</v>
      </c>
      <c r="E162" s="108">
        <f t="shared" si="3"/>
        <v>147616.65120764251</v>
      </c>
      <c r="F162" s="108">
        <f t="shared" si="3"/>
        <v>77744.769636025041</v>
      </c>
      <c r="G162" s="108">
        <f t="shared" si="3"/>
        <v>21650.442177120905</v>
      </c>
      <c r="H162" s="108">
        <f t="shared" si="3"/>
        <v>21650.442177120905</v>
      </c>
    </row>
    <row r="163" spans="1:8" x14ac:dyDescent="0.3">
      <c r="A163" s="1" t="s">
        <v>573</v>
      </c>
      <c r="B163" s="90" t="s">
        <v>327</v>
      </c>
      <c r="C163" s="90"/>
      <c r="D163" s="108">
        <f t="shared" si="3"/>
        <v>0</v>
      </c>
      <c r="E163" s="108">
        <f t="shared" si="3"/>
        <v>0</v>
      </c>
      <c r="F163" s="108">
        <f t="shared" si="3"/>
        <v>0</v>
      </c>
      <c r="G163" s="108">
        <f t="shared" si="3"/>
        <v>0</v>
      </c>
      <c r="H163" s="108">
        <f t="shared" si="3"/>
        <v>0</v>
      </c>
    </row>
    <row r="164" spans="1:8" x14ac:dyDescent="0.3">
      <c r="A164" s="1" t="s">
        <v>566</v>
      </c>
      <c r="B164" s="90" t="s">
        <v>327</v>
      </c>
      <c r="C164" s="90"/>
      <c r="D164" s="108">
        <f t="shared" si="3"/>
        <v>71177.446038061418</v>
      </c>
      <c r="E164" s="108">
        <f t="shared" si="3"/>
        <v>142531.57912956717</v>
      </c>
      <c r="F164" s="108">
        <f t="shared" si="3"/>
        <v>75066.631674905308</v>
      </c>
      <c r="G164" s="108">
        <f t="shared" si="3"/>
        <v>20904.63160567002</v>
      </c>
      <c r="H164" s="108">
        <f t="shared" si="3"/>
        <v>20904.63160567002</v>
      </c>
    </row>
    <row r="165" spans="1:8" x14ac:dyDescent="0.3">
      <c r="A165" s="1" t="s">
        <v>534</v>
      </c>
      <c r="B165" s="90" t="s">
        <v>327</v>
      </c>
      <c r="C165" s="90"/>
      <c r="D165" s="108">
        <f t="shared" si="3"/>
        <v>14697417.979928022</v>
      </c>
      <c r="E165" s="108">
        <f t="shared" si="3"/>
        <v>29431320.037617728</v>
      </c>
      <c r="F165" s="108">
        <f t="shared" si="3"/>
        <v>15500495.219812</v>
      </c>
      <c r="G165" s="108">
        <f t="shared" si="3"/>
        <v>4316593.6055172663</v>
      </c>
      <c r="H165" s="108">
        <f t="shared" si="3"/>
        <v>4316593.6055172663</v>
      </c>
    </row>
    <row r="166" spans="1:8" x14ac:dyDescent="0.3">
      <c r="A166" s="1" t="s">
        <v>555</v>
      </c>
      <c r="B166" s="90" t="s">
        <v>327</v>
      </c>
      <c r="C166" s="90"/>
      <c r="D166" s="108">
        <f>D158*60*8.34*(1+D159)</f>
        <v>17291079.97638591</v>
      </c>
      <c r="E166" s="108">
        <f>E158*60*8.34*(1+E159)</f>
        <v>34625082.397197329</v>
      </c>
      <c r="F166" s="108">
        <f>F158*60*8.34*(1+F159)</f>
        <v>18235876.729190588</v>
      </c>
      <c r="G166" s="108">
        <f>G158*60*8.34*(1+G159)</f>
        <v>5078345.4182556076</v>
      </c>
      <c r="H166" s="108">
        <f>H158*60*8.34*(1+H159)</f>
        <v>5078345.4182556076</v>
      </c>
    </row>
    <row r="167" spans="1:8" x14ac:dyDescent="0.3">
      <c r="B167" s="90"/>
      <c r="C167" s="90"/>
      <c r="D167" s="90"/>
      <c r="E167" s="90"/>
      <c r="F167" s="90"/>
      <c r="G167" s="90"/>
      <c r="H167" s="90"/>
    </row>
    <row r="168" spans="1:8" ht="15.5" x14ac:dyDescent="0.35">
      <c r="A168" s="123" t="s">
        <v>574</v>
      </c>
      <c r="B168" s="90"/>
      <c r="C168" s="90"/>
      <c r="D168" s="90"/>
      <c r="E168" s="90"/>
      <c r="F168" s="90"/>
      <c r="G168" s="90"/>
      <c r="H168" s="90"/>
    </row>
    <row r="169" spans="1:8" x14ac:dyDescent="0.3">
      <c r="A169" s="113" t="s">
        <v>523</v>
      </c>
      <c r="B169" s="19" t="s">
        <v>51</v>
      </c>
      <c r="C169" s="90"/>
      <c r="D169" s="90">
        <v>126</v>
      </c>
      <c r="E169" s="90">
        <v>126</v>
      </c>
      <c r="F169" s="90">
        <v>126</v>
      </c>
      <c r="G169" s="90">
        <v>126</v>
      </c>
      <c r="H169" s="90">
        <v>126</v>
      </c>
    </row>
    <row r="170" spans="1:8" x14ac:dyDescent="0.3">
      <c r="A170" s="1" t="s">
        <v>525</v>
      </c>
      <c r="B170" s="90" t="s">
        <v>568</v>
      </c>
      <c r="C170" s="90"/>
      <c r="D170" s="154">
        <f>D178/(8.34*(1+D171))/60</f>
        <v>3.196007215671643</v>
      </c>
      <c r="E170" s="154">
        <f>E178/(8.34*(1+E171))/60</f>
        <v>44.087366316083404</v>
      </c>
      <c r="F170" s="154">
        <f>F178/(8.34*(1+F171))/60</f>
        <v>23.21934625980392</v>
      </c>
      <c r="G170" s="154">
        <f>G178/(8.34*(1+G171))/60</f>
        <v>6.4661470596922319</v>
      </c>
      <c r="H170" s="154">
        <f>H178/(8.34*(1+H171))/60</f>
        <v>6.4661470596922319</v>
      </c>
    </row>
    <row r="171" spans="1:8" x14ac:dyDescent="0.3">
      <c r="A171" s="1" t="s">
        <v>563</v>
      </c>
      <c r="B171" s="90" t="s">
        <v>564</v>
      </c>
      <c r="C171" s="90"/>
      <c r="D171" s="141">
        <f>'Input &amp; Calculation Summary'!C77</f>
        <v>0.15</v>
      </c>
      <c r="E171" s="141">
        <f>'Input &amp; Calculation Summary'!D77</f>
        <v>0.15</v>
      </c>
      <c r="F171" s="141">
        <f>'Input &amp; Calculation Summary'!E77</f>
        <v>0.15</v>
      </c>
      <c r="G171" s="141">
        <f>'Input &amp; Calculation Summary'!F77</f>
        <v>0.15</v>
      </c>
      <c r="H171" s="141">
        <f>'Input &amp; Calculation Summary'!G77</f>
        <v>0.15</v>
      </c>
    </row>
    <row r="172" spans="1:8" x14ac:dyDescent="0.3">
      <c r="A172" s="1" t="s">
        <v>571</v>
      </c>
      <c r="B172" s="90" t="s">
        <v>327</v>
      </c>
      <c r="C172" s="90"/>
      <c r="D172" s="108">
        <f>D353-D361</f>
        <v>0</v>
      </c>
      <c r="E172" s="108">
        <f>E353-E361</f>
        <v>0</v>
      </c>
      <c r="F172" s="108">
        <f>F353-F361</f>
        <v>0</v>
      </c>
      <c r="G172" s="108">
        <f>G353-G361</f>
        <v>0</v>
      </c>
      <c r="H172" s="108">
        <f>H353-H361</f>
        <v>0</v>
      </c>
    </row>
    <row r="173" spans="1:8" x14ac:dyDescent="0.3">
      <c r="A173" s="1" t="s">
        <v>572</v>
      </c>
      <c r="B173" s="90" t="s">
        <v>327</v>
      </c>
      <c r="C173" s="90"/>
      <c r="D173" s="108">
        <f>D364</f>
        <v>260.46439516380809</v>
      </c>
      <c r="E173" s="108">
        <f>E364</f>
        <v>3592.9797484736628</v>
      </c>
      <c r="F173" s="108">
        <f>F364</f>
        <v>1892.302667529462</v>
      </c>
      <c r="G173" s="108">
        <f>G364</f>
        <v>526.97036310947044</v>
      </c>
      <c r="H173" s="108">
        <f>H364</f>
        <v>526.97036310947044</v>
      </c>
    </row>
    <row r="174" spans="1:8" x14ac:dyDescent="0.3">
      <c r="A174" s="1" t="s">
        <v>565</v>
      </c>
      <c r="B174" s="90" t="s">
        <v>327</v>
      </c>
      <c r="C174" s="90"/>
      <c r="D174" s="108">
        <f>D151</f>
        <v>7.840927275174038</v>
      </c>
      <c r="E174" s="108">
        <f>E151</f>
        <v>108.1617811572185</v>
      </c>
      <c r="F174" s="108">
        <f>F151</f>
        <v>56.965204742801731</v>
      </c>
      <c r="G174" s="108">
        <f>G151</f>
        <v>15.863727903058717</v>
      </c>
      <c r="H174" s="108">
        <f>H151</f>
        <v>15.863727903058717</v>
      </c>
    </row>
    <row r="175" spans="1:8" x14ac:dyDescent="0.3">
      <c r="A175" s="1" t="s">
        <v>573</v>
      </c>
      <c r="B175" s="90" t="s">
        <v>327</v>
      </c>
      <c r="C175" s="90"/>
      <c r="D175" s="108">
        <f>(D32/HCl_MolWt*CaCl2_MolWt/2)</f>
        <v>0</v>
      </c>
      <c r="E175" s="108">
        <f>(E32/HCl_MolWt*CaCl2_MolWt/2)</f>
        <v>0</v>
      </c>
      <c r="F175" s="108">
        <f>(F32/HCl_MolWt*CaCl2_MolWt/2)</f>
        <v>0</v>
      </c>
      <c r="G175" s="108">
        <f>(G32/HCl_MolWt*CaCl2_MolWt/2)</f>
        <v>0</v>
      </c>
      <c r="H175" s="108">
        <f>(H32/HCl_MolWt*CaCl2_MolWt/2)</f>
        <v>0</v>
      </c>
    </row>
    <row r="176" spans="1:8" x14ac:dyDescent="0.3">
      <c r="A176" s="1" t="s">
        <v>566</v>
      </c>
      <c r="B176" s="90" t="s">
        <v>327</v>
      </c>
      <c r="C176" s="90"/>
      <c r="D176" s="108">
        <f>(D152-D351)-(D32/HCl_MolWt*CaCO3_MolWt/2)</f>
        <v>7.5708244105784104</v>
      </c>
      <c r="E176" s="108">
        <f>(E152-E351)-(E32/HCl_MolWt*CaCO3_MolWt/2)</f>
        <v>104.43584340712141</v>
      </c>
      <c r="F176" s="108">
        <f>(F152-F351)-(F32/HCl_MolWt*CaCO3_MolWt/2)</f>
        <v>55.00287752775057</v>
      </c>
      <c r="G176" s="108">
        <f>(G152-G351)-(G32/HCl_MolWt*CaCO3_MolWt/2)</f>
        <v>15.317257033044598</v>
      </c>
      <c r="H176" s="108">
        <f>(H152-H351)-(H32/HCl_MolWt*CaCO3_MolWt/2)</f>
        <v>15.317257033044598</v>
      </c>
    </row>
    <row r="177" spans="1:15" x14ac:dyDescent="0.3">
      <c r="A177" s="1" t="s">
        <v>534</v>
      </c>
      <c r="B177" s="90" t="s">
        <v>327</v>
      </c>
      <c r="C177" s="90"/>
      <c r="D177" s="108">
        <f>SUM(D172:D176)/D171*(1-D171)</f>
        <v>1563.298165480843</v>
      </c>
      <c r="E177" s="108">
        <f>SUM(E172:E176)/E171*(1-E171)</f>
        <v>21564.938447215351</v>
      </c>
      <c r="F177" s="108">
        <f>SUM(F172:F176)/F171*(1-F171)</f>
        <v>11357.534248866748</v>
      </c>
      <c r="G177" s="108">
        <f>SUM(G172:G176)/G171*(1-G171)</f>
        <v>3162.8576389249179</v>
      </c>
      <c r="H177" s="108">
        <f>SUM(H172:H176)/H171*(1-H171)</f>
        <v>3162.8576389249179</v>
      </c>
    </row>
    <row r="178" spans="1:15" x14ac:dyDescent="0.3">
      <c r="A178" s="1" t="s">
        <v>555</v>
      </c>
      <c r="B178" s="90" t="s">
        <v>327</v>
      </c>
      <c r="C178" s="90"/>
      <c r="D178" s="108">
        <f>SUM(D172:D177)</f>
        <v>1839.1743123304036</v>
      </c>
      <c r="E178" s="108">
        <f>SUM(E172:E177)</f>
        <v>25370.515820253353</v>
      </c>
      <c r="F178" s="108">
        <f>SUM(F172:F177)</f>
        <v>13361.804998666763</v>
      </c>
      <c r="G178" s="108">
        <f>SUM(G172:G177)</f>
        <v>3721.0089869704916</v>
      </c>
      <c r="H178" s="108">
        <f>SUM(H172:H177)</f>
        <v>3721.0089869704916</v>
      </c>
    </row>
    <row r="179" spans="1:15" x14ac:dyDescent="0.3">
      <c r="B179" s="90"/>
      <c r="C179" s="90"/>
      <c r="D179" s="90"/>
      <c r="E179" s="90"/>
      <c r="F179" s="90"/>
      <c r="G179" s="90"/>
      <c r="H179" s="90"/>
    </row>
    <row r="180" spans="1:15" x14ac:dyDescent="0.3">
      <c r="B180" s="90"/>
      <c r="C180" s="90"/>
      <c r="D180" s="90"/>
      <c r="E180" s="90"/>
      <c r="F180" s="90"/>
      <c r="G180" s="90"/>
      <c r="H180" s="90"/>
    </row>
    <row r="181" spans="1:15" x14ac:dyDescent="0.3">
      <c r="B181" s="90"/>
      <c r="C181" s="90"/>
      <c r="D181" s="90"/>
      <c r="E181" s="90"/>
      <c r="F181" s="90"/>
      <c r="G181" s="90"/>
      <c r="H181" s="90"/>
    </row>
    <row r="182" spans="1:15" x14ac:dyDescent="0.3">
      <c r="A182" s="111"/>
      <c r="B182" s="111"/>
      <c r="C182" s="112"/>
      <c r="D182" s="112"/>
      <c r="E182" s="112"/>
      <c r="F182" s="112"/>
      <c r="G182" s="112"/>
      <c r="H182" s="112"/>
    </row>
    <row r="183" spans="1:15" ht="20.5" thickBot="1" x14ac:dyDescent="0.45">
      <c r="A183" s="109" t="s">
        <v>575</v>
      </c>
      <c r="C183" s="90"/>
      <c r="D183" s="155" t="s">
        <v>320</v>
      </c>
      <c r="E183" s="155" t="s">
        <v>518</v>
      </c>
      <c r="F183" s="155" t="s">
        <v>519</v>
      </c>
      <c r="G183" s="155" t="s">
        <v>520</v>
      </c>
      <c r="H183" s="155" t="s">
        <v>521</v>
      </c>
    </row>
    <row r="184" spans="1:15" ht="13.5" x14ac:dyDescent="0.35">
      <c r="A184" s="232" t="s">
        <v>338</v>
      </c>
      <c r="C184" s="115"/>
      <c r="D184" s="231">
        <f>'Input &amp; Calculation Summary'!C46</f>
        <v>2015</v>
      </c>
      <c r="E184" s="231">
        <f>'Input &amp; Calculation Summary'!D46</f>
        <v>2015</v>
      </c>
      <c r="F184" s="231">
        <f>'Input &amp; Calculation Summary'!E46</f>
        <v>2015</v>
      </c>
      <c r="G184" s="231">
        <f>'Input &amp; Calculation Summary'!F46</f>
        <v>2015</v>
      </c>
      <c r="H184" s="231">
        <f>'Input &amp; Calculation Summary'!G46</f>
        <v>2015</v>
      </c>
    </row>
    <row r="185" spans="1:15" x14ac:dyDescent="0.3">
      <c r="C185" s="233" t="s">
        <v>576</v>
      </c>
    </row>
    <row r="186" spans="1:15" ht="14" x14ac:dyDescent="0.3">
      <c r="A186" s="156" t="s">
        <v>577</v>
      </c>
      <c r="B186" s="90" t="s">
        <v>303</v>
      </c>
      <c r="C186" s="19" t="s">
        <v>578</v>
      </c>
      <c r="D186" s="101">
        <f>((-0.0034*(D136/1000)^4)+(2.1128*(D136/1000)^3)-(494.55*(D136/1000)^2)+(68164.7*(D136/1000))+7118470)*(IF('Input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10628589.020180721</v>
      </c>
      <c r="E186" s="101">
        <f>((-0.0034*(E136/1000)^4)+(2.1128*(E136/1000)^3)-(494.55*(E136/1000)^2)+(68164.7*(E136/1000))+7118470)*(IF('Input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10841638.283211274</v>
      </c>
      <c r="F186" s="101">
        <f>((-0.0034*(F136/1000)^4)+(2.1128*(F136/1000)^3)-(494.55*(F136/1000)^2)+(68164.7*(F136/1000))+7118470)*(IF('Input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10733739.424880739</v>
      </c>
      <c r="G186" s="101">
        <f>((-0.0034*(G136/1000)^4)+(2.1128*(G136/1000)^3)-(494.55*(G136/1000)^2)+(68164.7*(G136/1000))+7118470)*(IF('Input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10645871.052639242</v>
      </c>
      <c r="H186" s="101">
        <f>((-0.0034*(H136/1000)^4)+(2.1128*(H136/1000)^3)-(494.55*(H136/1000)^2)+(68164.7*(H136/1000))+7118470)*(IF('Input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10645871.052639242</v>
      </c>
    </row>
    <row r="187" spans="1:15" ht="14" x14ac:dyDescent="0.3">
      <c r="A187" s="156" t="s">
        <v>579</v>
      </c>
      <c r="B187" s="90" t="s">
        <v>303</v>
      </c>
      <c r="C187" s="19" t="s">
        <v>580</v>
      </c>
      <c r="D187" s="101">
        <f>(32.9*(D136/2000)^2+22412*(D136/2000)+1854902)*(IF('Input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2767929.7805405026</v>
      </c>
      <c r="E187" s="101">
        <f>(32.9*(E136/2000)^2+22412*(E136/2000)+1854902)*(IF('Input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2803651.0251896847</v>
      </c>
      <c r="F187" s="101">
        <f>(32.9*(F136/2000)^2+22412*(F136/2000)+1854902)*(IF('Input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2785407.5015126169</v>
      </c>
      <c r="G187" s="101">
        <f>(32.9*(G136/2000)^2+22412*(G136/2000)+1854902)*(IF('Input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2770782.348889255</v>
      </c>
      <c r="H187" s="101">
        <f>(32.9*(H136/2000)^2+22412*(H136/2000)+1854902)*(IF('Input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2770782.348889255</v>
      </c>
    </row>
    <row r="188" spans="1:15" ht="14" x14ac:dyDescent="0.3">
      <c r="A188" s="156" t="s">
        <v>581</v>
      </c>
      <c r="B188" s="90" t="s">
        <v>303</v>
      </c>
      <c r="C188" s="19" t="s">
        <v>582</v>
      </c>
      <c r="D188" s="101">
        <f>IF('Input &amp; Calculation Summary'!C72=2,0,(364627*D373^0.283))*(IF('Input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0</v>
      </c>
      <c r="E188" s="101">
        <f>IF('Input &amp; Calculation Summary'!D72=2,0,(364627*E373^0.283))*(IF('Input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173856.25726122072</v>
      </c>
      <c r="F188" s="101">
        <f>IF('Input &amp; Calculation Summary'!E72=2,0,(364627*F373^0.283))*(IF('Input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145005.66405766585</v>
      </c>
      <c r="G188" s="101">
        <f>IF('Input &amp; Calculation Summary'!F72=2,0,(364627*G373^0.283))*(IF('Input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100986.22043293274</v>
      </c>
      <c r="H188" s="101">
        <f>IF('Input &amp; Calculation Summary'!G72=2,0,(364627*H373^0.283))*(IF('Input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100986.22043293274</v>
      </c>
    </row>
    <row r="189" spans="1:15" ht="14.5" thickBot="1" x14ac:dyDescent="0.35">
      <c r="A189" s="157" t="s">
        <v>583</v>
      </c>
      <c r="B189" s="90" t="s">
        <v>303</v>
      </c>
      <c r="C189" s="90" t="s">
        <v>584</v>
      </c>
      <c r="D189" s="101">
        <f>((0.8701*(D30/1000)^3)-(188.2*(D30/1000)^2)+(34809*(D30/1000))+1905302)*(IF('Input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2850322.3506355467</v>
      </c>
      <c r="E189" s="101">
        <f>((0.8701*(E30/1000)^3)-(188.2*(E30/1000)^2)+(34809*(E30/1000))+1905302)*(IF('Input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2912746.3286927599</v>
      </c>
      <c r="F189" s="101">
        <f>((0.8701*(F30/1000)^3)-(188.2*(F30/1000)^2)+(34809*(F30/1000))+1905302)*(IF('Input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2878580.3344734218</v>
      </c>
      <c r="G189" s="101">
        <f>((0.8701*(G30/1000)^3)-(188.2*(G30/1000)^2)+(34809*(G30/1000))+1905302)*(IF('Input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2850973.0950878807</v>
      </c>
      <c r="H189" s="101">
        <f>((0.8701*(H30/1000)^3)-(188.2*(H30/1000)^2)+(34809*(H30/1000))+1905302)*(IF('Input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2850973.0950878807</v>
      </c>
    </row>
    <row r="190" spans="1:15" ht="15" thickTop="1" x14ac:dyDescent="0.35">
      <c r="A190" s="157" t="s">
        <v>585</v>
      </c>
      <c r="B190" s="90" t="s">
        <v>303</v>
      </c>
      <c r="C190" s="90" t="s">
        <v>586</v>
      </c>
      <c r="D190" s="161">
        <f>(IF('Input &amp; Calculation Summary'!C82=1,(230064*(D42/1000)^0.5638),(173978*(D42/1000)^0.5575))*'Input &amp; Calculation Summary'!C80)*(IF('Input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8477990.7924241628</v>
      </c>
      <c r="E190" s="161">
        <f>(IF('Input &amp; Calculation Summary'!D82=1,(230064*(E42/1000)^0.5638),(173978*(E42/1000)^0.5575))*'Input &amp; Calculation Summary'!D80)*(IF('Input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17378086.325796787</v>
      </c>
      <c r="F190" s="161">
        <f>(IF('Input &amp; Calculation Summary'!E82=1,(230064*(F42/1000)^0.5638),(173978*(F42/1000)^0.5575))*'Input &amp; Calculation Summary'!E80)*(IF('Input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12106088.723723361</v>
      </c>
      <c r="G190" s="161">
        <f>(IF('Input &amp; Calculation Summary'!F82=1,(230064*(G42/1000)^0.5638),(173978*(G42/1000)^0.5575))*'Input &amp; Calculation Summary'!F80)*(IF('Input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5888160.0433350326</v>
      </c>
      <c r="H190" s="161">
        <f>(IF('Input &amp; Calculation Summary'!G82=1,(230064*(H42/1000)^0.5638),(173978*(H42/1000)^0.5575))*'Input &amp; Calculation Summary'!G80)*(IF('Input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5888160.0433350326</v>
      </c>
      <c r="K190" s="164"/>
      <c r="L190" s="165"/>
      <c r="M190" s="165" t="s">
        <v>587</v>
      </c>
      <c r="N190" s="165"/>
      <c r="O190" s="166"/>
    </row>
    <row r="191" spans="1:15" ht="14.5" thickBot="1" x14ac:dyDescent="0.35">
      <c r="A191" s="157" t="s">
        <v>588</v>
      </c>
      <c r="B191" s="90" t="s">
        <v>303</v>
      </c>
      <c r="C191" s="90" t="s">
        <v>589</v>
      </c>
      <c r="D191" s="101">
        <f>((910.85*(D158/K191)^0.5954)*K191)*(IF('Input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629404.28627557948</v>
      </c>
      <c r="E191" s="101">
        <f>((910.85*(E158/L191)^0.5954)*L191)*(IF('Input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1259738.5916276434</v>
      </c>
      <c r="F191" s="101">
        <f>((910.85*(F158/M191)^0.5954)*M191)*(IF('Input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649660.00672030484</v>
      </c>
      <c r="G191" s="101">
        <f>((910.85*(G158/N191)^0.5954)*N191)*(IF('Input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303471.16107927792</v>
      </c>
      <c r="H191" s="101">
        <f>((910.85*(H158/O191)^0.5954)*O191)*(IF('Input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303471.16107927792</v>
      </c>
      <c r="K191" s="167">
        <f>TRUNC(D158/43000)+1</f>
        <v>1</v>
      </c>
      <c r="L191" s="168">
        <f>TRUNC(E158/43000)+1</f>
        <v>2</v>
      </c>
      <c r="M191" s="168">
        <f>TRUNC(F158/43000)+1</f>
        <v>1</v>
      </c>
      <c r="N191" s="168">
        <f>TRUNC(G158/43000)+1</f>
        <v>1</v>
      </c>
      <c r="O191" s="169">
        <f>TRUNC(H158/43000)+1</f>
        <v>1</v>
      </c>
    </row>
    <row r="192" spans="1:15" ht="15" thickTop="1" thickBot="1" x14ac:dyDescent="0.35">
      <c r="A192" s="157" t="s">
        <v>590</v>
      </c>
      <c r="B192" s="90" t="s">
        <v>303</v>
      </c>
      <c r="C192" s="90" t="s">
        <v>591</v>
      </c>
      <c r="D192" s="101">
        <f>(((-0.1195*(D42/1000)^2)+(777.76*(D42/1000))+238203)+((-0.2009*(D57/1000/'Input &amp; Calculation Summary'!C80)^2)+(1266.4*(D57/1000/'Input &amp; Calculation Summary'!C80))+420141)+((0.000012*(D27/1000)^3)-(0.1651*(D27/1000)^2)+(1288.82*(D27/1000))+559693)+(IF('Input &amp; Calculation Summary'!C85=1,22995*'Input &amp; Calculation Summary'!C87+559686,0)))*(IF('Input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4823010.5790333301</v>
      </c>
      <c r="E192" s="101">
        <f>(((-0.1195*(E42/1000)^2)+(777.76*(E42/1000))+238203)+((-0.2009*(E57/1000/'Input &amp; Calculation Summary'!D80)^2)+(1266.4*(E57/1000/'Input &amp; Calculation Summary'!D80))+420141)+((0.000012*(E27/1000)^3)-(0.1651*(E27/1000)^2)+(1288.82*(E27/1000))+559693)+(IF('Input &amp; Calculation Summary'!D85=1,22995*'Input &amp; Calculation Summary'!D87+559686,0)))*(IF('Input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7724400.1009023432</v>
      </c>
      <c r="F192" s="101">
        <f>(((-0.1195*(F42/1000)^2)+(777.76*(F42/1000))+238203)+((-0.2009*(F57/1000/'Input &amp; Calculation Summary'!E80)^2)+(1266.4*(F57/1000/'Input &amp; Calculation Summary'!E80))+420141)+((0.000012*(F27/1000)^3)-(0.1651*(F27/1000)^2)+(1288.82*(F27/1000))+559693)+(IF('Input &amp; Calculation Summary'!E85=1,22995*'Input &amp; Calculation Summary'!E87+559686,0)))*(IF('Input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5894666.9884063583</v>
      </c>
      <c r="G192" s="101">
        <f>(((-0.1195*(G42/1000)^2)+(777.76*(G42/1000))+238203)+((-0.2009*(G57/1000/'Input &amp; Calculation Summary'!F80)^2)+(1266.4*(G57/1000/'Input &amp; Calculation Summary'!F80))+420141)+((0.000012*(G27/1000)^3)-(0.1651*(G27/1000)^2)+(1288.82*(G27/1000))+559693)+(IF('Input &amp; Calculation Summary'!F85=1,22995*'Input &amp; Calculation Summary'!F87+559686,0)))*(IF('Input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4210189.2371764546</v>
      </c>
      <c r="H192" s="101">
        <f>(((-0.1195*(H42/1000)^2)+(777.76*(H42/1000))+238203)+((-0.2009*(H57/1000/'Input &amp; Calculation Summary'!G80)^2)+(1266.4*(H57/1000/'Input &amp; Calculation Summary'!G80))+420141)+((0.000012*(H27/1000)^3)-(0.1651*(H27/1000)^2)+(1288.82*(H27/1000))+559693)+(IF('Input &amp; Calculation Summary'!G85=1,22995*'Input &amp; Calculation Summary'!G87+559686,0)))*(IF('Input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4210189.2371764546</v>
      </c>
    </row>
    <row r="193" spans="1:15" ht="15" thickTop="1" x14ac:dyDescent="0.35">
      <c r="A193" s="157" t="s">
        <v>592</v>
      </c>
      <c r="B193" s="90" t="s">
        <v>303</v>
      </c>
      <c r="C193" s="90" t="s">
        <v>527</v>
      </c>
      <c r="D193" s="101">
        <f>((91.24*((K194)^0.6842))*K195)*(IF('Input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973101.0297531212</v>
      </c>
      <c r="E193" s="101">
        <f>((91.24*((L194)^0.6842))*L195)*(IF('Input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2325052.0665909685</v>
      </c>
      <c r="F193" s="101">
        <f>((91.24*((M194)^0.6842))*M195)*(IF('Input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1499365.4502811849</v>
      </c>
      <c r="G193" s="101">
        <f>((91.24*((N194)^0.6842))*N195)*(IF('Input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625225.44104545983</v>
      </c>
      <c r="H193" s="101">
        <f>((91.24*((O194)^0.6842))*O195)*(IF('Input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625225.44104545983</v>
      </c>
      <c r="K193" s="164"/>
      <c r="L193" s="165"/>
      <c r="M193" s="165" t="s">
        <v>593</v>
      </c>
      <c r="N193" s="165"/>
      <c r="O193" s="166"/>
    </row>
    <row r="194" spans="1:15" ht="14" x14ac:dyDescent="0.3">
      <c r="A194" s="157" t="s">
        <v>594</v>
      </c>
      <c r="B194" s="90" t="s">
        <v>303</v>
      </c>
      <c r="C194" s="90" t="s">
        <v>584</v>
      </c>
      <c r="D194" s="101">
        <f>(IF('Input &amp; Calculation Summary'!C78=1,(-4.0567*(D30/1000)^2+1788*(D30/1000)+80700),IF('Input &amp; Calculation Summary'!C78=2,(0.325*(D30/1000)^3-168.77*(D30/1000)^2+29091*(D30/1000)+773243),(0.325*(D30/1000)^3-168.77*(D30/1000)^2+29091*(D30/1000)+773243)*1.25)))*(IF('Input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120817.64639201976</v>
      </c>
      <c r="E194" s="101">
        <f>(IF('Input &amp; Calculation Summary'!D78=1,(-4.0567*(E30/1000)^2+1788*(E30/1000)+80700),IF('Input &amp; Calculation Summary'!D78=2,(0.325*(E30/1000)^3-168.77*(E30/1000)^2+29091*(E30/1000)+773243),(0.325*(E30/1000)^3-168.77*(E30/1000)^2+29091*(E30/1000)+773243)*1.25)))*(IF('Input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124040.18158166103</v>
      </c>
      <c r="F194" s="101">
        <f>(IF('Input &amp; Calculation Summary'!E78=1,(-4.0567*(F30/1000)^2+1788*(F30/1000)+80700),IF('Input &amp; Calculation Summary'!E78=2,(0.325*(F30/1000)^3-168.77*(F30/1000)^2+29091*(F30/1000)+773243),(0.325*(F30/1000)^3-168.77*(F30/1000)^2+29091*(F30/1000)+773243)*1.25)))*(IF('Input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122273.40005326011</v>
      </c>
      <c r="G194" s="101">
        <f>(IF('Input &amp; Calculation Summary'!F78=1,(-4.0567*(G30/1000)^2+1788*(G30/1000)+80700),IF('Input &amp; Calculation Summary'!F78=2,(0.325*(G30/1000)^3-168.77*(G30/1000)^2+29091*(G30/1000)+773243),(0.325*(G30/1000)^3-168.77*(G30/1000)^2+29091*(G30/1000)+773243)*1.25)))*(IF('Input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120851.11451650837</v>
      </c>
      <c r="H194" s="101">
        <f>(IF('Input &amp; Calculation Summary'!G78=1,(-4.0567*(H30/1000)^2+1788*(H30/1000)+80700),IF('Input &amp; Calculation Summary'!G78=2,(0.325*(H30/1000)^3-168.77*(H30/1000)^2+29091*(H30/1000)+773243),(0.325*(H30/1000)^3-168.77*(H30/1000)^2+29091*(H30/1000)+773243)*1.25)))*(IF('Input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120851.11451650837</v>
      </c>
      <c r="K194" s="170">
        <f>IF((D26*((D24+460)/520)*(29.92/('Input &amp; Calculation Summary'!C32+('Input &amp; Calculation Summary'!C33/inH2O_inHg)))/2)&lt;1600000,(D26*((D24+460)/520)*(29.92/('Input &amp; Calculation Summary'!C32+('Input &amp; Calculation Summary'!C33/inH2O_inHg)))/2),IF(((D26*((D24+460)/520)*(29.92/('Input &amp; Calculation Summary'!C32+('Input &amp; Calculation Summary'!C33/inH2O_inHg)))/2))/2&lt;1600000,((D26*((D24+460)/520)*(29.92/('Input &amp; Calculation Summary'!C32+('Input &amp; Calculation Summary'!C33/inH2O_inHg)))/2))/2,((D26*((D24+460)/520)*(29.92/('Input &amp; Calculation Summary'!C32+('Input &amp; Calculation Summary'!C33/inH2O_inHg)))/2))/2/2))</f>
        <v>156215.52948072675</v>
      </c>
      <c r="L194" s="163">
        <f>IF((E26*((E24+460)/520)*(29.92/('Input &amp; Calculation Summary'!D32+('Input &amp; Calculation Summary'!D33/inH2O_inHg)))/2)&lt;1600000,(E26*((E24+460)/520)*(29.92/('Input &amp; Calculation Summary'!D32+('Input &amp; Calculation Summary'!D33/inH2O_inHg)))/2),IF(((E26*((E24+460)/520)*(29.92/('Input &amp; Calculation Summary'!D32+('Input &amp; Calculation Summary'!D33/inH2O_inHg)))/2))/2&lt;1600000,((E26*((E24+460)/520)*(29.92/('Input &amp; Calculation Summary'!D32+('Input &amp; Calculation Summary'!D33/inH2O_inHg)))/2))/2,((E26*((E24+460)/520)*(29.92/('Input &amp; Calculation Summary'!D32+('Input &amp; Calculation Summary'!D33/inH2O_inHg)))/2))/2/2))</f>
        <v>557950.67589943483</v>
      </c>
      <c r="M194" s="163">
        <f>IF((F26*((F24+460)/520)*(29.92/('Input &amp; Calculation Summary'!E32+('Input &amp; Calculation Summary'!E33/inH2O_inHg)))/2)&lt;1600000,(F26*((F24+460)/520)*(29.92/('Input &amp; Calculation Summary'!E32+('Input &amp; Calculation Summary'!E33/inH2O_inHg)))/2),IF(((F26*((F24+460)/520)*(29.92/('Input &amp; Calculation Summary'!E32+('Input &amp; Calculation Summary'!E33/inH2O_inHg)))/2))/2&lt;1600000,((F26*((F24+460)/520)*(29.92/('Input &amp; Calculation Summary'!E32+('Input &amp; Calculation Summary'!E33/inH2O_inHg)))/2))/2,((F26*((F24+460)/520)*(29.92/('Input &amp; Calculation Summary'!E32+('Input &amp; Calculation Summary'!E33/inH2O_inHg)))/2))/2/2))</f>
        <v>293854.02264036884</v>
      </c>
      <c r="N194" s="163">
        <f>IF((G26*((G24+460)/520)*(29.92/('Input &amp; Calculation Summary'!F32+('Input &amp; Calculation Summary'!F33/inH2O_inHg)))/2)&lt;1600000,(G26*((G24+460)/520)*(29.92/('Input &amp; Calculation Summary'!F32+('Input &amp; Calculation Summary'!F33/inH2O_inHg)))/2),IF(((G26*((G24+460)/520)*(29.92/('Input &amp; Calculation Summary'!F32+('Input &amp; Calculation Summary'!F33/inH2O_inHg)))/2))/2&lt;1600000,((G26*((G24+460)/520)*(29.92/('Input &amp; Calculation Summary'!F32+('Input &amp; Calculation Summary'!F33/inH2O_inHg)))/2))/2,((G26*((G24+460)/520)*(29.92/('Input &amp; Calculation Summary'!F32+('Input &amp; Calculation Summary'!F33/inH2O_inHg)))/2))/2/2))</f>
        <v>81832.765798583787</v>
      </c>
      <c r="O194" s="171">
        <f>IF((H26*((H24+460)/520)*(29.92/('Input &amp; Calculation Summary'!G32+('Input &amp; Calculation Summary'!G33/inH2O_inHg)))/2)&lt;1600000,(H26*((H24+460)/520)*(29.92/('Input &amp; Calculation Summary'!G32+('Input &amp; Calculation Summary'!G33/inH2O_inHg)))/2),IF(((H26*((H24+460)/520)*(29.92/('Input &amp; Calculation Summary'!G32+('Input &amp; Calculation Summary'!G33/inH2O_inHg)))/2))/2&lt;1600000,((H26*((H24+460)/520)*(29.92/('Input &amp; Calculation Summary'!G32+('Input &amp; Calculation Summary'!G33/inH2O_inHg)))/2))/2,((H26*((H24+460)/520)*(29.92/('Input &amp; Calculation Summary'!G32+('Input &amp; Calculation Summary'!G33/inH2O_inHg)))/2))/2/2))</f>
        <v>81832.765798583787</v>
      </c>
    </row>
    <row r="195" spans="1:15" ht="14.5" thickBot="1" x14ac:dyDescent="0.35">
      <c r="A195" s="157" t="s">
        <v>595</v>
      </c>
      <c r="B195" s="90" t="s">
        <v>303</v>
      </c>
      <c r="C195" s="90" t="s">
        <v>596</v>
      </c>
      <c r="D195" s="101">
        <f>(9018.7*((D178-D177)/2000)+114562)*(IF('Input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172634.5442893228</v>
      </c>
      <c r="E195" s="101">
        <f>(9018.7*((E178-E177)/2000)+114562)*(IF('Input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196361.85129175207</v>
      </c>
      <c r="F195" s="101">
        <f>(9018.7*((F178-F177)/2000)+114562)*(IF('Input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184253.13372155986</v>
      </c>
      <c r="G195" s="101">
        <f>(9018.7*((G178-G177)/2000)+114562)*(IF('Input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174532.05060182809</v>
      </c>
      <c r="H195" s="101">
        <f>(9018.7*((H178-H177)/2000)+114562)*(IF('Input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174532.05060182809</v>
      </c>
      <c r="K195" s="172">
        <f>(D26*((D24+460)/520)*(29.92/('Input &amp; Calculation Summary'!C32+('Input &amp; Calculation Summary'!C33/inH2O_inHg))))/K194</f>
        <v>2</v>
      </c>
      <c r="L195" s="173">
        <f>(E26*((E24+460)/520)*(29.92/('Input &amp; Calculation Summary'!D32+('Input &amp; Calculation Summary'!D33/inH2O_inHg))))/L194</f>
        <v>2</v>
      </c>
      <c r="M195" s="173">
        <f>(F26*((F24+460)/520)*(29.92/('Input &amp; Calculation Summary'!E32+('Input &amp; Calculation Summary'!E33/inH2O_inHg))))/M194</f>
        <v>2</v>
      </c>
      <c r="N195" s="173">
        <f>(G26*((G24+460)/520)*(29.92/('Input &amp; Calculation Summary'!F32+('Input &amp; Calculation Summary'!F33/inH2O_inHg))))/N194</f>
        <v>2</v>
      </c>
      <c r="O195" s="174">
        <f>(H26*((H24+460)/520)*(29.92/('Input &amp; Calculation Summary'!G32+('Input &amp; Calculation Summary'!G33/inH2O_inHg))))/O194</f>
        <v>2</v>
      </c>
    </row>
    <row r="196" spans="1:15" ht="14.5" thickTop="1" x14ac:dyDescent="0.3">
      <c r="A196" s="157" t="s">
        <v>597</v>
      </c>
      <c r="B196" s="90" t="s">
        <v>303</v>
      </c>
      <c r="C196" s="90" t="s">
        <v>39</v>
      </c>
      <c r="D196" s="101">
        <f>(0.0003*'Input &amp; Calculation Summary'!C25^3-1.0667*'Input &amp; Calculation Summary'!C25^2+1993.8*'Input &amp; Calculation Summary'!C25+1177674)*(IF('Input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2167145.1695876289</v>
      </c>
      <c r="E196" s="101">
        <f>(0.0003*'Input &amp; Calculation Summary'!D25^3-1.0667*'Input &amp; Calculation Summary'!D25^2+1993.8*'Input &amp; Calculation Summary'!D25+1177674)*(IF('Input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2167145.1695876289</v>
      </c>
      <c r="F196" s="101">
        <f>(0.0003*'Input &amp; Calculation Summary'!E25^3-1.0667*'Input &amp; Calculation Summary'!E25^2+1993.8*'Input &amp; Calculation Summary'!E25+1177674)*(IF('Input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1980684.3446412373</v>
      </c>
      <c r="G196" s="101">
        <f>(0.0003*'Input &amp; Calculation Summary'!F25^3-1.0667*'Input &amp; Calculation Summary'!F25^2+1993.8*'Input &amp; Calculation Summary'!F25+1177674)*(IF('Input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1820207.6739934022</v>
      </c>
      <c r="H196" s="101">
        <f>(0.0003*'Input &amp; Calculation Summary'!G25^3-1.0667*'Input &amp; Calculation Summary'!G25^2+1993.8*'Input &amp; Calculation Summary'!G25+1177674)*(IF('Input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1820207.6739934022</v>
      </c>
    </row>
    <row r="197" spans="1:15" ht="14" x14ac:dyDescent="0.3">
      <c r="A197" s="157" t="s">
        <v>598</v>
      </c>
      <c r="B197" s="90" t="s">
        <v>303</v>
      </c>
      <c r="C197" s="90" t="s">
        <v>527</v>
      </c>
      <c r="D197" s="162">
        <f>IF('Input &amp; Calculation Summary'!C85=1,40208*D57^0.3339,23370*D57^0.3908)*(IF('Input &amp; Calculation Summary'!C46&lt;1998,VLOOKUP('Input &amp; Calculation Summary'!C46,Constants_CC!$B$285:$C$303,2)/388,(IF('Input &amp; Calculation Summary'!C59="Yes",'Input &amp; Calculation Summary'!C60/388,(1+'Input &amp; Calculation Summary'!C61)^(D184-1998)))))</f>
        <v>3768538.6103062732</v>
      </c>
      <c r="E197" s="162">
        <f>IF('Input &amp; Calculation Summary'!D85=1,40208*E57^0.3339,23370*E57^0.3908)*(IF('Input &amp; Calculation Summary'!D46&lt;1998,VLOOKUP('Input &amp; Calculation Summary'!D46,Constants_CC!$B$285:$C$303,2)/388,(IF('Input &amp; Calculation Summary'!D59="Yes",'Input &amp; Calculation Summary'!D60/388,(1+'Input &amp; Calculation Summary'!D61)^(E184-1998)))))</f>
        <v>5766957.8145916481</v>
      </c>
      <c r="F197" s="162">
        <f>IF('Input &amp; Calculation Summary'!E85=1,40208*F57^0.3339,23370*F57^0.3908)*(IF('Input &amp; Calculation Summary'!E46&lt;1998,VLOOKUP('Input &amp; Calculation Summary'!E46,Constants_CC!$B$285:$C$303,2)/388,(IF('Input &amp; Calculation Summary'!E59="Yes",'Input &amp; Calculation Summary'!E60/388,(1+'Input &amp; Calculation Summary'!E61)^(F184-1998)))))</f>
        <v>4655513.4848343637</v>
      </c>
      <c r="G197" s="162">
        <f>IF('Input &amp; Calculation Summary'!F85=1,40208*G57^0.3339,23370*G57^0.3908)*(IF('Input &amp; Calculation Summary'!F46&lt;1998,VLOOKUP('Input &amp; Calculation Summary'!F46,Constants_CC!$B$285:$C$303,2)/388,(IF('Input &amp; Calculation Summary'!F59="Yes",'Input &amp; Calculation Summary'!F60/388,(1+'Input &amp; Calculation Summary'!F61)^(G184-1998)))))</f>
        <v>3037979.4812491094</v>
      </c>
      <c r="H197" s="162">
        <f>IF('Input &amp; Calculation Summary'!G85=1,40208*H57^0.3339,23370*H57^0.3908)*(IF('Input &amp; Calculation Summary'!G46&lt;1998,VLOOKUP('Input &amp; Calculation Summary'!G46,Constants_CC!$B$285:$C$303,2)/388,(IF('Input &amp; Calculation Summary'!G59="Yes",'Input &amp; Calculation Summary'!G60/388,(1+'Input &amp; Calculation Summary'!G61)^(H184-1998)))))</f>
        <v>3037979.4812491094</v>
      </c>
    </row>
    <row r="198" spans="1:15" ht="14" x14ac:dyDescent="0.3">
      <c r="A198" s="159" t="s">
        <v>599</v>
      </c>
      <c r="B198" s="90" t="s">
        <v>303</v>
      </c>
      <c r="D198" s="101">
        <f>SUM(D186:D197)</f>
        <v>37379483.809418216</v>
      </c>
      <c r="E198" s="101">
        <f>SUM(E186:E197)</f>
        <v>53673673.996325366</v>
      </c>
      <c r="F198" s="101">
        <f>SUM(F186:F197)</f>
        <v>43635238.457306087</v>
      </c>
      <c r="G198" s="101">
        <f>SUM(G186:G197)</f>
        <v>32549228.920046382</v>
      </c>
      <c r="H198" s="101">
        <f>SUM(H186:H197)</f>
        <v>32549228.920046382</v>
      </c>
    </row>
    <row r="199" spans="1:15" x14ac:dyDescent="0.3">
      <c r="A199" s="160" t="s">
        <v>600</v>
      </c>
      <c r="B199" s="90"/>
      <c r="C199" s="90"/>
      <c r="D199" s="90"/>
      <c r="E199" s="90"/>
      <c r="F199" s="90"/>
      <c r="G199" s="90"/>
      <c r="H199" s="90"/>
    </row>
    <row r="200" spans="1:15" x14ac:dyDescent="0.3">
      <c r="B200" s="90"/>
      <c r="C200" s="90"/>
      <c r="D200" s="90"/>
      <c r="E200" s="90"/>
      <c r="F200" s="90"/>
      <c r="G200" s="90"/>
      <c r="H200" s="90"/>
    </row>
    <row r="201" spans="1:15" ht="15.5" x14ac:dyDescent="0.35">
      <c r="A201" s="110" t="s">
        <v>601</v>
      </c>
      <c r="C201" s="90"/>
      <c r="D201" s="90"/>
      <c r="E201" s="90"/>
      <c r="F201" s="90"/>
      <c r="G201" s="90"/>
      <c r="H201" s="90"/>
    </row>
    <row r="202" spans="1:15" ht="14" x14ac:dyDescent="0.3">
      <c r="A202" s="156" t="s">
        <v>577</v>
      </c>
      <c r="B202" s="90" t="s">
        <v>303</v>
      </c>
      <c r="D202" s="101">
        <f>D186*'Input &amp; Calculation Summary'!C$39</f>
        <v>17005742.432289153</v>
      </c>
      <c r="E202" s="101">
        <f>E186*'Input &amp; Calculation Summary'!D$39</f>
        <v>17346621.253138039</v>
      </c>
      <c r="F202" s="101">
        <f>F186*'Input &amp; Calculation Summary'!E$39</f>
        <v>17173983.079809185</v>
      </c>
      <c r="G202" s="101">
        <f>G186*'Input &amp; Calculation Summary'!F$39</f>
        <v>17033393.684222788</v>
      </c>
      <c r="H202" s="101">
        <f>H186*'Input &amp; Calculation Summary'!G$39</f>
        <v>17033393.684222788</v>
      </c>
    </row>
    <row r="203" spans="1:15" ht="14" x14ac:dyDescent="0.3">
      <c r="A203" s="156" t="s">
        <v>579</v>
      </c>
      <c r="B203" s="90" t="s">
        <v>303</v>
      </c>
      <c r="D203" s="101">
        <f>D187*'Input &amp; Calculation Summary'!C$39</f>
        <v>4428687.6488648048</v>
      </c>
      <c r="E203" s="101">
        <f>E187*'Input &amp; Calculation Summary'!D$39</f>
        <v>4485841.6403034953</v>
      </c>
      <c r="F203" s="101">
        <f>F187*'Input &amp; Calculation Summary'!E$39</f>
        <v>4456652.002420187</v>
      </c>
      <c r="G203" s="101">
        <f>G187*'Input &amp; Calculation Summary'!F$39</f>
        <v>4433251.7582228081</v>
      </c>
      <c r="H203" s="101">
        <f>H187*'Input &amp; Calculation Summary'!G$39</f>
        <v>4433251.7582228081</v>
      </c>
    </row>
    <row r="204" spans="1:15" ht="14" x14ac:dyDescent="0.3">
      <c r="A204" s="156" t="s">
        <v>581</v>
      </c>
      <c r="B204" s="90" t="s">
        <v>303</v>
      </c>
      <c r="D204" s="101">
        <f>D188*'Input &amp; Calculation Summary'!C$39</f>
        <v>0</v>
      </c>
      <c r="E204" s="101">
        <f>E188*'Input &amp; Calculation Summary'!D$39</f>
        <v>278170.01161795313</v>
      </c>
      <c r="F204" s="101">
        <f>F188*'Input &amp; Calculation Summary'!E$39</f>
        <v>232009.06249226537</v>
      </c>
      <c r="G204" s="101">
        <f>G188*'Input &amp; Calculation Summary'!F$39</f>
        <v>161577.9526926924</v>
      </c>
      <c r="H204" s="101">
        <f>H188*'Input &amp; Calculation Summary'!G$39</f>
        <v>161577.9526926924</v>
      </c>
    </row>
    <row r="205" spans="1:15" ht="14" x14ac:dyDescent="0.3">
      <c r="A205" s="157" t="s">
        <v>583</v>
      </c>
      <c r="B205" s="90" t="s">
        <v>303</v>
      </c>
      <c r="D205" s="101">
        <f>D189*'Input &amp; Calculation Summary'!C$39</f>
        <v>4560515.7610168746</v>
      </c>
      <c r="E205" s="101">
        <f>E189*'Input &amp; Calculation Summary'!D$39</f>
        <v>4660394.1259084158</v>
      </c>
      <c r="F205" s="101">
        <f>F189*'Input &amp; Calculation Summary'!E$39</f>
        <v>4605728.5351574747</v>
      </c>
      <c r="G205" s="101">
        <f>G189*'Input &amp; Calculation Summary'!F$39</f>
        <v>4561556.9521406097</v>
      </c>
      <c r="H205" s="101">
        <f>H189*'Input &amp; Calculation Summary'!G$39</f>
        <v>4561556.9521406097</v>
      </c>
    </row>
    <row r="206" spans="1:15" ht="14" x14ac:dyDescent="0.3">
      <c r="A206" s="157" t="s">
        <v>585</v>
      </c>
      <c r="B206" s="90" t="s">
        <v>303</v>
      </c>
      <c r="D206" s="101">
        <f>D190*'Input &amp; Calculation Summary'!C$39</f>
        <v>13564785.267878661</v>
      </c>
      <c r="E206" s="101">
        <f>E190*'Input &amp; Calculation Summary'!D$39</f>
        <v>27804938.121274859</v>
      </c>
      <c r="F206" s="101">
        <f>F190*'Input &amp; Calculation Summary'!E$39</f>
        <v>19369741.95795738</v>
      </c>
      <c r="G206" s="101">
        <f>G190*'Input &amp; Calculation Summary'!F$39</f>
        <v>9421056.069336053</v>
      </c>
      <c r="H206" s="101">
        <f>H190*'Input &amp; Calculation Summary'!G$39</f>
        <v>9421056.069336053</v>
      </c>
    </row>
    <row r="207" spans="1:15" ht="14" x14ac:dyDescent="0.3">
      <c r="A207" s="157" t="s">
        <v>588</v>
      </c>
      <c r="B207" s="90" t="s">
        <v>303</v>
      </c>
      <c r="D207" s="101">
        <f>D191*'Input &amp; Calculation Summary'!C$39</f>
        <v>1007046.8580409272</v>
      </c>
      <c r="E207" s="101">
        <f>E191*'Input &amp; Calculation Summary'!D$39</f>
        <v>2015581.7466042296</v>
      </c>
      <c r="F207" s="101">
        <f>F191*'Input &amp; Calculation Summary'!E$39</f>
        <v>1039456.0107524878</v>
      </c>
      <c r="G207" s="101">
        <f>G191*'Input &amp; Calculation Summary'!F$39</f>
        <v>485553.85772684473</v>
      </c>
      <c r="H207" s="101">
        <f>H191*'Input &amp; Calculation Summary'!G$39</f>
        <v>485553.85772684473</v>
      </c>
    </row>
    <row r="208" spans="1:15" ht="14" x14ac:dyDescent="0.3">
      <c r="A208" s="157" t="s">
        <v>590</v>
      </c>
      <c r="B208" s="90" t="s">
        <v>303</v>
      </c>
      <c r="D208" s="101">
        <f>D192*'Input &amp; Calculation Summary'!C$39</f>
        <v>7716816.9264533287</v>
      </c>
      <c r="E208" s="101">
        <f>E192*'Input &amp; Calculation Summary'!D$39</f>
        <v>12359040.161443749</v>
      </c>
      <c r="F208" s="101">
        <f>F192*'Input &amp; Calculation Summary'!E$39</f>
        <v>9431467.1814501733</v>
      </c>
      <c r="G208" s="101">
        <f>G192*'Input &amp; Calculation Summary'!F$39</f>
        <v>6736302.7794823274</v>
      </c>
      <c r="H208" s="101">
        <f>H192*'Input &amp; Calculation Summary'!G$39</f>
        <v>6736302.7794823274</v>
      </c>
    </row>
    <row r="209" spans="1:8" ht="14" x14ac:dyDescent="0.3">
      <c r="A209" s="157" t="s">
        <v>592</v>
      </c>
      <c r="B209" s="90" t="s">
        <v>303</v>
      </c>
      <c r="D209" s="101">
        <f>D193*'Input &amp; Calculation Summary'!C$39</f>
        <v>1556961.647604994</v>
      </c>
      <c r="E209" s="101">
        <f>E193*'Input &amp; Calculation Summary'!D$39</f>
        <v>3720083.30654555</v>
      </c>
      <c r="F209" s="101">
        <f>F193*'Input &amp; Calculation Summary'!E$39</f>
        <v>2398984.7204498961</v>
      </c>
      <c r="G209" s="101">
        <f>G193*'Input &amp; Calculation Summary'!F$39</f>
        <v>1000360.7056727358</v>
      </c>
      <c r="H209" s="101">
        <f>H193*'Input &amp; Calculation Summary'!G$39</f>
        <v>1000360.7056727358</v>
      </c>
    </row>
    <row r="210" spans="1:8" ht="14" x14ac:dyDescent="0.3">
      <c r="A210" s="157" t="s">
        <v>594</v>
      </c>
      <c r="B210" s="90" t="s">
        <v>303</v>
      </c>
      <c r="D210" s="101">
        <f>D194*'Input &amp; Calculation Summary'!C$39</f>
        <v>193308.23422723162</v>
      </c>
      <c r="E210" s="101">
        <f>E194*'Input &amp; Calculation Summary'!D$39</f>
        <v>198464.29053065766</v>
      </c>
      <c r="F210" s="101">
        <f>F194*'Input &amp; Calculation Summary'!E$39</f>
        <v>195637.44008521619</v>
      </c>
      <c r="G210" s="101">
        <f>G194*'Input &amp; Calculation Summary'!F$39</f>
        <v>193361.78322641342</v>
      </c>
      <c r="H210" s="101">
        <f>H194*'Input &amp; Calculation Summary'!G$39</f>
        <v>193361.78322641342</v>
      </c>
    </row>
    <row r="211" spans="1:8" ht="14" x14ac:dyDescent="0.3">
      <c r="A211" s="157" t="s">
        <v>595</v>
      </c>
      <c r="B211" s="90" t="s">
        <v>303</v>
      </c>
      <c r="D211" s="101">
        <f>D195*'Input &amp; Calculation Summary'!C$39</f>
        <v>276215.27086291648</v>
      </c>
      <c r="E211" s="101">
        <f>E195*'Input &amp; Calculation Summary'!D$39</f>
        <v>314178.9620668033</v>
      </c>
      <c r="F211" s="101">
        <f>F195*'Input &amp; Calculation Summary'!E$39</f>
        <v>294805.01395449578</v>
      </c>
      <c r="G211" s="101">
        <f>G195*'Input &amp; Calculation Summary'!F$39</f>
        <v>279251.28096292494</v>
      </c>
      <c r="H211" s="101">
        <f>H195*'Input &amp; Calculation Summary'!G$39</f>
        <v>279251.28096292494</v>
      </c>
    </row>
    <row r="212" spans="1:8" ht="14" x14ac:dyDescent="0.3">
      <c r="A212" s="157" t="s">
        <v>597</v>
      </c>
      <c r="B212" s="90" t="s">
        <v>303</v>
      </c>
      <c r="D212" s="101">
        <f>D196*'Input &amp; Calculation Summary'!C$39</f>
        <v>3467432.2713402063</v>
      </c>
      <c r="E212" s="101">
        <f>E196*'Input &amp; Calculation Summary'!D$39</f>
        <v>3467432.2713402063</v>
      </c>
      <c r="F212" s="101">
        <f>F196*'Input &amp; Calculation Summary'!E$39</f>
        <v>3169094.9514259798</v>
      </c>
      <c r="G212" s="101">
        <f>G196*'Input &amp; Calculation Summary'!F$39</f>
        <v>2912332.2783894436</v>
      </c>
      <c r="H212" s="101">
        <f>H196*'Input &amp; Calculation Summary'!G$39</f>
        <v>2912332.2783894436</v>
      </c>
    </row>
    <row r="213" spans="1:8" ht="14" x14ac:dyDescent="0.3">
      <c r="A213" s="157" t="s">
        <v>598</v>
      </c>
      <c r="B213" s="90" t="s">
        <v>303</v>
      </c>
      <c r="D213" s="162">
        <f>D197*'Input &amp; Calculation Summary'!C$39</f>
        <v>6029661.7764900373</v>
      </c>
      <c r="E213" s="162">
        <f>E197*'Input &amp; Calculation Summary'!D$39</f>
        <v>9227132.5033466369</v>
      </c>
      <c r="F213" s="162">
        <f>F197*'Input &amp; Calculation Summary'!E$39</f>
        <v>7448821.5757349823</v>
      </c>
      <c r="G213" s="162">
        <f>G197*'Input &amp; Calculation Summary'!F$39</f>
        <v>4860767.169998575</v>
      </c>
      <c r="H213" s="162">
        <f>H197*'Input &amp; Calculation Summary'!G$39</f>
        <v>4860767.169998575</v>
      </c>
    </row>
    <row r="214" spans="1:8" ht="14" x14ac:dyDescent="0.3">
      <c r="A214" s="159" t="s">
        <v>599</v>
      </c>
      <c r="B214" s="90" t="s">
        <v>303</v>
      </c>
      <c r="D214" s="101">
        <f>SUM(D202:D213)</f>
        <v>59807174.09506914</v>
      </c>
      <c r="E214" s="101">
        <f>SUM(E202:E213)</f>
        <v>85877878.394120589</v>
      </c>
      <c r="F214" s="101">
        <f>SUM(F202:F213)</f>
        <v>69816381.531689718</v>
      </c>
      <c r="G214" s="101">
        <f>SUM(G202:G213)</f>
        <v>52078766.272074208</v>
      </c>
      <c r="H214" s="101">
        <f>SUM(H202:H213)</f>
        <v>52078766.272074208</v>
      </c>
    </row>
    <row r="215" spans="1:8" x14ac:dyDescent="0.3">
      <c r="B215" s="90"/>
      <c r="D215" s="90"/>
      <c r="E215" s="90"/>
      <c r="F215" s="90"/>
      <c r="G215" s="90"/>
      <c r="H215" s="90"/>
    </row>
    <row r="216" spans="1:8" ht="15.5" x14ac:dyDescent="0.35">
      <c r="A216" s="110" t="s">
        <v>602</v>
      </c>
      <c r="B216" s="90"/>
      <c r="D216" s="90"/>
      <c r="E216" s="90"/>
      <c r="F216" s="90"/>
      <c r="G216" s="90"/>
      <c r="H216" s="90"/>
    </row>
    <row r="217" spans="1:8" ht="14" x14ac:dyDescent="0.3">
      <c r="A217" s="156" t="s">
        <v>577</v>
      </c>
      <c r="B217" s="90" t="s">
        <v>303</v>
      </c>
      <c r="D217" s="101">
        <f>D202*'Input &amp; Calculation Summary'!C106</f>
        <v>1700574.2432289154</v>
      </c>
      <c r="E217" s="101">
        <f>E202*'Input &amp; Calculation Summary'!D106</f>
        <v>1734662.125313804</v>
      </c>
      <c r="F217" s="101">
        <f>F202*'Input &amp; Calculation Summary'!E106</f>
        <v>1717398.3079809186</v>
      </c>
      <c r="G217" s="101">
        <f>G202*'Input &amp; Calculation Summary'!F106</f>
        <v>1703339.3684222789</v>
      </c>
      <c r="H217" s="101">
        <f>H202*'Input &amp; Calculation Summary'!G106</f>
        <v>1703339.3684222789</v>
      </c>
    </row>
    <row r="218" spans="1:8" ht="14" x14ac:dyDescent="0.3">
      <c r="A218" s="156" t="s">
        <v>579</v>
      </c>
      <c r="B218" s="90" t="s">
        <v>303</v>
      </c>
      <c r="D218" s="101">
        <f>D203*'Input &amp; Calculation Summary'!C106</f>
        <v>442868.76488648052</v>
      </c>
      <c r="E218" s="101">
        <f>E203*'Input &amp; Calculation Summary'!D106</f>
        <v>448584.16403034958</v>
      </c>
      <c r="F218" s="101">
        <f>F203*'Input &amp; Calculation Summary'!E106</f>
        <v>445665.20024201873</v>
      </c>
      <c r="G218" s="101">
        <f>G203*'Input &amp; Calculation Summary'!F106</f>
        <v>443325.17582228081</v>
      </c>
      <c r="H218" s="101">
        <f>H203*'Input &amp; Calculation Summary'!G106</f>
        <v>443325.17582228081</v>
      </c>
    </row>
    <row r="219" spans="1:8" ht="14" x14ac:dyDescent="0.3">
      <c r="A219" s="156" t="s">
        <v>581</v>
      </c>
      <c r="B219" s="90" t="s">
        <v>303</v>
      </c>
      <c r="D219" s="101">
        <f>D204*'Input &amp; Calculation Summary'!C106</f>
        <v>0</v>
      </c>
      <c r="E219" s="101">
        <f>E204*'Input &amp; Calculation Summary'!D106</f>
        <v>27817.001161795313</v>
      </c>
      <c r="F219" s="101">
        <f>F204*'Input &amp; Calculation Summary'!E106</f>
        <v>23200.906249226537</v>
      </c>
      <c r="G219" s="101">
        <f>G204*'Input &amp; Calculation Summary'!F106</f>
        <v>16157.795269269242</v>
      </c>
      <c r="H219" s="101">
        <f>H204*'Input &amp; Calculation Summary'!G106</f>
        <v>16157.795269269242</v>
      </c>
    </row>
    <row r="220" spans="1:8" ht="14" x14ac:dyDescent="0.3">
      <c r="A220" s="157" t="s">
        <v>583</v>
      </c>
      <c r="B220" s="90" t="s">
        <v>303</v>
      </c>
      <c r="D220" s="101">
        <f>D205*'Input &amp; Calculation Summary'!C107</f>
        <v>456051.5761016875</v>
      </c>
      <c r="E220" s="101">
        <f>E205*'Input &amp; Calculation Summary'!D107</f>
        <v>466039.41259084159</v>
      </c>
      <c r="F220" s="101">
        <f>F205*'Input &amp; Calculation Summary'!E107</f>
        <v>460572.85351574747</v>
      </c>
      <c r="G220" s="101">
        <f>G205*'Input &amp; Calculation Summary'!F107</f>
        <v>456155.69521406101</v>
      </c>
      <c r="H220" s="101">
        <f>H205*'Input &amp; Calculation Summary'!G107</f>
        <v>456155.69521406101</v>
      </c>
    </row>
    <row r="221" spans="1:8" ht="14" x14ac:dyDescent="0.3">
      <c r="A221" s="157" t="s">
        <v>585</v>
      </c>
      <c r="B221" s="90" t="s">
        <v>303</v>
      </c>
      <c r="D221" s="101">
        <f>D206*'Input &amp; Calculation Summary'!C107</f>
        <v>1356478.5267878661</v>
      </c>
      <c r="E221" s="101">
        <f>E206*'Input &amp; Calculation Summary'!D107</f>
        <v>2780493.8121274859</v>
      </c>
      <c r="F221" s="101">
        <f>F206*'Input &amp; Calculation Summary'!E107</f>
        <v>1936974.1957957381</v>
      </c>
      <c r="G221" s="101">
        <f>G206*'Input &amp; Calculation Summary'!F107</f>
        <v>942105.60693360539</v>
      </c>
      <c r="H221" s="101">
        <f>H206*'Input &amp; Calculation Summary'!G107</f>
        <v>942105.60693360539</v>
      </c>
    </row>
    <row r="222" spans="1:8" ht="14" x14ac:dyDescent="0.3">
      <c r="A222" s="157" t="s">
        <v>588</v>
      </c>
      <c r="B222" s="90" t="s">
        <v>303</v>
      </c>
      <c r="D222" s="101">
        <f>D207*'Input &amp; Calculation Summary'!C107</f>
        <v>100704.68580409273</v>
      </c>
      <c r="E222" s="101">
        <f>E207*'Input &amp; Calculation Summary'!D107</f>
        <v>201558.17466042296</v>
      </c>
      <c r="F222" s="101">
        <f>F207*'Input &amp; Calculation Summary'!E107</f>
        <v>103945.60107524879</v>
      </c>
      <c r="G222" s="101">
        <f>G207*'Input &amp; Calculation Summary'!F107</f>
        <v>48555.385772684473</v>
      </c>
      <c r="H222" s="101">
        <f>H207*'Input &amp; Calculation Summary'!G107</f>
        <v>48555.385772684473</v>
      </c>
    </row>
    <row r="223" spans="1:8" ht="14" x14ac:dyDescent="0.3">
      <c r="A223" s="157" t="s">
        <v>590</v>
      </c>
      <c r="B223" s="90" t="s">
        <v>303</v>
      </c>
      <c r="D223" s="101">
        <f>D208*'Input &amp; Calculation Summary'!C108</f>
        <v>771681.69264533289</v>
      </c>
      <c r="E223" s="101">
        <f>E208*'Input &amp; Calculation Summary'!D108</f>
        <v>1235904.0161443751</v>
      </c>
      <c r="F223" s="101">
        <f>F208*'Input &amp; Calculation Summary'!E108</f>
        <v>943146.7181450174</v>
      </c>
      <c r="G223" s="101">
        <f>G208*'Input &amp; Calculation Summary'!F108</f>
        <v>673630.27794823283</v>
      </c>
      <c r="H223" s="101">
        <f>H208*'Input &amp; Calculation Summary'!G108</f>
        <v>673630.27794823283</v>
      </c>
    </row>
    <row r="224" spans="1:8" ht="14" x14ac:dyDescent="0.3">
      <c r="A224" s="157" t="s">
        <v>592</v>
      </c>
      <c r="B224" s="90" t="s">
        <v>303</v>
      </c>
      <c r="D224" s="101">
        <f>D209*'Input &amp; Calculation Summary'!C108</f>
        <v>155696.16476049941</v>
      </c>
      <c r="E224" s="101">
        <f>E209*'Input &amp; Calculation Summary'!D108</f>
        <v>372008.330654555</v>
      </c>
      <c r="F224" s="101">
        <f>F209*'Input &amp; Calculation Summary'!E108</f>
        <v>239898.47204498961</v>
      </c>
      <c r="G224" s="101">
        <f>G209*'Input &amp; Calculation Summary'!F108</f>
        <v>100036.07056727359</v>
      </c>
      <c r="H224" s="101">
        <f>H209*'Input &amp; Calculation Summary'!G108</f>
        <v>100036.07056727359</v>
      </c>
    </row>
    <row r="225" spans="1:8" ht="14" x14ac:dyDescent="0.3">
      <c r="A225" s="157" t="s">
        <v>594</v>
      </c>
      <c r="B225" s="90" t="s">
        <v>303</v>
      </c>
      <c r="D225" s="101">
        <f>D210*'Input &amp; Calculation Summary'!C109</f>
        <v>19330.823422723162</v>
      </c>
      <c r="E225" s="101">
        <f>E210*'Input &amp; Calculation Summary'!D109</f>
        <v>19846.429053065767</v>
      </c>
      <c r="F225" s="101">
        <f>F210*'Input &amp; Calculation Summary'!E109</f>
        <v>19563.744008521619</v>
      </c>
      <c r="G225" s="101">
        <f>G210*'Input &amp; Calculation Summary'!F109</f>
        <v>19336.178322641343</v>
      </c>
      <c r="H225" s="101">
        <f>H210*'Input &amp; Calculation Summary'!G109</f>
        <v>19336.178322641343</v>
      </c>
    </row>
    <row r="226" spans="1:8" ht="14" x14ac:dyDescent="0.3">
      <c r="A226" s="157" t="s">
        <v>595</v>
      </c>
      <c r="B226" s="90" t="s">
        <v>303</v>
      </c>
      <c r="D226" s="101">
        <f>D211*'Input &amp; Calculation Summary'!C109</f>
        <v>27621.527086291651</v>
      </c>
      <c r="E226" s="101">
        <f>E211*'Input &amp; Calculation Summary'!D109</f>
        <v>31417.896206680332</v>
      </c>
      <c r="F226" s="101">
        <f>F211*'Input &amp; Calculation Summary'!E109</f>
        <v>29480.501395449581</v>
      </c>
      <c r="G226" s="101">
        <f>G211*'Input &amp; Calculation Summary'!F109</f>
        <v>27925.128096292494</v>
      </c>
      <c r="H226" s="101">
        <f>H211*'Input &amp; Calculation Summary'!G109</f>
        <v>27925.128096292494</v>
      </c>
    </row>
    <row r="227" spans="1:8" ht="14" x14ac:dyDescent="0.3">
      <c r="A227" s="157" t="s">
        <v>597</v>
      </c>
      <c r="B227" s="90" t="s">
        <v>303</v>
      </c>
      <c r="D227" s="101">
        <f>D212*'Input &amp; Calculation Summary'!C110</f>
        <v>346743.22713402065</v>
      </c>
      <c r="E227" s="101">
        <f>E212*'Input &amp; Calculation Summary'!D110</f>
        <v>346743.22713402065</v>
      </c>
      <c r="F227" s="101">
        <f>F212*'Input &amp; Calculation Summary'!E110</f>
        <v>316909.495142598</v>
      </c>
      <c r="G227" s="101">
        <f>G212*'Input &amp; Calculation Summary'!F110</f>
        <v>291233.22783894435</v>
      </c>
      <c r="H227" s="101">
        <f>H212*'Input &amp; Calculation Summary'!G110</f>
        <v>291233.22783894435</v>
      </c>
    </row>
    <row r="228" spans="1:8" ht="14" x14ac:dyDescent="0.3">
      <c r="A228" s="157" t="s">
        <v>598</v>
      </c>
      <c r="B228" s="90" t="s">
        <v>303</v>
      </c>
      <c r="D228" s="162">
        <f>D213*'Input &amp; Calculation Summary'!C110</f>
        <v>602966.1776490038</v>
      </c>
      <c r="E228" s="162">
        <f>E213*'Input &amp; Calculation Summary'!D110</f>
        <v>922713.25033466378</v>
      </c>
      <c r="F228" s="162">
        <f>F213*'Input &amp; Calculation Summary'!E110</f>
        <v>744882.15757349832</v>
      </c>
      <c r="G228" s="162">
        <f>G213*'Input &amp; Calculation Summary'!F110</f>
        <v>486076.71699985751</v>
      </c>
      <c r="H228" s="162">
        <f>H213*'Input &amp; Calculation Summary'!G110</f>
        <v>486076.71699985751</v>
      </c>
    </row>
    <row r="229" spans="1:8" ht="14" x14ac:dyDescent="0.3">
      <c r="A229" s="159" t="s">
        <v>599</v>
      </c>
      <c r="B229" s="90" t="s">
        <v>303</v>
      </c>
      <c r="D229" s="101">
        <f>SUM(D217:D228)</f>
        <v>5980717.4095069142</v>
      </c>
      <c r="E229" s="101">
        <f>SUM(E217:E228)</f>
        <v>8587787.8394120596</v>
      </c>
      <c r="F229" s="101">
        <f>SUM(F217:F228)</f>
        <v>6981638.1531689726</v>
      </c>
      <c r="G229" s="101">
        <f>SUM(G217:G228)</f>
        <v>5207876.6272074217</v>
      </c>
      <c r="H229" s="101">
        <f>SUM(H217:H228)</f>
        <v>5207876.6272074217</v>
      </c>
    </row>
    <row r="230" spans="1:8" x14ac:dyDescent="0.3">
      <c r="B230" s="90"/>
      <c r="D230" s="90"/>
      <c r="E230" s="90"/>
      <c r="F230" s="90"/>
      <c r="G230" s="90"/>
      <c r="H230" s="90"/>
    </row>
    <row r="231" spans="1:8" ht="15.5" x14ac:dyDescent="0.35">
      <c r="A231" s="110" t="s">
        <v>603</v>
      </c>
      <c r="B231" s="90"/>
      <c r="D231" s="90"/>
      <c r="E231" s="90"/>
      <c r="F231" s="90"/>
      <c r="G231" s="90"/>
      <c r="H231" s="90"/>
    </row>
    <row r="232" spans="1:8" ht="14" x14ac:dyDescent="0.3">
      <c r="A232" s="156" t="s">
        <v>577</v>
      </c>
      <c r="B232" s="90" t="s">
        <v>303</v>
      </c>
      <c r="D232" s="101">
        <f>D202*'Input &amp; Calculation Summary'!C112</f>
        <v>1700574.2432289154</v>
      </c>
      <c r="E232" s="101">
        <f>E202*'Input &amp; Calculation Summary'!D112</f>
        <v>1734662.125313804</v>
      </c>
      <c r="F232" s="101">
        <f>F202*'Input &amp; Calculation Summary'!E112</f>
        <v>1717398.3079809186</v>
      </c>
      <c r="G232" s="101">
        <f>G202*'Input &amp; Calculation Summary'!F112</f>
        <v>1703339.3684222789</v>
      </c>
      <c r="H232" s="101">
        <f>H202*'Input &amp; Calculation Summary'!G112</f>
        <v>1703339.3684222789</v>
      </c>
    </row>
    <row r="233" spans="1:8" ht="14" x14ac:dyDescent="0.3">
      <c r="A233" s="156" t="s">
        <v>579</v>
      </c>
      <c r="B233" s="90" t="s">
        <v>303</v>
      </c>
      <c r="D233" s="101">
        <f>D203*'Input &amp; Calculation Summary'!C112</f>
        <v>442868.76488648052</v>
      </c>
      <c r="E233" s="101">
        <f>E203*'Input &amp; Calculation Summary'!D112</f>
        <v>448584.16403034958</v>
      </c>
      <c r="F233" s="101">
        <f>F203*'Input &amp; Calculation Summary'!E112</f>
        <v>445665.20024201873</v>
      </c>
      <c r="G233" s="101">
        <f>G203*'Input &amp; Calculation Summary'!F112</f>
        <v>443325.17582228081</v>
      </c>
      <c r="H233" s="101">
        <f>H203*'Input &amp; Calculation Summary'!G112</f>
        <v>443325.17582228081</v>
      </c>
    </row>
    <row r="234" spans="1:8" ht="14" x14ac:dyDescent="0.3">
      <c r="A234" s="156" t="s">
        <v>581</v>
      </c>
      <c r="B234" s="90" t="s">
        <v>303</v>
      </c>
      <c r="D234" s="101">
        <f>D204*'Input &amp; Calculation Summary'!C112</f>
        <v>0</v>
      </c>
      <c r="E234" s="101">
        <f>E204*'Input &amp; Calculation Summary'!D112</f>
        <v>27817.001161795313</v>
      </c>
      <c r="F234" s="101">
        <f>F204*'Input &amp; Calculation Summary'!E112</f>
        <v>23200.906249226537</v>
      </c>
      <c r="G234" s="101">
        <f>G204*'Input &amp; Calculation Summary'!F112</f>
        <v>16157.795269269242</v>
      </c>
      <c r="H234" s="101">
        <f>H204*'Input &amp; Calculation Summary'!G112</f>
        <v>16157.795269269242</v>
      </c>
    </row>
    <row r="235" spans="1:8" ht="14" x14ac:dyDescent="0.3">
      <c r="A235" s="157" t="s">
        <v>583</v>
      </c>
      <c r="B235" s="90" t="s">
        <v>303</v>
      </c>
      <c r="D235" s="101">
        <f>D205*'Input &amp; Calculation Summary'!C113</f>
        <v>456051.5761016875</v>
      </c>
      <c r="E235" s="101">
        <f>E205*'Input &amp; Calculation Summary'!D113</f>
        <v>466039.41259084159</v>
      </c>
      <c r="F235" s="101">
        <f>F205*'Input &amp; Calculation Summary'!E113</f>
        <v>460572.85351574747</v>
      </c>
      <c r="G235" s="101">
        <f>G205*'Input &amp; Calculation Summary'!F113</f>
        <v>456155.69521406101</v>
      </c>
      <c r="H235" s="101">
        <f>H205*'Input &amp; Calculation Summary'!G113</f>
        <v>456155.69521406101</v>
      </c>
    </row>
    <row r="236" spans="1:8" ht="14" x14ac:dyDescent="0.3">
      <c r="A236" s="157" t="s">
        <v>585</v>
      </c>
      <c r="B236" s="90" t="s">
        <v>303</v>
      </c>
      <c r="D236" s="101">
        <f>D206*'Input &amp; Calculation Summary'!C113</f>
        <v>1356478.5267878661</v>
      </c>
      <c r="E236" s="101">
        <f>E206*'Input &amp; Calculation Summary'!D113</f>
        <v>2780493.8121274859</v>
      </c>
      <c r="F236" s="101">
        <f>F206*'Input &amp; Calculation Summary'!E113</f>
        <v>1936974.1957957381</v>
      </c>
      <c r="G236" s="101">
        <f>G206*'Input &amp; Calculation Summary'!F113</f>
        <v>942105.60693360539</v>
      </c>
      <c r="H236" s="101">
        <f>H206*'Input &amp; Calculation Summary'!G113</f>
        <v>942105.60693360539</v>
      </c>
    </row>
    <row r="237" spans="1:8" ht="14" x14ac:dyDescent="0.3">
      <c r="A237" s="157" t="s">
        <v>588</v>
      </c>
      <c r="B237" s="90" t="s">
        <v>303</v>
      </c>
      <c r="D237" s="101">
        <f>D207*'Input &amp; Calculation Summary'!C113</f>
        <v>100704.68580409273</v>
      </c>
      <c r="E237" s="101">
        <f>E207*'Input &amp; Calculation Summary'!D113</f>
        <v>201558.17466042296</v>
      </c>
      <c r="F237" s="101">
        <f>F207*'Input &amp; Calculation Summary'!E113</f>
        <v>103945.60107524879</v>
      </c>
      <c r="G237" s="101">
        <f>G207*'Input &amp; Calculation Summary'!F113</f>
        <v>48555.385772684473</v>
      </c>
      <c r="H237" s="101">
        <f>H207*'Input &amp; Calculation Summary'!G113</f>
        <v>48555.385772684473</v>
      </c>
    </row>
    <row r="238" spans="1:8" ht="14" x14ac:dyDescent="0.3">
      <c r="A238" s="157" t="s">
        <v>590</v>
      </c>
      <c r="B238" s="90" t="s">
        <v>303</v>
      </c>
      <c r="D238" s="101">
        <f>D208*'Input &amp; Calculation Summary'!C114</f>
        <v>771681.69264533289</v>
      </c>
      <c r="E238" s="101">
        <f>E208*'Input &amp; Calculation Summary'!D114</f>
        <v>1235904.0161443751</v>
      </c>
      <c r="F238" s="101">
        <f>F208*'Input &amp; Calculation Summary'!E114</f>
        <v>943146.7181450174</v>
      </c>
      <c r="G238" s="101">
        <f>G208*'Input &amp; Calculation Summary'!F114</f>
        <v>673630.27794823283</v>
      </c>
      <c r="H238" s="101">
        <f>H208*'Input &amp; Calculation Summary'!G114</f>
        <v>673630.27794823283</v>
      </c>
    </row>
    <row r="239" spans="1:8" ht="14" x14ac:dyDescent="0.3">
      <c r="A239" s="157" t="s">
        <v>592</v>
      </c>
      <c r="B239" s="90" t="s">
        <v>303</v>
      </c>
      <c r="D239" s="101">
        <f>D209*'Input &amp; Calculation Summary'!C114</f>
        <v>155696.16476049941</v>
      </c>
      <c r="E239" s="101">
        <f>E209*'Input &amp; Calculation Summary'!D114</f>
        <v>372008.330654555</v>
      </c>
      <c r="F239" s="101">
        <f>F209*'Input &amp; Calculation Summary'!E114</f>
        <v>239898.47204498961</v>
      </c>
      <c r="G239" s="101">
        <f>G209*'Input &amp; Calculation Summary'!F114</f>
        <v>100036.07056727359</v>
      </c>
      <c r="H239" s="101">
        <f>H209*'Input &amp; Calculation Summary'!G114</f>
        <v>100036.07056727359</v>
      </c>
    </row>
    <row r="240" spans="1:8" ht="14" x14ac:dyDescent="0.3">
      <c r="A240" s="157" t="s">
        <v>594</v>
      </c>
      <c r="B240" s="90" t="s">
        <v>303</v>
      </c>
      <c r="D240" s="101">
        <f>D210*'Input &amp; Calculation Summary'!C115</f>
        <v>19330.823422723162</v>
      </c>
      <c r="E240" s="101">
        <f>E210*'Input &amp; Calculation Summary'!D115</f>
        <v>19846.429053065767</v>
      </c>
      <c r="F240" s="101">
        <f>F210*'Input &amp; Calculation Summary'!E115</f>
        <v>19563.744008521619</v>
      </c>
      <c r="G240" s="101">
        <f>G210*'Input &amp; Calculation Summary'!F115</f>
        <v>19336.178322641343</v>
      </c>
      <c r="H240" s="101">
        <f>H210*'Input &amp; Calculation Summary'!G115</f>
        <v>19336.178322641343</v>
      </c>
    </row>
    <row r="241" spans="1:8" ht="14" x14ac:dyDescent="0.3">
      <c r="A241" s="157" t="s">
        <v>595</v>
      </c>
      <c r="B241" s="90" t="s">
        <v>303</v>
      </c>
      <c r="D241" s="101">
        <f>D211*'Input &amp; Calculation Summary'!C115</f>
        <v>27621.527086291651</v>
      </c>
      <c r="E241" s="101">
        <f>E211*'Input &amp; Calculation Summary'!D115</f>
        <v>31417.896206680332</v>
      </c>
      <c r="F241" s="101">
        <f>F211*'Input &amp; Calculation Summary'!E115</f>
        <v>29480.501395449581</v>
      </c>
      <c r="G241" s="101">
        <f>G211*'Input &amp; Calculation Summary'!F115</f>
        <v>27925.128096292494</v>
      </c>
      <c r="H241" s="101">
        <f>H211*'Input &amp; Calculation Summary'!G115</f>
        <v>27925.128096292494</v>
      </c>
    </row>
    <row r="242" spans="1:8" ht="14" x14ac:dyDescent="0.3">
      <c r="A242" s="157" t="s">
        <v>597</v>
      </c>
      <c r="B242" s="90" t="s">
        <v>303</v>
      </c>
      <c r="D242" s="101">
        <f>D212*'Input &amp; Calculation Summary'!C116</f>
        <v>346743.22713402065</v>
      </c>
      <c r="E242" s="101">
        <f>E212*'Input &amp; Calculation Summary'!D116</f>
        <v>346743.22713402065</v>
      </c>
      <c r="F242" s="101">
        <f>F212*'Input &amp; Calculation Summary'!E116</f>
        <v>316909.495142598</v>
      </c>
      <c r="G242" s="101">
        <f>G212*'Input &amp; Calculation Summary'!F116</f>
        <v>291233.22783894435</v>
      </c>
      <c r="H242" s="101">
        <f>H212*'Input &amp; Calculation Summary'!G116</f>
        <v>291233.22783894435</v>
      </c>
    </row>
    <row r="243" spans="1:8" ht="14" x14ac:dyDescent="0.3">
      <c r="A243" s="157" t="s">
        <v>598</v>
      </c>
      <c r="B243" s="90" t="s">
        <v>303</v>
      </c>
      <c r="D243" s="162">
        <f>D213*'Input &amp; Calculation Summary'!C116</f>
        <v>602966.1776490038</v>
      </c>
      <c r="E243" s="162">
        <f>E213*'Input &amp; Calculation Summary'!D116</f>
        <v>922713.25033466378</v>
      </c>
      <c r="F243" s="162">
        <f>F213*'Input &amp; Calculation Summary'!E116</f>
        <v>744882.15757349832</v>
      </c>
      <c r="G243" s="162">
        <f>G213*'Input &amp; Calculation Summary'!F116</f>
        <v>486076.71699985751</v>
      </c>
      <c r="H243" s="162">
        <f>H213*'Input &amp; Calculation Summary'!G116</f>
        <v>486076.71699985751</v>
      </c>
    </row>
    <row r="244" spans="1:8" ht="14" x14ac:dyDescent="0.3">
      <c r="A244" s="159" t="s">
        <v>599</v>
      </c>
      <c r="B244" s="90" t="s">
        <v>303</v>
      </c>
      <c r="D244" s="101">
        <f>SUM(D232:D243)</f>
        <v>5980717.4095069142</v>
      </c>
      <c r="E244" s="101">
        <f>SUM(E232:E243)</f>
        <v>8587787.8394120596</v>
      </c>
      <c r="F244" s="101">
        <f>SUM(F232:F243)</f>
        <v>6981638.1531689726</v>
      </c>
      <c r="G244" s="101">
        <f>SUM(G232:G243)</f>
        <v>5207876.6272074217</v>
      </c>
      <c r="H244" s="101">
        <f>SUM(H232:H243)</f>
        <v>5207876.6272074217</v>
      </c>
    </row>
    <row r="245" spans="1:8" x14ac:dyDescent="0.3">
      <c r="B245" s="90"/>
      <c r="D245" s="90"/>
      <c r="E245" s="90"/>
      <c r="F245" s="90"/>
      <c r="G245" s="90"/>
      <c r="H245" s="90"/>
    </row>
    <row r="246" spans="1:8" ht="15.5" x14ac:dyDescent="0.35">
      <c r="A246" s="110" t="s">
        <v>604</v>
      </c>
      <c r="B246" s="90"/>
      <c r="D246" s="90"/>
      <c r="E246" s="90"/>
      <c r="F246" s="90"/>
      <c r="G246" s="90"/>
      <c r="H246" s="90"/>
    </row>
    <row r="247" spans="1:8" ht="14" x14ac:dyDescent="0.3">
      <c r="A247" s="156" t="s">
        <v>577</v>
      </c>
      <c r="B247" s="90" t="s">
        <v>303</v>
      </c>
      <c r="D247" s="101">
        <f>D202*'Input &amp; Calculation Summary'!C100</f>
        <v>3401148.4864578308</v>
      </c>
      <c r="E247" s="101">
        <f>E202*'Input &amp; Calculation Summary'!D100</f>
        <v>3469324.250627608</v>
      </c>
      <c r="F247" s="101">
        <f>F202*'Input &amp; Calculation Summary'!E100</f>
        <v>3434796.6159618371</v>
      </c>
      <c r="G247" s="101">
        <f>G202*'Input &amp; Calculation Summary'!F100</f>
        <v>3406678.7368445578</v>
      </c>
      <c r="H247" s="101">
        <f>H202*'Input &amp; Calculation Summary'!G100</f>
        <v>3406678.7368445578</v>
      </c>
    </row>
    <row r="248" spans="1:8" ht="14" x14ac:dyDescent="0.3">
      <c r="A248" s="156" t="s">
        <v>579</v>
      </c>
      <c r="B248" s="90" t="s">
        <v>303</v>
      </c>
      <c r="D248" s="101">
        <f>D203*'Input &amp; Calculation Summary'!C100</f>
        <v>885737.52977296105</v>
      </c>
      <c r="E248" s="101">
        <f>E203*'Input &amp; Calculation Summary'!D100</f>
        <v>897168.32806069916</v>
      </c>
      <c r="F248" s="101">
        <f>F203*'Input &amp; Calculation Summary'!E100</f>
        <v>891330.40048403747</v>
      </c>
      <c r="G248" s="101">
        <f>G203*'Input &amp; Calculation Summary'!F100</f>
        <v>886650.35164456163</v>
      </c>
      <c r="H248" s="101">
        <f>H203*'Input &amp; Calculation Summary'!G100</f>
        <v>886650.35164456163</v>
      </c>
    </row>
    <row r="249" spans="1:8" ht="14" x14ac:dyDescent="0.3">
      <c r="A249" s="156" t="s">
        <v>581</v>
      </c>
      <c r="B249" s="90" t="s">
        <v>303</v>
      </c>
      <c r="D249" s="101">
        <f>D204*'Input &amp; Calculation Summary'!C100</f>
        <v>0</v>
      </c>
      <c r="E249" s="101">
        <f>E204*'Input &amp; Calculation Summary'!D100</f>
        <v>55634.002323590626</v>
      </c>
      <c r="F249" s="101">
        <f>F204*'Input &amp; Calculation Summary'!E100</f>
        <v>46401.812498453073</v>
      </c>
      <c r="G249" s="101">
        <f>G204*'Input &amp; Calculation Summary'!F100</f>
        <v>32315.590538538483</v>
      </c>
      <c r="H249" s="101">
        <f>H204*'Input &amp; Calculation Summary'!G100</f>
        <v>32315.590538538483</v>
      </c>
    </row>
    <row r="250" spans="1:8" ht="14" x14ac:dyDescent="0.3">
      <c r="A250" s="157" t="s">
        <v>583</v>
      </c>
      <c r="B250" s="90" t="s">
        <v>303</v>
      </c>
      <c r="D250" s="101">
        <f>D205*'Input &amp; Calculation Summary'!C101</f>
        <v>912103.15220337501</v>
      </c>
      <c r="E250" s="101">
        <f>E205*'Input &amp; Calculation Summary'!D101</f>
        <v>932078.82518168318</v>
      </c>
      <c r="F250" s="101">
        <f>F205*'Input &amp; Calculation Summary'!E101</f>
        <v>921145.70703149494</v>
      </c>
      <c r="G250" s="101">
        <f>G205*'Input &amp; Calculation Summary'!F101</f>
        <v>912311.39042812202</v>
      </c>
      <c r="H250" s="101">
        <f>H205*'Input &amp; Calculation Summary'!G101</f>
        <v>912311.39042812202</v>
      </c>
    </row>
    <row r="251" spans="1:8" ht="14" x14ac:dyDescent="0.3">
      <c r="A251" s="157" t="s">
        <v>585</v>
      </c>
      <c r="B251" s="90" t="s">
        <v>303</v>
      </c>
      <c r="D251" s="101">
        <f>D206*'Input &amp; Calculation Summary'!C101</f>
        <v>2712957.0535757323</v>
      </c>
      <c r="E251" s="101">
        <f>E206*'Input &amp; Calculation Summary'!D101</f>
        <v>5560987.6242549717</v>
      </c>
      <c r="F251" s="101">
        <f>F206*'Input &amp; Calculation Summary'!E101</f>
        <v>3873948.3915914763</v>
      </c>
      <c r="G251" s="101">
        <f>G206*'Input &amp; Calculation Summary'!F101</f>
        <v>1884211.2138672108</v>
      </c>
      <c r="H251" s="101">
        <f>H206*'Input &amp; Calculation Summary'!G101</f>
        <v>1884211.2138672108</v>
      </c>
    </row>
    <row r="252" spans="1:8" ht="14" x14ac:dyDescent="0.3">
      <c r="A252" s="157" t="s">
        <v>588</v>
      </c>
      <c r="B252" s="90" t="s">
        <v>303</v>
      </c>
      <c r="D252" s="101">
        <f>D207*'Input &amp; Calculation Summary'!C101</f>
        <v>201409.37160818547</v>
      </c>
      <c r="E252" s="101">
        <f>E207*'Input &amp; Calculation Summary'!D101</f>
        <v>403116.34932084591</v>
      </c>
      <c r="F252" s="101">
        <f>F207*'Input &amp; Calculation Summary'!E101</f>
        <v>207891.20215049759</v>
      </c>
      <c r="G252" s="101">
        <f>G207*'Input &amp; Calculation Summary'!F101</f>
        <v>97110.771545368945</v>
      </c>
      <c r="H252" s="101">
        <f>H207*'Input &amp; Calculation Summary'!G101</f>
        <v>97110.771545368945</v>
      </c>
    </row>
    <row r="253" spans="1:8" ht="14" x14ac:dyDescent="0.3">
      <c r="A253" s="157" t="s">
        <v>590</v>
      </c>
      <c r="B253" s="90" t="s">
        <v>303</v>
      </c>
      <c r="D253" s="101">
        <f>D208*'Input &amp; Calculation Summary'!C102</f>
        <v>1543363.3852906658</v>
      </c>
      <c r="E253" s="101">
        <f>E208*'Input &amp; Calculation Summary'!D102</f>
        <v>2471808.0322887502</v>
      </c>
      <c r="F253" s="101">
        <f>F208*'Input &amp; Calculation Summary'!E102</f>
        <v>1886293.4362900348</v>
      </c>
      <c r="G253" s="101">
        <f>G208*'Input &amp; Calculation Summary'!F102</f>
        <v>1347260.5558964657</v>
      </c>
      <c r="H253" s="101">
        <f>H208*'Input &amp; Calculation Summary'!G102</f>
        <v>1347260.5558964657</v>
      </c>
    </row>
    <row r="254" spans="1:8" ht="14" x14ac:dyDescent="0.3">
      <c r="A254" s="157" t="s">
        <v>592</v>
      </c>
      <c r="B254" s="90" t="s">
        <v>303</v>
      </c>
      <c r="D254" s="101">
        <f>D209*'Input &amp; Calculation Summary'!C102</f>
        <v>311392.32952099881</v>
      </c>
      <c r="E254" s="101">
        <f>E209*'Input &amp; Calculation Summary'!D102</f>
        <v>744016.66130911</v>
      </c>
      <c r="F254" s="101">
        <f>F209*'Input &amp; Calculation Summary'!E102</f>
        <v>479796.94408997922</v>
      </c>
      <c r="G254" s="101">
        <f>G209*'Input &amp; Calculation Summary'!F102</f>
        <v>200072.14113454719</v>
      </c>
      <c r="H254" s="101">
        <f>H209*'Input &amp; Calculation Summary'!G102</f>
        <v>200072.14113454719</v>
      </c>
    </row>
    <row r="255" spans="1:8" ht="14" x14ac:dyDescent="0.3">
      <c r="A255" s="157" t="s">
        <v>594</v>
      </c>
      <c r="B255" s="90" t="s">
        <v>303</v>
      </c>
      <c r="D255" s="101">
        <f>D210*'Input &amp; Calculation Summary'!C103</f>
        <v>38661.646845446325</v>
      </c>
      <c r="E255" s="101">
        <f>E210*'Input &amp; Calculation Summary'!D103</f>
        <v>39692.858106131534</v>
      </c>
      <c r="F255" s="101">
        <f>F210*'Input &amp; Calculation Summary'!E103</f>
        <v>39127.488017043237</v>
      </c>
      <c r="G255" s="101">
        <f>G210*'Input &amp; Calculation Summary'!F103</f>
        <v>38672.356645282685</v>
      </c>
      <c r="H255" s="101">
        <f>H210*'Input &amp; Calculation Summary'!G103</f>
        <v>38672.356645282685</v>
      </c>
    </row>
    <row r="256" spans="1:8" ht="14" x14ac:dyDescent="0.3">
      <c r="A256" s="157" t="s">
        <v>595</v>
      </c>
      <c r="B256" s="90" t="s">
        <v>303</v>
      </c>
      <c r="D256" s="101">
        <f>D211*'Input &amp; Calculation Summary'!C103</f>
        <v>55243.054172583303</v>
      </c>
      <c r="E256" s="101">
        <f>E211*'Input &amp; Calculation Summary'!D103</f>
        <v>62835.792413360665</v>
      </c>
      <c r="F256" s="101">
        <f>F211*'Input &amp; Calculation Summary'!E103</f>
        <v>58961.002790899161</v>
      </c>
      <c r="G256" s="101">
        <f>G211*'Input &amp; Calculation Summary'!F103</f>
        <v>55850.256192584988</v>
      </c>
      <c r="H256" s="101">
        <f>H211*'Input &amp; Calculation Summary'!G103</f>
        <v>55850.256192584988</v>
      </c>
    </row>
    <row r="257" spans="1:8" ht="14" x14ac:dyDescent="0.3">
      <c r="A257" s="157" t="s">
        <v>597</v>
      </c>
      <c r="B257" s="90" t="s">
        <v>303</v>
      </c>
      <c r="D257" s="101">
        <f>D212*'Input &amp; Calculation Summary'!C104</f>
        <v>693486.4542680413</v>
      </c>
      <c r="E257" s="101">
        <f>E212*'Input &amp; Calculation Summary'!D104</f>
        <v>693486.4542680413</v>
      </c>
      <c r="F257" s="101">
        <f>F212*'Input &amp; Calculation Summary'!E104</f>
        <v>633818.99028519599</v>
      </c>
      <c r="G257" s="101">
        <f>G212*'Input &amp; Calculation Summary'!F104</f>
        <v>582466.45567788871</v>
      </c>
      <c r="H257" s="101">
        <f>H212*'Input &amp; Calculation Summary'!G104</f>
        <v>582466.45567788871</v>
      </c>
    </row>
    <row r="258" spans="1:8" ht="14" x14ac:dyDescent="0.3">
      <c r="A258" s="157" t="s">
        <v>598</v>
      </c>
      <c r="B258" s="90" t="s">
        <v>303</v>
      </c>
      <c r="D258" s="162">
        <f>D213*'Input &amp; Calculation Summary'!C104</f>
        <v>1205932.3552980076</v>
      </c>
      <c r="E258" s="162">
        <f>E213*'Input &amp; Calculation Summary'!D104</f>
        <v>1845426.5006693276</v>
      </c>
      <c r="F258" s="162">
        <f>F213*'Input &amp; Calculation Summary'!E104</f>
        <v>1489764.3151469966</v>
      </c>
      <c r="G258" s="162">
        <f>G213*'Input &amp; Calculation Summary'!F104</f>
        <v>972153.43399971502</v>
      </c>
      <c r="H258" s="162">
        <f>H213*'Input &amp; Calculation Summary'!G104</f>
        <v>972153.43399971502</v>
      </c>
    </row>
    <row r="259" spans="1:8" ht="14" x14ac:dyDescent="0.3">
      <c r="A259" s="159" t="s">
        <v>599</v>
      </c>
      <c r="B259" s="90" t="s">
        <v>303</v>
      </c>
      <c r="D259" s="101">
        <f>SUM(D247:D258)</f>
        <v>11961434.819013828</v>
      </c>
      <c r="E259" s="101">
        <f>SUM(E247:E258)</f>
        <v>17175575.678824119</v>
      </c>
      <c r="F259" s="101">
        <f>SUM(F247:F258)</f>
        <v>13963276.306337945</v>
      </c>
      <c r="G259" s="101">
        <f>SUM(G247:G258)</f>
        <v>10415753.254414843</v>
      </c>
      <c r="H259" s="101">
        <f>SUM(H247:H258)</f>
        <v>10415753.254414843</v>
      </c>
    </row>
    <row r="260" spans="1:8" x14ac:dyDescent="0.3">
      <c r="B260" s="90"/>
      <c r="D260" s="90"/>
      <c r="E260" s="90"/>
      <c r="F260" s="90"/>
      <c r="G260" s="90"/>
      <c r="H260" s="90"/>
    </row>
    <row r="261" spans="1:8" ht="15.5" x14ac:dyDescent="0.35">
      <c r="A261" s="110" t="s">
        <v>378</v>
      </c>
      <c r="B261" s="90" t="s">
        <v>303</v>
      </c>
      <c r="D261" s="101">
        <f>D214+D229+D244+D259</f>
        <v>83730043.733096808</v>
      </c>
      <c r="E261" s="101">
        <f>E214+E229+E244+E259</f>
        <v>120229029.75176883</v>
      </c>
      <c r="F261" s="101">
        <f>F214+F229+F244+F259</f>
        <v>97742934.144365609</v>
      </c>
      <c r="G261" s="101">
        <f>G214+G229+G244+G259</f>
        <v>72910272.780903891</v>
      </c>
      <c r="H261" s="101">
        <f>H214+H229+H244+H259</f>
        <v>72910272.780903891</v>
      </c>
    </row>
    <row r="262" spans="1:8" ht="13.5" x14ac:dyDescent="0.35">
      <c r="A262" s="204" t="s">
        <v>380</v>
      </c>
      <c r="B262" s="90" t="s">
        <v>303</v>
      </c>
      <c r="C262" s="90"/>
      <c r="D262" s="101">
        <f>D261*(1+'Input &amp; Calculation Summary'!C$63)</f>
        <v>86241945.045089722</v>
      </c>
      <c r="E262" s="101">
        <f>E261*(1+'Input &amp; Calculation Summary'!D$63)</f>
        <v>123835900.64432189</v>
      </c>
      <c r="F262" s="101">
        <f>F261*(1+'Input &amp; Calculation Summary'!E$63)</f>
        <v>100675222.16869658</v>
      </c>
      <c r="G262" s="101">
        <f>G261*(1+'Input &amp; Calculation Summary'!F$63)</f>
        <v>75097580.964331016</v>
      </c>
      <c r="H262" s="101">
        <f>H261*(1+'Input &amp; Calculation Summary'!G$63)</f>
        <v>75097580.964331016</v>
      </c>
    </row>
    <row r="263" spans="1:8" ht="15.5" x14ac:dyDescent="0.35">
      <c r="A263" s="110" t="s">
        <v>381</v>
      </c>
      <c r="B263" s="90" t="s">
        <v>303</v>
      </c>
      <c r="D263" s="101">
        <f>D262*VLOOKUP(Constants_CC!E528,Constants_CC!$C$557:$E$562,3)</f>
        <v>86241945.045089796</v>
      </c>
      <c r="E263" s="101">
        <f>E262*VLOOKUP(Constants_CC!F528,Constants_CC!$C$557:$E$562,3)</f>
        <v>123835900.64432199</v>
      </c>
      <c r="F263" s="101">
        <f>F262*VLOOKUP(Constants_CC!G528,Constants_CC!$C$557:$E$562,3)</f>
        <v>100675222.16869667</v>
      </c>
      <c r="G263" s="101">
        <f>G262*VLOOKUP(Constants_CC!H528,Constants_CC!$C$557:$E$562,3)</f>
        <v>75097580.964331076</v>
      </c>
      <c r="H263" s="101">
        <f>H262*VLOOKUP(Constants_CC!I528,Constants_CC!$C$557:$E$562,3)</f>
        <v>75097580.964331076</v>
      </c>
    </row>
    <row r="264" spans="1:8" x14ac:dyDescent="0.3">
      <c r="B264" s="90"/>
      <c r="D264" s="90"/>
      <c r="E264" s="90"/>
      <c r="F264" s="90"/>
      <c r="G264" s="90"/>
      <c r="H264" s="90"/>
    </row>
    <row r="265" spans="1:8" ht="15.5" x14ac:dyDescent="0.35">
      <c r="A265" s="110" t="s">
        <v>383</v>
      </c>
      <c r="B265" s="90" t="s">
        <v>303</v>
      </c>
      <c r="D265" s="101">
        <f>D262*VLOOKUP(Constants_CC!E528,Constants_CC!$C$557:$E$562,2)</f>
        <v>0</v>
      </c>
      <c r="E265" s="101">
        <f>E262*VLOOKUP(Constants_CC!F528,Constants_CC!$C$557:$E$562,2)</f>
        <v>0</v>
      </c>
      <c r="F265" s="101">
        <f>F262*VLOOKUP(Constants_CC!G528,Constants_CC!$C$557:$E$562,2)</f>
        <v>0</v>
      </c>
      <c r="G265" s="101">
        <f>G262*VLOOKUP(Constants_CC!H528,Constants_CC!$C$557:$E$562,2)</f>
        <v>0</v>
      </c>
      <c r="H265" s="101">
        <f>H262*VLOOKUP(Constants_CC!I528,Constants_CC!$C$557:$E$562,2)</f>
        <v>0</v>
      </c>
    </row>
    <row r="266" spans="1:8" x14ac:dyDescent="0.3">
      <c r="B266" s="90"/>
      <c r="D266" s="90"/>
      <c r="E266" s="90"/>
      <c r="F266" s="90"/>
      <c r="G266" s="90"/>
      <c r="H266" s="90"/>
    </row>
    <row r="267" spans="1:8" ht="15.5" x14ac:dyDescent="0.35">
      <c r="A267" s="110" t="s">
        <v>385</v>
      </c>
      <c r="B267" s="90" t="s">
        <v>303</v>
      </c>
      <c r="D267" s="101">
        <f>D263+D265</f>
        <v>86241945.045089796</v>
      </c>
      <c r="E267" s="101">
        <f>E263+E265</f>
        <v>123835900.64432199</v>
      </c>
      <c r="F267" s="101">
        <f>F263+F265</f>
        <v>100675222.16869667</v>
      </c>
      <c r="G267" s="101">
        <f>G263+G265</f>
        <v>75097580.964331076</v>
      </c>
      <c r="H267" s="101">
        <f>H263+H265</f>
        <v>75097580.964331076</v>
      </c>
    </row>
    <row r="268" spans="1:8" x14ac:dyDescent="0.3">
      <c r="B268" s="90"/>
      <c r="D268" s="90"/>
      <c r="E268" s="90"/>
      <c r="F268" s="90"/>
      <c r="G268" s="90"/>
      <c r="H268" s="90"/>
    </row>
    <row r="269" spans="1:8" ht="14" x14ac:dyDescent="0.3">
      <c r="A269" s="197" t="s">
        <v>387</v>
      </c>
      <c r="B269" s="90" t="s">
        <v>303</v>
      </c>
      <c r="D269" s="101">
        <f>(D328+D337/'Input &amp; Calculation Summary'!C27)/12+0.02*D267</f>
        <v>2232307.4706743364</v>
      </c>
      <c r="E269" s="101">
        <f>(E328+E337/'Input &amp; Calculation Summary'!D27)/12+0.02*E267</f>
        <v>3158641.7988100229</v>
      </c>
      <c r="F269" s="101">
        <f>(F328+F337/'Input &amp; Calculation Summary'!E27)/12+0.02*F267</f>
        <v>2495826.6251257118</v>
      </c>
      <c r="G269" s="101">
        <f>(G328+G337/'Input &amp; Calculation Summary'!F27)/12+0.02*G267</f>
        <v>1788002.1846248924</v>
      </c>
      <c r="H269" s="101">
        <f>(H328+H337/'Input &amp; Calculation Summary'!G27)/12+0.02*H267</f>
        <v>1788002.1846248924</v>
      </c>
    </row>
    <row r="270" spans="1:8" ht="14" x14ac:dyDescent="0.3">
      <c r="A270" s="197" t="s">
        <v>454</v>
      </c>
      <c r="B270" s="90" t="s">
        <v>303</v>
      </c>
      <c r="D270" s="101">
        <f>(D313/2000)*24*'Input &amp; Calculation Summary'!C88*'Input &amp; Calculation Summary'!C89</f>
        <v>1801.7449908910546</v>
      </c>
      <c r="E270" s="101">
        <f>(E313/2000)*24*'Input &amp; Calculation Summary'!D88*'Input &amp; Calculation Summary'!D89</f>
        <v>24854.196521233171</v>
      </c>
      <c r="F270" s="101">
        <f>(F313/2000)*24*'Input &amp; Calculation Summary'!E88*'Input &amp; Calculation Summary'!E89</f>
        <v>13089.876834516135</v>
      </c>
      <c r="G270" s="101">
        <f>(G313/2000)*24*'Input &amp; Calculation Summary'!F88*'Input &amp; Calculation Summary'!F89</f>
        <v>3645.2821564475335</v>
      </c>
      <c r="H270" s="101">
        <f>(H313/2000)*24*'Input &amp; Calculation Summary'!G88*'Input &amp; Calculation Summary'!G89</f>
        <v>3645.2821564475335</v>
      </c>
    </row>
    <row r="271" spans="1:8" x14ac:dyDescent="0.3">
      <c r="B271" s="90"/>
      <c r="D271" s="90"/>
      <c r="E271" s="90"/>
      <c r="F271" s="90"/>
      <c r="G271" s="90"/>
      <c r="H271" s="90"/>
    </row>
    <row r="272" spans="1:8" ht="15.5" x14ac:dyDescent="0.35">
      <c r="A272" s="110" t="s">
        <v>302</v>
      </c>
      <c r="B272" s="90" t="s">
        <v>303</v>
      </c>
      <c r="D272" s="202">
        <f>D267+D269+D270</f>
        <v>88476054.260755017</v>
      </c>
      <c r="E272" s="202">
        <f>E267+E269+E270</f>
        <v>127019396.63965325</v>
      </c>
      <c r="F272" s="202">
        <f>F267+F269+F270</f>
        <v>103184138.67065689</v>
      </c>
      <c r="G272" s="202">
        <f>G267+G269+G270</f>
        <v>76889228.431112424</v>
      </c>
      <c r="H272" s="202">
        <f>H267+H269+H270</f>
        <v>76889228.431112424</v>
      </c>
    </row>
    <row r="273" spans="1:8" ht="14" x14ac:dyDescent="0.3">
      <c r="A273" s="199"/>
      <c r="B273" s="200" t="s">
        <v>304</v>
      </c>
      <c r="D273" s="201">
        <f>D272/('Input &amp; Calculation Summary'!C25*1000)</f>
        <v>589.84036173836682</v>
      </c>
      <c r="E273" s="201">
        <f>E272/('Input &amp; Calculation Summary'!D25*1000)</f>
        <v>846.79597759768831</v>
      </c>
      <c r="F273" s="201">
        <f>F272/('Input &amp; Calculation Summary'!E25*1000)</f>
        <v>1306.1283376032518</v>
      </c>
      <c r="G273" s="201">
        <f>G272/('Input &amp; Calculation Summary'!F25*1000)</f>
        <v>3494.9649286869285</v>
      </c>
      <c r="H273" s="201">
        <f>H272/('Input &amp; Calculation Summary'!G25*1000)</f>
        <v>3494.9649286869285</v>
      </c>
    </row>
    <row r="274" spans="1:8" ht="14" x14ac:dyDescent="0.3">
      <c r="A274" s="199"/>
      <c r="B274" s="200"/>
      <c r="C274" s="200"/>
      <c r="D274" s="201"/>
      <c r="E274" s="201"/>
      <c r="F274" s="201"/>
      <c r="G274" s="201"/>
      <c r="H274" s="201"/>
    </row>
    <row r="275" spans="1:8" x14ac:dyDescent="0.3">
      <c r="A275" s="111"/>
      <c r="B275" s="111"/>
      <c r="C275" s="112"/>
      <c r="D275" s="112"/>
      <c r="E275" s="112"/>
      <c r="F275" s="112"/>
      <c r="G275" s="112"/>
      <c r="H275" s="112"/>
    </row>
    <row r="276" spans="1:8" ht="20.5" thickBot="1" x14ac:dyDescent="0.45">
      <c r="A276" s="109" t="s">
        <v>605</v>
      </c>
      <c r="C276" s="90"/>
      <c r="D276" s="155" t="s">
        <v>320</v>
      </c>
      <c r="E276" s="155" t="s">
        <v>518</v>
      </c>
      <c r="F276" s="155" t="s">
        <v>519</v>
      </c>
      <c r="G276" s="155" t="s">
        <v>520</v>
      </c>
      <c r="H276" s="155" t="s">
        <v>521</v>
      </c>
    </row>
    <row r="277" spans="1:8" ht="13.5" x14ac:dyDescent="0.35">
      <c r="A277" s="158"/>
      <c r="B277" s="90"/>
      <c r="C277" s="90"/>
      <c r="D277" s="90"/>
      <c r="E277" s="90"/>
      <c r="F277" s="90"/>
      <c r="G277" s="90"/>
    </row>
    <row r="278" spans="1:8" ht="14" x14ac:dyDescent="0.3">
      <c r="A278" s="199" t="s">
        <v>606</v>
      </c>
      <c r="B278" s="90"/>
      <c r="C278" s="90"/>
      <c r="D278" s="101"/>
      <c r="E278" s="101"/>
      <c r="F278" s="101"/>
      <c r="G278" s="101"/>
      <c r="H278" s="101"/>
    </row>
    <row r="279" spans="1:8" ht="14" x14ac:dyDescent="0.3">
      <c r="A279" s="156" t="s">
        <v>577</v>
      </c>
      <c r="B279" s="90" t="s">
        <v>303</v>
      </c>
      <c r="D279" s="101">
        <f>(1+'Input &amp; Calculation Summary'!C106+'Input &amp; Calculation Summary'!C112)*D186+('Input &amp; Calculation Summary'!C100*(1+'Input &amp; Calculation Summary'!C106+'Input &amp; Calculation Summary'!C112)*D186)</f>
        <v>15305168.189060241</v>
      </c>
      <c r="E279" s="101">
        <f>(1+'Input &amp; Calculation Summary'!D106+'Input &amp; Calculation Summary'!D112)*E186+('Input &amp; Calculation Summary'!D100*(1+'Input &amp; Calculation Summary'!D106+'Input &amp; Calculation Summary'!D112)*E186)</f>
        <v>15611959.127824236</v>
      </c>
      <c r="F279" s="101">
        <f>(1+'Input &amp; Calculation Summary'!E106+'Input &amp; Calculation Summary'!E112)*F186+('Input &amp; Calculation Summary'!E100*(1+'Input &amp; Calculation Summary'!E106+'Input &amp; Calculation Summary'!E112)*F186)</f>
        <v>15456584.771828268</v>
      </c>
      <c r="G279" s="101">
        <f>(1+'Input &amp; Calculation Summary'!F106+'Input &amp; Calculation Summary'!F112)*G186+('Input &amp; Calculation Summary'!F100*(1+'Input &amp; Calculation Summary'!F106+'Input &amp; Calculation Summary'!F112)*G186)</f>
        <v>15330054.31580051</v>
      </c>
      <c r="H279" s="101">
        <f>(1+'Input &amp; Calculation Summary'!G106+'Input &amp; Calculation Summary'!G112)*H186+('Input &amp; Calculation Summary'!G100*(1+'Input &amp; Calculation Summary'!G106+'Input &amp; Calculation Summary'!G112)*H186)</f>
        <v>15330054.31580051</v>
      </c>
    </row>
    <row r="280" spans="1:8" ht="14" x14ac:dyDescent="0.3">
      <c r="A280" s="156" t="s">
        <v>579</v>
      </c>
      <c r="B280" s="90" t="s">
        <v>303</v>
      </c>
      <c r="D280" s="101">
        <f>(1+'Input &amp; Calculation Summary'!C106+'Input &amp; Calculation Summary'!C112)*D187+('Input &amp; Calculation Summary'!C100*(1+'Input &amp; Calculation Summary'!C106+'Input &amp; Calculation Summary'!C112)*D187)</f>
        <v>3985818.8839783245</v>
      </c>
      <c r="E280" s="101">
        <f>(1+'Input &amp; Calculation Summary'!D106+'Input &amp; Calculation Summary'!D112)*E187+('Input &amp; Calculation Summary'!D100*(1+'Input &amp; Calculation Summary'!D106+'Input &amp; Calculation Summary'!D112)*E187)</f>
        <v>4037257.4762731465</v>
      </c>
      <c r="F280" s="101">
        <f>(1+'Input &amp; Calculation Summary'!E106+'Input &amp; Calculation Summary'!E112)*F187+('Input &amp; Calculation Summary'!E100*(1+'Input &amp; Calculation Summary'!E106+'Input &amp; Calculation Summary'!E112)*F187)</f>
        <v>4010986.8021781687</v>
      </c>
      <c r="G280" s="101">
        <f>(1+'Input &amp; Calculation Summary'!F106+'Input &amp; Calculation Summary'!F112)*G187+('Input &amp; Calculation Summary'!F100*(1+'Input &amp; Calculation Summary'!F106+'Input &amp; Calculation Summary'!F112)*G187)</f>
        <v>3989926.5824005278</v>
      </c>
      <c r="H280" s="101">
        <f>(1+'Input &amp; Calculation Summary'!G106+'Input &amp; Calculation Summary'!G112)*H187+('Input &amp; Calculation Summary'!G100*(1+'Input &amp; Calculation Summary'!G106+'Input &amp; Calculation Summary'!G112)*H187)</f>
        <v>3989926.5824005278</v>
      </c>
    </row>
    <row r="281" spans="1:8" ht="14" x14ac:dyDescent="0.3">
      <c r="A281" s="156" t="s">
        <v>581</v>
      </c>
      <c r="B281" s="90" t="s">
        <v>303</v>
      </c>
      <c r="D281" s="101">
        <f>(1+'Input &amp; Calculation Summary'!C106+'Input &amp; Calculation Summary'!C112)*D188+('Input &amp; Calculation Summary'!C100*(1+'Input &amp; Calculation Summary'!C106+'Input &amp; Calculation Summary'!C112)*D188)</f>
        <v>0</v>
      </c>
      <c r="E281" s="101">
        <f>(1+'Input &amp; Calculation Summary'!D106+'Input &amp; Calculation Summary'!D112)*E188+('Input &amp; Calculation Summary'!D100*(1+'Input &amp; Calculation Summary'!D106+'Input &amp; Calculation Summary'!D112)*E188)</f>
        <v>250353.01045615788</v>
      </c>
      <c r="F281" s="101">
        <f>(1+'Input &amp; Calculation Summary'!E106+'Input &amp; Calculation Summary'!E112)*F188+('Input &amp; Calculation Summary'!E100*(1+'Input &amp; Calculation Summary'!E106+'Input &amp; Calculation Summary'!E112)*F188)</f>
        <v>208808.15624303886</v>
      </c>
      <c r="G281" s="101">
        <f>(1+'Input &amp; Calculation Summary'!F106+'Input &amp; Calculation Summary'!F112)*G188+('Input &amp; Calculation Summary'!F100*(1+'Input &amp; Calculation Summary'!F106+'Input &amp; Calculation Summary'!F112)*G188)</f>
        <v>145420.15742342317</v>
      </c>
      <c r="H281" s="101">
        <f>(1+'Input &amp; Calculation Summary'!G106+'Input &amp; Calculation Summary'!G112)*H188+('Input &amp; Calculation Summary'!G100*(1+'Input &amp; Calculation Summary'!G106+'Input &amp; Calculation Summary'!G112)*H188)</f>
        <v>145420.15742342317</v>
      </c>
    </row>
    <row r="282" spans="1:8" ht="14" x14ac:dyDescent="0.3">
      <c r="A282" s="157" t="s">
        <v>583</v>
      </c>
      <c r="B282" s="90" t="s">
        <v>303</v>
      </c>
      <c r="D282" s="101">
        <f>(1+'Input &amp; Calculation Summary'!C107+'Input &amp; Calculation Summary'!C113)*D189+('Input &amp; Calculation Summary'!C101*(1+'Input &amp; Calculation Summary'!C107+'Input &amp; Calculation Summary'!C113)*D189)</f>
        <v>4104464.1849151878</v>
      </c>
      <c r="E282" s="101">
        <f>(1+'Input &amp; Calculation Summary'!D107+'Input &amp; Calculation Summary'!D113)*E189+('Input &amp; Calculation Summary'!D101*(1+'Input &amp; Calculation Summary'!D107+'Input &amp; Calculation Summary'!D113)*E189)</f>
        <v>4194354.7133175749</v>
      </c>
      <c r="F282" s="101">
        <f>(1+'Input &amp; Calculation Summary'!E107+'Input &amp; Calculation Summary'!E113)*F189+('Input &amp; Calculation Summary'!E101*(1+'Input &amp; Calculation Summary'!E107+'Input &amp; Calculation Summary'!E113)*F189)</f>
        <v>4145155.6816417282</v>
      </c>
      <c r="G282" s="101">
        <f>(1+'Input &amp; Calculation Summary'!F107+'Input &amp; Calculation Summary'!F113)*G189+('Input &amp; Calculation Summary'!F101*(1+'Input &amp; Calculation Summary'!F107+'Input &amp; Calculation Summary'!F113)*G189)</f>
        <v>4105401.2569265491</v>
      </c>
      <c r="H282" s="101">
        <f>(1+'Input &amp; Calculation Summary'!G107+'Input &amp; Calculation Summary'!G113)*H189+('Input &amp; Calculation Summary'!G101*(1+'Input &amp; Calculation Summary'!G107+'Input &amp; Calculation Summary'!G113)*H189)</f>
        <v>4105401.2569265491</v>
      </c>
    </row>
    <row r="283" spans="1:8" ht="14" x14ac:dyDescent="0.3">
      <c r="A283" s="157" t="s">
        <v>585</v>
      </c>
      <c r="B283" s="90" t="s">
        <v>303</v>
      </c>
      <c r="D283" s="101">
        <f>(1+'Input &amp; Calculation Summary'!C107+'Input &amp; Calculation Summary'!C113)*D190+('Input &amp; Calculation Summary'!C101*(1+'Input &amp; Calculation Summary'!C107+'Input &amp; Calculation Summary'!C113)*D190)</f>
        <v>12208306.741090795</v>
      </c>
      <c r="E283" s="101">
        <f>(1+'Input &amp; Calculation Summary'!D107+'Input &amp; Calculation Summary'!D113)*E190+('Input &amp; Calculation Summary'!D101*(1+'Input &amp; Calculation Summary'!D107+'Input &amp; Calculation Summary'!D113)*E190)</f>
        <v>25024444.309147377</v>
      </c>
      <c r="F283" s="101">
        <f>(1+'Input &amp; Calculation Summary'!E107+'Input &amp; Calculation Summary'!E113)*F190+('Input &amp; Calculation Summary'!E101*(1+'Input &amp; Calculation Summary'!E107+'Input &amp; Calculation Summary'!E113)*F190)</f>
        <v>17432767.762161642</v>
      </c>
      <c r="G283" s="101">
        <f>(1+'Input &amp; Calculation Summary'!F107+'Input &amp; Calculation Summary'!F113)*G190+('Input &amp; Calculation Summary'!F101*(1+'Input &amp; Calculation Summary'!F107+'Input &amp; Calculation Summary'!F113)*G190)</f>
        <v>8478950.4624024481</v>
      </c>
      <c r="H283" s="101">
        <f>(1+'Input &amp; Calculation Summary'!G107+'Input &amp; Calculation Summary'!G113)*H190+('Input &amp; Calculation Summary'!G101*(1+'Input &amp; Calculation Summary'!G107+'Input &amp; Calculation Summary'!G113)*H190)</f>
        <v>8478950.4624024481</v>
      </c>
    </row>
    <row r="284" spans="1:8" ht="14" x14ac:dyDescent="0.3">
      <c r="A284" s="157" t="s">
        <v>588</v>
      </c>
      <c r="B284" s="90" t="s">
        <v>303</v>
      </c>
      <c r="D284" s="101">
        <f>(1+'Input &amp; Calculation Summary'!C107+'Input &amp; Calculation Summary'!C113)*D191+('Input &amp; Calculation Summary'!C101*(1+'Input &amp; Calculation Summary'!C107+'Input &amp; Calculation Summary'!C113)*D191)</f>
        <v>906342.17223683454</v>
      </c>
      <c r="E284" s="101">
        <f>(1+'Input &amp; Calculation Summary'!D107+'Input &amp; Calculation Summary'!D113)*E191+('Input &amp; Calculation Summary'!D101*(1+'Input &amp; Calculation Summary'!D107+'Input &amp; Calculation Summary'!D113)*E191)</f>
        <v>1814023.571943807</v>
      </c>
      <c r="F284" s="101">
        <f>(1+'Input &amp; Calculation Summary'!E107+'Input &amp; Calculation Summary'!E113)*F191+('Input &amp; Calculation Summary'!E101*(1+'Input &amp; Calculation Summary'!E107+'Input &amp; Calculation Summary'!E113)*F191)</f>
        <v>935510.40967723913</v>
      </c>
      <c r="G284" s="101">
        <f>(1+'Input &amp; Calculation Summary'!F107+'Input &amp; Calculation Summary'!F113)*G191+('Input &amp; Calculation Summary'!F101*(1+'Input &amp; Calculation Summary'!F107+'Input &amp; Calculation Summary'!F113)*G191)</f>
        <v>436998.47195416025</v>
      </c>
      <c r="H284" s="101">
        <f>(1+'Input &amp; Calculation Summary'!G107+'Input &amp; Calculation Summary'!G113)*H191+('Input &amp; Calculation Summary'!G101*(1+'Input &amp; Calculation Summary'!G107+'Input &amp; Calculation Summary'!G113)*H191)</f>
        <v>436998.47195416025</v>
      </c>
    </row>
    <row r="285" spans="1:8" ht="14" x14ac:dyDescent="0.3">
      <c r="A285" s="157" t="s">
        <v>590</v>
      </c>
      <c r="B285" s="90" t="s">
        <v>303</v>
      </c>
      <c r="D285" s="101">
        <f>(1+'Input &amp; Calculation Summary'!C108+'Input &amp; Calculation Summary'!C114)*D192+('Input &amp; Calculation Summary'!C102*(1+'Input &amp; Calculation Summary'!C108+'Input &amp; Calculation Summary'!C114)*D192)</f>
        <v>6945135.2338079968</v>
      </c>
      <c r="E285" s="101">
        <f>(1+'Input &amp; Calculation Summary'!D108+'Input &amp; Calculation Summary'!D114)*E192+('Input &amp; Calculation Summary'!D102*(1+'Input &amp; Calculation Summary'!D108+'Input &amp; Calculation Summary'!D114)*E192)</f>
        <v>11123136.145299375</v>
      </c>
      <c r="F285" s="101">
        <f>(1+'Input &amp; Calculation Summary'!E108+'Input &amp; Calculation Summary'!E114)*F192+('Input &amp; Calculation Summary'!E102*(1+'Input &amp; Calculation Summary'!E108+'Input &amp; Calculation Summary'!E114)*F192)</f>
        <v>8488320.4633051567</v>
      </c>
      <c r="G285" s="101">
        <f>(1+'Input &amp; Calculation Summary'!F108+'Input &amp; Calculation Summary'!F114)*G192+('Input &amp; Calculation Summary'!F102*(1+'Input &amp; Calculation Summary'!F108+'Input &amp; Calculation Summary'!F114)*G192)</f>
        <v>6062672.501534096</v>
      </c>
      <c r="H285" s="101">
        <f>(1+'Input &amp; Calculation Summary'!G108+'Input &amp; Calculation Summary'!G114)*H192+('Input &amp; Calculation Summary'!G102*(1+'Input &amp; Calculation Summary'!G108+'Input &amp; Calculation Summary'!G114)*H192)</f>
        <v>6062672.501534096</v>
      </c>
    </row>
    <row r="286" spans="1:8" ht="14" x14ac:dyDescent="0.3">
      <c r="A286" s="157" t="s">
        <v>592</v>
      </c>
      <c r="B286" s="90" t="s">
        <v>303</v>
      </c>
      <c r="D286" s="101">
        <f>(1+'Input &amp; Calculation Summary'!C108+'Input &amp; Calculation Summary'!C114)*D193+('Input &amp; Calculation Summary'!C102*(1+'Input &amp; Calculation Summary'!C108+'Input &amp; Calculation Summary'!C114)*D193)</f>
        <v>1401265.4828444947</v>
      </c>
      <c r="E286" s="101">
        <f>(1+'Input &amp; Calculation Summary'!D108+'Input &amp; Calculation Summary'!D114)*E193+('Input &amp; Calculation Summary'!D102*(1+'Input &amp; Calculation Summary'!D108+'Input &amp; Calculation Summary'!D114)*E193)</f>
        <v>3348074.975890995</v>
      </c>
      <c r="F286" s="101">
        <f>(1+'Input &amp; Calculation Summary'!E108+'Input &amp; Calculation Summary'!E114)*F193+('Input &amp; Calculation Summary'!E102*(1+'Input &amp; Calculation Summary'!E108+'Input &amp; Calculation Summary'!E114)*F193)</f>
        <v>2159086.2484049066</v>
      </c>
      <c r="G286" s="101">
        <f>(1+'Input &amp; Calculation Summary'!F108+'Input &amp; Calculation Summary'!F114)*G193+('Input &amp; Calculation Summary'!F102*(1+'Input &amp; Calculation Summary'!F108+'Input &amp; Calculation Summary'!F114)*G193)</f>
        <v>900324.63510546228</v>
      </c>
      <c r="H286" s="101">
        <f>(1+'Input &amp; Calculation Summary'!G108+'Input &amp; Calculation Summary'!G114)*H193+('Input &amp; Calculation Summary'!G102*(1+'Input &amp; Calculation Summary'!G108+'Input &amp; Calculation Summary'!G114)*H193)</f>
        <v>900324.63510546228</v>
      </c>
    </row>
    <row r="287" spans="1:8" ht="14" x14ac:dyDescent="0.3">
      <c r="A287" s="157" t="s">
        <v>594</v>
      </c>
      <c r="B287" s="90" t="s">
        <v>303</v>
      </c>
      <c r="D287" s="101">
        <f>(1+'Input &amp; Calculation Summary'!C109+'Input &amp; Calculation Summary'!C115)*D194+('Input &amp; Calculation Summary'!C103*(1+'Input &amp; Calculation Summary'!C109+'Input &amp; Calculation Summary'!C115)*D194)</f>
        <v>173977.41080450846</v>
      </c>
      <c r="E287" s="101">
        <f>(1+'Input &amp; Calculation Summary'!D109+'Input &amp; Calculation Summary'!D115)*E194+('Input &amp; Calculation Summary'!D103*(1+'Input &amp; Calculation Summary'!D109+'Input &amp; Calculation Summary'!D115)*E194)</f>
        <v>178617.86147759191</v>
      </c>
      <c r="F287" s="101">
        <f>(1+'Input &amp; Calculation Summary'!E109+'Input &amp; Calculation Summary'!E115)*F194+('Input &amp; Calculation Summary'!E103*(1+'Input &amp; Calculation Summary'!E109+'Input &amp; Calculation Summary'!E115)*F194)</f>
        <v>176073.69607669458</v>
      </c>
      <c r="G287" s="101">
        <f>(1+'Input &amp; Calculation Summary'!F109+'Input &amp; Calculation Summary'!F115)*G194+('Input &amp; Calculation Summary'!F103*(1+'Input &amp; Calculation Summary'!F109+'Input &amp; Calculation Summary'!F115)*G194)</f>
        <v>174025.60490377207</v>
      </c>
      <c r="H287" s="101">
        <f>(1+'Input &amp; Calculation Summary'!G109+'Input &amp; Calculation Summary'!G115)*H194+('Input &amp; Calculation Summary'!G103*(1+'Input &amp; Calculation Summary'!G109+'Input &amp; Calculation Summary'!G115)*H194)</f>
        <v>174025.60490377207</v>
      </c>
    </row>
    <row r="288" spans="1:8" ht="14" x14ac:dyDescent="0.3">
      <c r="A288" s="157" t="s">
        <v>595</v>
      </c>
      <c r="B288" s="90" t="s">
        <v>303</v>
      </c>
      <c r="D288" s="101">
        <f>(1+'Input &amp; Calculation Summary'!C109+'Input &amp; Calculation Summary'!C115)*D195+('Input &amp; Calculation Summary'!C103*(1+'Input &amp; Calculation Summary'!C109+'Input &amp; Calculation Summary'!C115)*D195)</f>
        <v>248593.74377662488</v>
      </c>
      <c r="E288" s="101">
        <f>(1+'Input &amp; Calculation Summary'!D109+'Input &amp; Calculation Summary'!D115)*E195+('Input &amp; Calculation Summary'!D103*(1+'Input &amp; Calculation Summary'!D109+'Input &amp; Calculation Summary'!D115)*E195)</f>
        <v>282761.06586012302</v>
      </c>
      <c r="F288" s="101">
        <f>(1+'Input &amp; Calculation Summary'!E109+'Input &amp; Calculation Summary'!E115)*F195+('Input &amp; Calculation Summary'!E103*(1+'Input &amp; Calculation Summary'!E109+'Input &amp; Calculation Summary'!E115)*F195)</f>
        <v>265324.51255904627</v>
      </c>
      <c r="G288" s="101">
        <f>(1+'Input &amp; Calculation Summary'!F109+'Input &amp; Calculation Summary'!F115)*G195+('Input &amp; Calculation Summary'!F103*(1+'Input &amp; Calculation Summary'!F109+'Input &amp; Calculation Summary'!F115)*G195)</f>
        <v>251326.15286663247</v>
      </c>
      <c r="H288" s="101">
        <f>(1+'Input &amp; Calculation Summary'!G109+'Input &amp; Calculation Summary'!G115)*H195+('Input &amp; Calculation Summary'!G103*(1+'Input &amp; Calculation Summary'!G109+'Input &amp; Calculation Summary'!G115)*H195)</f>
        <v>251326.15286663247</v>
      </c>
    </row>
    <row r="289" spans="1:8" ht="14" x14ac:dyDescent="0.3">
      <c r="A289" s="157" t="s">
        <v>597</v>
      </c>
      <c r="B289" s="90" t="s">
        <v>303</v>
      </c>
      <c r="D289" s="101">
        <f>(1+'Input &amp; Calculation Summary'!C110+'Input &amp; Calculation Summary'!C116)*D196+('Input &amp; Calculation Summary'!C104*(1+'Input &amp; Calculation Summary'!C110+'Input &amp; Calculation Summary'!C116)*D196)</f>
        <v>3120689.0442061862</v>
      </c>
      <c r="E289" s="101">
        <f>(1+'Input &amp; Calculation Summary'!D110+'Input &amp; Calculation Summary'!D116)*E196+('Input &amp; Calculation Summary'!D104*(1+'Input &amp; Calculation Summary'!D110+'Input &amp; Calculation Summary'!D116)*E196)</f>
        <v>3120689.0442061862</v>
      </c>
      <c r="F289" s="101">
        <f>(1+'Input &amp; Calculation Summary'!E110+'Input &amp; Calculation Summary'!E116)*F196+('Input &amp; Calculation Summary'!E104*(1+'Input &amp; Calculation Summary'!E110+'Input &amp; Calculation Summary'!E116)*F196)</f>
        <v>2852185.4562833821</v>
      </c>
      <c r="G289" s="101">
        <f>(1+'Input &amp; Calculation Summary'!F110+'Input &amp; Calculation Summary'!F116)*G196+('Input &amp; Calculation Summary'!F104*(1+'Input &amp; Calculation Summary'!F110+'Input &amp; Calculation Summary'!F116)*G196)</f>
        <v>2621099.0505504995</v>
      </c>
      <c r="H289" s="101">
        <f>(1+'Input &amp; Calculation Summary'!G110+'Input &amp; Calculation Summary'!G116)*H196+('Input &amp; Calculation Summary'!G104*(1+'Input &amp; Calculation Summary'!G110+'Input &amp; Calculation Summary'!G116)*H196)</f>
        <v>2621099.0505504995</v>
      </c>
    </row>
    <row r="290" spans="1:8" ht="14" x14ac:dyDescent="0.3">
      <c r="A290" s="157" t="s">
        <v>598</v>
      </c>
      <c r="B290" s="90" t="s">
        <v>303</v>
      </c>
      <c r="D290" s="162">
        <f>(1+'Input &amp; Calculation Summary'!C110+'Input &amp; Calculation Summary'!C116)*D197+('Input &amp; Calculation Summary'!C104*(1+'Input &amp; Calculation Summary'!C110+'Input &amp; Calculation Summary'!C116)*D197)</f>
        <v>5426695.5988410339</v>
      </c>
      <c r="E290" s="162">
        <f>(1+'Input &amp; Calculation Summary'!D110+'Input &amp; Calculation Summary'!D116)*E197+('Input &amp; Calculation Summary'!D104*(1+'Input &amp; Calculation Summary'!D110+'Input &amp; Calculation Summary'!D116)*E197)</f>
        <v>8304419.2530119745</v>
      </c>
      <c r="F290" s="162">
        <f>(1+'Input &amp; Calculation Summary'!E110+'Input &amp; Calculation Summary'!E116)*F197+('Input &amp; Calculation Summary'!E104*(1+'Input &amp; Calculation Summary'!E110+'Input &amp; Calculation Summary'!E116)*F197)</f>
        <v>6703939.4181614844</v>
      </c>
      <c r="G290" s="162">
        <f>(1+'Input &amp; Calculation Summary'!F110+'Input &amp; Calculation Summary'!F116)*G197+('Input &amp; Calculation Summary'!F104*(1+'Input &amp; Calculation Summary'!F110+'Input &amp; Calculation Summary'!F116)*G197)</f>
        <v>4374690.4529987182</v>
      </c>
      <c r="H290" s="162">
        <f>(1+'Input &amp; Calculation Summary'!G110+'Input &amp; Calculation Summary'!G116)*H197+('Input &amp; Calculation Summary'!G104*(1+'Input &amp; Calculation Summary'!G110+'Input &amp; Calculation Summary'!G116)*H197)</f>
        <v>4374690.4529987182</v>
      </c>
    </row>
    <row r="291" spans="1:8" ht="14" x14ac:dyDescent="0.3">
      <c r="A291" s="159" t="s">
        <v>599</v>
      </c>
      <c r="B291" s="90" t="s">
        <v>303</v>
      </c>
      <c r="D291" s="101">
        <f>SUM(D279:D290)</f>
        <v>53826456.685562238</v>
      </c>
      <c r="E291" s="101">
        <f>SUM(E279:E290)</f>
        <v>77290090.554708526</v>
      </c>
      <c r="F291" s="101">
        <f>SUM(F279:F290)</f>
        <v>62834743.378520757</v>
      </c>
      <c r="G291" s="101">
        <f>SUM(G279:G290)</f>
        <v>46870889.644866794</v>
      </c>
      <c r="H291" s="101">
        <f>SUM(H279:H290)</f>
        <v>46870889.644866794</v>
      </c>
    </row>
    <row r="292" spans="1:8" ht="14" x14ac:dyDescent="0.3">
      <c r="A292" s="159"/>
      <c r="B292" s="90"/>
      <c r="D292" s="101"/>
      <c r="E292" s="101"/>
      <c r="F292" s="101"/>
      <c r="G292" s="101"/>
      <c r="H292" s="101"/>
    </row>
    <row r="293" spans="1:8" ht="14" x14ac:dyDescent="0.3">
      <c r="A293" s="203" t="s">
        <v>607</v>
      </c>
      <c r="B293" s="90"/>
      <c r="D293" s="101"/>
      <c r="E293" s="101"/>
      <c r="F293" s="101"/>
      <c r="G293" s="101"/>
      <c r="H293" s="101"/>
    </row>
    <row r="294" spans="1:8" ht="14" x14ac:dyDescent="0.3">
      <c r="A294" s="156" t="s">
        <v>577</v>
      </c>
      <c r="B294" s="90" t="s">
        <v>303</v>
      </c>
      <c r="D294" s="101">
        <f>D279*'Input &amp; Calculation Summary'!C94</f>
        <v>765258.40945301205</v>
      </c>
      <c r="E294" s="101">
        <f>E279*'Input &amp; Calculation Summary'!D94</f>
        <v>780597.95639121183</v>
      </c>
      <c r="F294" s="101">
        <f>F279*'Input &amp; Calculation Summary'!E94</f>
        <v>772829.23859141348</v>
      </c>
      <c r="G294" s="101">
        <f>G279*'Input &amp; Calculation Summary'!F94</f>
        <v>766502.71579002554</v>
      </c>
      <c r="H294" s="101">
        <f>H279*'Input &amp; Calculation Summary'!G94</f>
        <v>766502.71579002554</v>
      </c>
    </row>
    <row r="295" spans="1:8" ht="14" x14ac:dyDescent="0.3">
      <c r="A295" s="156" t="s">
        <v>579</v>
      </c>
      <c r="B295" s="90" t="s">
        <v>303</v>
      </c>
      <c r="D295" s="101">
        <f>D280*'Input &amp; Calculation Summary'!C94</f>
        <v>199290.94419891623</v>
      </c>
      <c r="E295" s="101">
        <f>E280*'Input &amp; Calculation Summary'!D94</f>
        <v>201862.87381365732</v>
      </c>
      <c r="F295" s="101">
        <f>F280*'Input &amp; Calculation Summary'!E94</f>
        <v>200549.34010890845</v>
      </c>
      <c r="G295" s="101">
        <f>G280*'Input &amp; Calculation Summary'!F94</f>
        <v>199496.32912002641</v>
      </c>
      <c r="H295" s="101">
        <f>H280*'Input &amp; Calculation Summary'!G94</f>
        <v>199496.32912002641</v>
      </c>
    </row>
    <row r="296" spans="1:8" ht="14" x14ac:dyDescent="0.3">
      <c r="A296" s="156" t="s">
        <v>581</v>
      </c>
      <c r="B296" s="90" t="s">
        <v>303</v>
      </c>
      <c r="D296" s="101">
        <f>D281*'Input &amp; Calculation Summary'!C94</f>
        <v>0</v>
      </c>
      <c r="E296" s="101">
        <f>E281*'Input &amp; Calculation Summary'!D94</f>
        <v>12517.650522807895</v>
      </c>
      <c r="F296" s="101">
        <f>F281*'Input &amp; Calculation Summary'!E94</f>
        <v>10440.407812151943</v>
      </c>
      <c r="G296" s="101">
        <f>G281*'Input &amp; Calculation Summary'!F94</f>
        <v>7271.0078711711585</v>
      </c>
      <c r="H296" s="101">
        <f>H281*'Input &amp; Calculation Summary'!G94</f>
        <v>7271.0078711711585</v>
      </c>
    </row>
    <row r="297" spans="1:8" ht="14" x14ac:dyDescent="0.3">
      <c r="A297" s="157" t="s">
        <v>583</v>
      </c>
      <c r="B297" s="90" t="s">
        <v>303</v>
      </c>
      <c r="D297" s="101">
        <f>D282*'Input &amp; Calculation Summary'!C95*(IF('Input &amp; Calculation Summary'!C72=2,1,0.95))</f>
        <v>205223.20924575941</v>
      </c>
      <c r="E297" s="101">
        <f>E282*'Input &amp; Calculation Summary'!D95*(IF('Input &amp; Calculation Summary'!D72=2,1,0.95))</f>
        <v>199231.8488825848</v>
      </c>
      <c r="F297" s="101">
        <f>F282*'Input &amp; Calculation Summary'!E95*(IF('Input &amp; Calculation Summary'!E72=2,1,0.95))</f>
        <v>196894.89487798206</v>
      </c>
      <c r="G297" s="101">
        <f>G282*'Input &amp; Calculation Summary'!F95*(IF('Input &amp; Calculation Summary'!F72=2,1,0.95))</f>
        <v>195006.55970401107</v>
      </c>
      <c r="H297" s="101">
        <f>H282*'Input &amp; Calculation Summary'!G95*(IF('Input &amp; Calculation Summary'!G72=2,1,0.95))</f>
        <v>195006.55970401107</v>
      </c>
    </row>
    <row r="298" spans="1:8" ht="14" x14ac:dyDescent="0.3">
      <c r="A298" s="157" t="s">
        <v>585</v>
      </c>
      <c r="B298" s="90" t="s">
        <v>303</v>
      </c>
      <c r="D298" s="101">
        <f>D283*'Input &amp; Calculation Summary'!C95*(IF('Input &amp; Calculation Summary'!C72=2,1,0.95))</f>
        <v>610415.33705453982</v>
      </c>
      <c r="E298" s="101">
        <f>E283*'Input &amp; Calculation Summary'!D95*(IF('Input &amp; Calculation Summary'!D72=2,1,0.95))</f>
        <v>1188661.1046845005</v>
      </c>
      <c r="F298" s="101">
        <f>F283*'Input &amp; Calculation Summary'!E95*(IF('Input &amp; Calculation Summary'!E72=2,1,0.95))</f>
        <v>828056.46870267799</v>
      </c>
      <c r="G298" s="101">
        <f>G283*'Input &amp; Calculation Summary'!F95*(IF('Input &amp; Calculation Summary'!F72=2,1,0.95))</f>
        <v>402750.14696411631</v>
      </c>
      <c r="H298" s="101">
        <f>H283*'Input &amp; Calculation Summary'!G95*(IF('Input &amp; Calculation Summary'!G72=2,1,0.95))</f>
        <v>402750.14696411631</v>
      </c>
    </row>
    <row r="299" spans="1:8" ht="14" x14ac:dyDescent="0.3">
      <c r="A299" s="157" t="s">
        <v>588</v>
      </c>
      <c r="B299" s="90" t="s">
        <v>303</v>
      </c>
      <c r="D299" s="101">
        <f>D284*'Input &amp; Calculation Summary'!C95*(IF('Input &amp; Calculation Summary'!C72=2,1,0.95))</f>
        <v>45317.10861184173</v>
      </c>
      <c r="E299" s="101">
        <f>E284*'Input &amp; Calculation Summary'!D95*(IF('Input &amp; Calculation Summary'!D72=2,1,0.95))</f>
        <v>86166.119667330844</v>
      </c>
      <c r="F299" s="101">
        <f>F284*'Input &amp; Calculation Summary'!E95*(IF('Input &amp; Calculation Summary'!E72=2,1,0.95))</f>
        <v>44436.744459668858</v>
      </c>
      <c r="G299" s="101">
        <f>G284*'Input &amp; Calculation Summary'!F95*(IF('Input &amp; Calculation Summary'!F72=2,1,0.95))</f>
        <v>20757.427417822611</v>
      </c>
      <c r="H299" s="101">
        <f>H284*'Input &amp; Calculation Summary'!G95*(IF('Input &amp; Calculation Summary'!G72=2,1,0.95))</f>
        <v>20757.427417822611</v>
      </c>
    </row>
    <row r="300" spans="1:8" ht="14" x14ac:dyDescent="0.3">
      <c r="A300" s="157" t="s">
        <v>590</v>
      </c>
      <c r="B300" s="90" t="s">
        <v>303</v>
      </c>
      <c r="D300" s="101">
        <f>D285*'Input &amp; Calculation Summary'!C96</f>
        <v>347256.76169039984</v>
      </c>
      <c r="E300" s="101">
        <f>E285*'Input &amp; Calculation Summary'!D96</f>
        <v>556156.80726496875</v>
      </c>
      <c r="F300" s="101">
        <f>F285*'Input &amp; Calculation Summary'!E96</f>
        <v>424416.02316525788</v>
      </c>
      <c r="G300" s="101">
        <f>G285*'Input &amp; Calculation Summary'!F96</f>
        <v>303133.62507670483</v>
      </c>
      <c r="H300" s="101">
        <f>H285*'Input &amp; Calculation Summary'!G96</f>
        <v>303133.62507670483</v>
      </c>
    </row>
    <row r="301" spans="1:8" ht="14" x14ac:dyDescent="0.3">
      <c r="A301" s="157" t="s">
        <v>592</v>
      </c>
      <c r="B301" s="90" t="s">
        <v>303</v>
      </c>
      <c r="D301" s="101">
        <f>D286*'Input &amp; Calculation Summary'!C96</f>
        <v>70063.274142224735</v>
      </c>
      <c r="E301" s="101">
        <f>E286*'Input &amp; Calculation Summary'!D96</f>
        <v>167403.74879454976</v>
      </c>
      <c r="F301" s="101">
        <f>F286*'Input &amp; Calculation Summary'!E96</f>
        <v>107954.31242024533</v>
      </c>
      <c r="G301" s="101">
        <f>G286*'Input &amp; Calculation Summary'!F96</f>
        <v>45016.231755273118</v>
      </c>
      <c r="H301" s="101">
        <f>H286*'Input &amp; Calculation Summary'!G96</f>
        <v>45016.231755273118</v>
      </c>
    </row>
    <row r="302" spans="1:8" ht="14" x14ac:dyDescent="0.3">
      <c r="A302" s="157" t="s">
        <v>594</v>
      </c>
      <c r="B302" s="90" t="s">
        <v>303</v>
      </c>
      <c r="D302" s="101">
        <f>D287*'Input &amp; Calculation Summary'!C97</f>
        <v>8698.8705402254236</v>
      </c>
      <c r="E302" s="101">
        <f>E287*'Input &amp; Calculation Summary'!D97</f>
        <v>8930.8930738795952</v>
      </c>
      <c r="F302" s="101">
        <f>F287*'Input &amp; Calculation Summary'!E97</f>
        <v>8803.6848038347289</v>
      </c>
      <c r="G302" s="101">
        <f>G287*'Input &amp; Calculation Summary'!F97</f>
        <v>8701.2802451886037</v>
      </c>
      <c r="H302" s="101">
        <f>H287*'Input &amp; Calculation Summary'!G97</f>
        <v>8701.2802451886037</v>
      </c>
    </row>
    <row r="303" spans="1:8" ht="14" x14ac:dyDescent="0.3">
      <c r="A303" s="157" t="s">
        <v>595</v>
      </c>
      <c r="B303" s="90" t="s">
        <v>303</v>
      </c>
      <c r="D303" s="101">
        <f>D288*'Input &amp; Calculation Summary'!C97</f>
        <v>12429.687188831245</v>
      </c>
      <c r="E303" s="101">
        <f>E288*'Input &amp; Calculation Summary'!D97</f>
        <v>14138.053293006153</v>
      </c>
      <c r="F303" s="101">
        <f>F288*'Input &amp; Calculation Summary'!E97</f>
        <v>13266.225627952314</v>
      </c>
      <c r="G303" s="101">
        <f>G288*'Input &amp; Calculation Summary'!F97</f>
        <v>12566.307643331624</v>
      </c>
      <c r="H303" s="101">
        <f>H288*'Input &amp; Calculation Summary'!G97</f>
        <v>12566.307643331624</v>
      </c>
    </row>
    <row r="304" spans="1:8" ht="14" x14ac:dyDescent="0.3">
      <c r="A304" s="157" t="s">
        <v>597</v>
      </c>
      <c r="B304" s="90" t="s">
        <v>303</v>
      </c>
      <c r="D304" s="101">
        <f>D289*'Input &amp; Calculation Summary'!C98</f>
        <v>156034.4522103093</v>
      </c>
      <c r="E304" s="101">
        <f>E289*'Input &amp; Calculation Summary'!D98</f>
        <v>156034.4522103093</v>
      </c>
      <c r="F304" s="101">
        <f>F289*'Input &amp; Calculation Summary'!E98</f>
        <v>142609.27281416912</v>
      </c>
      <c r="G304" s="101">
        <f>G289*'Input &amp; Calculation Summary'!F98</f>
        <v>131054.95252752498</v>
      </c>
      <c r="H304" s="101">
        <f>H289*'Input &amp; Calculation Summary'!G98</f>
        <v>131054.95252752498</v>
      </c>
    </row>
    <row r="305" spans="1:8" ht="14" x14ac:dyDescent="0.3">
      <c r="A305" s="157" t="s">
        <v>598</v>
      </c>
      <c r="B305" s="90" t="s">
        <v>303</v>
      </c>
      <c r="D305" s="162">
        <f>D290*'Input &amp; Calculation Summary'!C98</f>
        <v>271334.77994205168</v>
      </c>
      <c r="E305" s="162">
        <f>E290*'Input &amp; Calculation Summary'!D98</f>
        <v>415220.96265059873</v>
      </c>
      <c r="F305" s="162">
        <f>F290*'Input &amp; Calculation Summary'!E98</f>
        <v>335196.97090807423</v>
      </c>
      <c r="G305" s="162">
        <f>G290*'Input &amp; Calculation Summary'!F98</f>
        <v>218734.52264993591</v>
      </c>
      <c r="H305" s="162">
        <f>H290*'Input &amp; Calculation Summary'!G98</f>
        <v>218734.52264993591</v>
      </c>
    </row>
    <row r="306" spans="1:8" ht="14" x14ac:dyDescent="0.3">
      <c r="A306" s="159" t="s">
        <v>599</v>
      </c>
      <c r="B306" s="90" t="s">
        <v>303</v>
      </c>
      <c r="D306" s="101">
        <f>SUM(D294:D305)</f>
        <v>2691322.8342781118</v>
      </c>
      <c r="E306" s="101">
        <f>SUM(E294:E305)</f>
        <v>3786922.4712494053</v>
      </c>
      <c r="F306" s="101">
        <f>SUM(F294:F305)</f>
        <v>3085453.5842923359</v>
      </c>
      <c r="G306" s="101">
        <f>SUM(G294:G305)</f>
        <v>2310991.1067651324</v>
      </c>
      <c r="H306" s="101">
        <f>SUM(H294:H305)</f>
        <v>2310991.1067651324</v>
      </c>
    </row>
    <row r="307" spans="1:8" ht="14" x14ac:dyDescent="0.3">
      <c r="A307" s="159"/>
      <c r="B307" s="90"/>
      <c r="C307" s="90"/>
      <c r="D307" s="101"/>
      <c r="E307" s="101"/>
      <c r="F307" s="101"/>
      <c r="G307" s="101"/>
      <c r="H307" s="101"/>
    </row>
    <row r="308" spans="1:8" x14ac:dyDescent="0.3">
      <c r="B308" s="90"/>
      <c r="C308" s="90"/>
      <c r="D308" s="90"/>
      <c r="E308" s="90"/>
      <c r="F308" s="90"/>
      <c r="G308" s="90"/>
      <c r="H308" s="90"/>
    </row>
    <row r="309" spans="1:8" x14ac:dyDescent="0.3">
      <c r="A309" s="111"/>
      <c r="B309" s="111"/>
      <c r="C309" s="112"/>
      <c r="D309" s="112"/>
      <c r="E309" s="112"/>
      <c r="F309" s="112"/>
      <c r="G309" s="112"/>
      <c r="H309" s="112"/>
    </row>
    <row r="310" spans="1:8" ht="20.5" thickBot="1" x14ac:dyDescent="0.45">
      <c r="A310" s="109" t="s">
        <v>608</v>
      </c>
      <c r="C310" s="90"/>
      <c r="D310" s="155" t="s">
        <v>320</v>
      </c>
      <c r="E310" s="155" t="s">
        <v>518</v>
      </c>
      <c r="F310" s="155" t="s">
        <v>519</v>
      </c>
      <c r="G310" s="155" t="s">
        <v>520</v>
      </c>
      <c r="H310" s="155" t="s">
        <v>521</v>
      </c>
    </row>
    <row r="311" spans="1:8" ht="13.5" x14ac:dyDescent="0.35">
      <c r="A311" s="232" t="s">
        <v>338</v>
      </c>
      <c r="C311" s="115"/>
      <c r="D311" s="231">
        <f>'Input &amp; Calculation Summary'!C46</f>
        <v>2015</v>
      </c>
      <c r="E311" s="231">
        <f>'Input &amp; Calculation Summary'!D46</f>
        <v>2015</v>
      </c>
      <c r="F311" s="231">
        <f>'Input &amp; Calculation Summary'!E46</f>
        <v>2015</v>
      </c>
      <c r="G311" s="231">
        <f>'Input &amp; Calculation Summary'!F46</f>
        <v>2015</v>
      </c>
      <c r="H311" s="231">
        <f>'Input &amp; Calculation Summary'!G46</f>
        <v>2015</v>
      </c>
    </row>
    <row r="312" spans="1:8" ht="14" x14ac:dyDescent="0.3">
      <c r="A312" s="198" t="s">
        <v>609</v>
      </c>
      <c r="B312" s="90"/>
      <c r="C312" s="90"/>
      <c r="D312" s="90"/>
      <c r="E312" s="90"/>
      <c r="F312" s="90"/>
      <c r="G312" s="90"/>
    </row>
    <row r="313" spans="1:8" ht="14" x14ac:dyDescent="0.3">
      <c r="A313" s="157" t="s">
        <v>610</v>
      </c>
      <c r="B313" s="90" t="s">
        <v>611</v>
      </c>
      <c r="D313" s="108">
        <f>D136</f>
        <v>166.82823989731986</v>
      </c>
      <c r="E313" s="108">
        <f>E136</f>
        <v>2301.3144927067751</v>
      </c>
      <c r="F313" s="108">
        <f>F136</f>
        <v>1212.025632825568</v>
      </c>
      <c r="G313" s="108">
        <f>G136</f>
        <v>337.52612559699378</v>
      </c>
      <c r="H313" s="108">
        <f>H136</f>
        <v>337.52612559699378</v>
      </c>
    </row>
    <row r="314" spans="1:8" ht="14" x14ac:dyDescent="0.3">
      <c r="A314" s="157"/>
      <c r="B314" s="90" t="s">
        <v>171</v>
      </c>
      <c r="D314" s="118">
        <f>D313/Constants_CC!E491</f>
        <v>0.33567050281150879</v>
      </c>
      <c r="E314" s="118">
        <f>E313/Constants_CC!F491</f>
        <v>1.296551729742683</v>
      </c>
      <c r="F314" s="118">
        <f>F313/Constants_CC!G491</f>
        <v>1.2965517297426827</v>
      </c>
      <c r="G314" s="118">
        <f>G313/Constants_CC!H491</f>
        <v>1.2965517297426832</v>
      </c>
      <c r="H314" s="118">
        <f>H313/Constants_CC!I491</f>
        <v>1.2965517297426832</v>
      </c>
    </row>
    <row r="315" spans="1:8" ht="14" x14ac:dyDescent="0.3">
      <c r="A315" s="157" t="s">
        <v>612</v>
      </c>
      <c r="B315" s="90" t="s">
        <v>611</v>
      </c>
      <c r="D315" s="140">
        <f>D372</f>
        <v>0</v>
      </c>
      <c r="E315" s="140">
        <f>E372</f>
        <v>13.36895325383459</v>
      </c>
      <c r="F315" s="140">
        <f>F372</f>
        <v>7.0409820470195497</v>
      </c>
      <c r="G315" s="140">
        <f>G372</f>
        <v>1.9607798105624064</v>
      </c>
      <c r="H315" s="140">
        <f>H372</f>
        <v>1.9607798105624064</v>
      </c>
    </row>
    <row r="316" spans="1:8" ht="14" x14ac:dyDescent="0.3">
      <c r="A316" s="157" t="s">
        <v>613</v>
      </c>
      <c r="B316" s="90" t="s">
        <v>45</v>
      </c>
      <c r="D316" s="141">
        <f>'Input &amp; Calculation Summary'!C70</f>
        <v>0.5</v>
      </c>
      <c r="E316" s="141">
        <f>'Input &amp; Calculation Summary'!D70</f>
        <v>0.95</v>
      </c>
      <c r="F316" s="141">
        <f>'Input &amp; Calculation Summary'!E70</f>
        <v>0.95</v>
      </c>
      <c r="G316" s="141">
        <f>'Input &amp; Calculation Summary'!F70</f>
        <v>0.95</v>
      </c>
      <c r="H316" s="141">
        <f>'Input &amp; Calculation Summary'!G70</f>
        <v>0.95</v>
      </c>
    </row>
    <row r="317" spans="1:8" ht="14" x14ac:dyDescent="0.3">
      <c r="A317" s="157" t="s">
        <v>614</v>
      </c>
      <c r="B317" s="90" t="s">
        <v>615</v>
      </c>
      <c r="D317" s="108">
        <f>IF('Input &amp; Calculation Summary'!C78=3,0,D178-D177)</f>
        <v>275.87614684956066</v>
      </c>
      <c r="E317" s="108">
        <f>IF('Input &amp; Calculation Summary'!D78=3,0,E178-E177)</f>
        <v>3805.5773730380024</v>
      </c>
      <c r="F317" s="108">
        <f>IF('Input &amp; Calculation Summary'!E78=3,0,F178-F177)</f>
        <v>2004.2707498000145</v>
      </c>
      <c r="G317" s="108">
        <f>IF('Input &amp; Calculation Summary'!F78=3,0,G178-G177)</f>
        <v>558.15134804557374</v>
      </c>
      <c r="H317" s="108">
        <f>IF('Input &amp; Calculation Summary'!G78=3,0,H178-H177)</f>
        <v>558.15134804557374</v>
      </c>
    </row>
    <row r="318" spans="1:8" ht="14" x14ac:dyDescent="0.3">
      <c r="A318" s="157" t="s">
        <v>616</v>
      </c>
      <c r="B318" s="90" t="s">
        <v>611</v>
      </c>
      <c r="D318" s="108">
        <f>D119/855.14</f>
        <v>9173.3923560433705</v>
      </c>
      <c r="E318" s="108">
        <f>E119/855.14</f>
        <v>32801.537131404606</v>
      </c>
      <c r="F318" s="108">
        <f>F119/855.14</f>
        <v>17275.476222539764</v>
      </c>
      <c r="G318" s="108">
        <f>G119/855.14</f>
        <v>4810.8921126060104</v>
      </c>
      <c r="H318" s="108">
        <f>H119/855.14</f>
        <v>4810.8921126060104</v>
      </c>
    </row>
    <row r="319" spans="1:8" ht="14" x14ac:dyDescent="0.3">
      <c r="A319" s="157" t="s">
        <v>617</v>
      </c>
      <c r="B319" s="90" t="s">
        <v>618</v>
      </c>
      <c r="D319" s="108">
        <f>0.02*(1000*'Input &amp; Calculation Summary'!C25)*(IF('Input &amp; Calculation Summary'!C72=2,1,0.8231))</f>
        <v>3000</v>
      </c>
      <c r="E319" s="108">
        <f>0.02*(1000*'Input &amp; Calculation Summary'!D25)*(IF('Input &amp; Calculation Summary'!D72=2,1,0.8231))</f>
        <v>2469.3000000000002</v>
      </c>
      <c r="F319" s="108">
        <f>0.02*(1000*'Input &amp; Calculation Summary'!E25)*(IF('Input &amp; Calculation Summary'!E72=2,1,0.8231))</f>
        <v>1300.498</v>
      </c>
      <c r="G319" s="108">
        <f>0.02*(1000*'Input &amp; Calculation Summary'!F25)*(IF('Input &amp; Calculation Summary'!F72=2,1,0.8231))</f>
        <v>362.16400000000004</v>
      </c>
      <c r="H319" s="108">
        <f>0.02*(1000*'Input &amp; Calculation Summary'!G25)*(IF('Input &amp; Calculation Summary'!G72=2,1,0.8231))</f>
        <v>362.16400000000004</v>
      </c>
    </row>
    <row r="320" spans="1:8" ht="14" x14ac:dyDescent="0.3">
      <c r="A320" s="157" t="s">
        <v>619</v>
      </c>
      <c r="B320" s="90" t="s">
        <v>611</v>
      </c>
      <c r="D320" s="108">
        <f>IF('Input &amp; Calculation Summary'!C78=3,(D178-D177),0)</f>
        <v>0</v>
      </c>
      <c r="E320" s="108">
        <f>IF('Input &amp; Calculation Summary'!D78=3,(E178-E177),0)</f>
        <v>0</v>
      </c>
      <c r="F320" s="108">
        <f>IF('Input &amp; Calculation Summary'!E78=3,(F178-F177),0)</f>
        <v>0</v>
      </c>
      <c r="G320" s="108">
        <f>IF('Input &amp; Calculation Summary'!F78=3,(G178-G177),0)</f>
        <v>0</v>
      </c>
      <c r="H320" s="108">
        <f>IF('Input &amp; Calculation Summary'!G78=3,(H178-H177),0)</f>
        <v>0</v>
      </c>
    </row>
    <row r="321" spans="1:8" ht="14" x14ac:dyDescent="0.3">
      <c r="A321" s="157"/>
      <c r="B321" s="90"/>
      <c r="C321" s="90"/>
      <c r="D321" s="90"/>
      <c r="E321" s="90"/>
      <c r="F321" s="90"/>
      <c r="G321" s="90"/>
      <c r="H321" s="90"/>
    </row>
    <row r="322" spans="1:8" ht="14" x14ac:dyDescent="0.3">
      <c r="A322" s="198" t="s">
        <v>620</v>
      </c>
      <c r="B322" s="90"/>
      <c r="C322" s="90"/>
      <c r="D322" s="90"/>
      <c r="E322" s="90"/>
      <c r="F322" s="90"/>
      <c r="G322" s="90"/>
      <c r="H322" s="90"/>
    </row>
    <row r="323" spans="1:8" ht="14" x14ac:dyDescent="0.3">
      <c r="A323" s="157" t="s">
        <v>621</v>
      </c>
      <c r="B323" s="90"/>
      <c r="C323" s="90"/>
      <c r="D323" s="208">
        <f>41.69041*'Input &amp; Calculation Summary'!C25^(-0.322307)*'Input &amp; Calculation Summary'!C25/100</f>
        <v>12.438212716858335</v>
      </c>
      <c r="E323" s="208">
        <f>41.69041*'Input &amp; Calculation Summary'!D25^(-0.322307)*'Input &amp; Calculation Summary'!D25/100</f>
        <v>12.438212716858335</v>
      </c>
      <c r="F323" s="208">
        <f>41.69041*'Input &amp; Calculation Summary'!E25^(-0.322307)*'Input &amp; Calculation Summary'!E25/100</f>
        <v>8.0546145549339752</v>
      </c>
      <c r="G323" s="208">
        <f>41.69041*'Input &amp; Calculation Summary'!F25^(-0.322307)*'Input &amp; Calculation Summary'!F25/100</f>
        <v>3.3867771422479866</v>
      </c>
      <c r="H323" s="208">
        <f>41.69041*'Input &amp; Calculation Summary'!G25^(-0.322307)*'Input &amp; Calculation Summary'!G25/100</f>
        <v>3.3867771422479866</v>
      </c>
    </row>
    <row r="324" spans="1:8" ht="14" x14ac:dyDescent="0.3">
      <c r="A324" s="157" t="s">
        <v>622</v>
      </c>
      <c r="B324" s="90"/>
      <c r="C324" s="90"/>
      <c r="D324" s="90"/>
      <c r="E324" s="90"/>
      <c r="F324" s="90"/>
      <c r="G324" s="90"/>
      <c r="H324" s="90"/>
    </row>
    <row r="325" spans="1:8" ht="14" x14ac:dyDescent="0.3">
      <c r="A325" s="157" t="s">
        <v>623</v>
      </c>
      <c r="B325" s="90" t="s">
        <v>400</v>
      </c>
      <c r="C325" s="90"/>
      <c r="D325" s="101">
        <f>('Input &amp; Calculation Summary'!C64*D323*40*52)</f>
        <v>1629903.3944171162</v>
      </c>
      <c r="E325" s="101">
        <f>('Input &amp; Calculation Summary'!D64*E323*40*52)</f>
        <v>1629903.3944171162</v>
      </c>
      <c r="F325" s="101">
        <f>('Input &amp; Calculation Summary'!E64*F323*40*52)</f>
        <v>1055476.6912785482</v>
      </c>
      <c r="G325" s="101">
        <f>('Input &amp; Calculation Summary'!F64*G323*40*52)</f>
        <v>443803.27672017616</v>
      </c>
      <c r="H325" s="101">
        <f>('Input &amp; Calculation Summary'!G64*H323*40*52)</f>
        <v>443803.27672017616</v>
      </c>
    </row>
    <row r="326" spans="1:8" ht="14" x14ac:dyDescent="0.3">
      <c r="A326" s="157" t="s">
        <v>624</v>
      </c>
      <c r="B326" s="90" t="s">
        <v>400</v>
      </c>
      <c r="C326" s="90"/>
      <c r="D326" s="101">
        <f>D306</f>
        <v>2691322.8342781118</v>
      </c>
      <c r="E326" s="101">
        <f>E306</f>
        <v>3786922.4712494053</v>
      </c>
      <c r="F326" s="101">
        <f>F306</f>
        <v>3085453.5842923359</v>
      </c>
      <c r="G326" s="101">
        <f>G306</f>
        <v>2310991.1067651324</v>
      </c>
      <c r="H326" s="101">
        <f>H306</f>
        <v>2310991.1067651324</v>
      </c>
    </row>
    <row r="327" spans="1:8" ht="14" x14ac:dyDescent="0.3">
      <c r="A327" s="157" t="s">
        <v>625</v>
      </c>
      <c r="B327" s="90" t="s">
        <v>400</v>
      </c>
      <c r="C327" s="90"/>
      <c r="D327" s="162">
        <f>0.3*((D306*0.4)+D325)</f>
        <v>811929.75843850826</v>
      </c>
      <c r="E327" s="162">
        <f>0.3*((E306*0.4)+E325)</f>
        <v>943401.71487506351</v>
      </c>
      <c r="F327" s="162">
        <f>0.3*((F306*0.4)+F325)</f>
        <v>686897.43749864481</v>
      </c>
      <c r="G327" s="162">
        <f>0.3*((G306*0.4)+G325)</f>
        <v>410459.91582786874</v>
      </c>
      <c r="H327" s="162">
        <f>0.3*((H306*0.4)+H325)</f>
        <v>410459.91582786874</v>
      </c>
    </row>
    <row r="328" spans="1:8" ht="14" x14ac:dyDescent="0.3">
      <c r="A328" s="157" t="s">
        <v>626</v>
      </c>
      <c r="B328" s="90" t="s">
        <v>400</v>
      </c>
      <c r="C328" s="90"/>
      <c r="D328" s="101">
        <f>SUM(D325:D327)</f>
        <v>5133155.9871337358</v>
      </c>
      <c r="E328" s="101">
        <f>SUM(E325:E327)</f>
        <v>6360227.5805415856</v>
      </c>
      <c r="F328" s="101">
        <f>SUM(F325:F327)</f>
        <v>4827827.7130695293</v>
      </c>
      <c r="G328" s="101">
        <f>SUM(G325:G327)</f>
        <v>3165254.2993131774</v>
      </c>
      <c r="H328" s="101">
        <f>SUM(H325:H327)</f>
        <v>3165254.2993131774</v>
      </c>
    </row>
    <row r="329" spans="1:8" ht="14" x14ac:dyDescent="0.3">
      <c r="A329" s="157"/>
      <c r="B329" s="90"/>
      <c r="C329" s="90"/>
      <c r="D329" s="90"/>
      <c r="E329" s="90"/>
      <c r="F329" s="90"/>
      <c r="G329" s="90"/>
      <c r="H329" s="90"/>
    </row>
    <row r="330" spans="1:8" ht="14" x14ac:dyDescent="0.3">
      <c r="A330" s="198" t="s">
        <v>627</v>
      </c>
      <c r="B330" s="90"/>
      <c r="C330" s="90"/>
      <c r="D330" s="90"/>
      <c r="E330" s="90"/>
      <c r="F330" s="90"/>
      <c r="G330" s="90"/>
      <c r="H330" s="90"/>
    </row>
    <row r="331" spans="1:8" ht="14" x14ac:dyDescent="0.3">
      <c r="A331" s="157" t="s">
        <v>628</v>
      </c>
      <c r="B331" s="90" t="s">
        <v>400</v>
      </c>
      <c r="C331" s="90"/>
      <c r="D331" s="101">
        <f>(D313/2000*'Input &amp; Calculation Summary'!C27*8760*'Input &amp; Calculation Summary'!C89)</f>
        <v>7124.3999848150452</v>
      </c>
      <c r="E331" s="101">
        <f>(E313/2000*'Input &amp; Calculation Summary'!D27*8760*'Input &amp; Calculation Summary'!D89)</f>
        <v>98277.635411042822</v>
      </c>
      <c r="F331" s="101">
        <f>(F313/2000*'Input &amp; Calculation Summary'!E27*8760*'Input &amp; Calculation Summary'!E89)</f>
        <v>51759.554649815887</v>
      </c>
      <c r="G331" s="101">
        <f>(G313/2000*'Input &amp; Calculation Summary'!F27*8760*'Input &amp; Calculation Summary'!F89)</f>
        <v>14414.05319361962</v>
      </c>
      <c r="H331" s="101">
        <f>(H313/2000*'Input &amp; Calculation Summary'!G27*8760*'Input &amp; Calculation Summary'!G89)</f>
        <v>14414.05319361962</v>
      </c>
    </row>
    <row r="332" spans="1:8" ht="14" x14ac:dyDescent="0.3">
      <c r="A332" s="157" t="s">
        <v>629</v>
      </c>
      <c r="B332" s="90" t="s">
        <v>400</v>
      </c>
      <c r="C332" s="90"/>
      <c r="D332" s="101">
        <f>(D315/2000*'Input &amp; Calculation Summary'!C27*8760*430)</f>
        <v>0</v>
      </c>
      <c r="E332" s="101">
        <f>(E315/2000*'Input &amp; Calculation Summary'!D27*8760*430)</f>
        <v>16366.406262876842</v>
      </c>
      <c r="F332" s="101">
        <f>(F315/2000*'Input &amp; Calculation Summary'!E27*8760*430)</f>
        <v>8619.6406317818019</v>
      </c>
      <c r="G332" s="101">
        <f>(G315/2000*'Input &amp; Calculation Summary'!F27*8760*430)</f>
        <v>2400.4062518886035</v>
      </c>
      <c r="H332" s="101">
        <f>(H315/2000*'Input &amp; Calculation Summary'!G27*8760*430)</f>
        <v>2400.4062518886035</v>
      </c>
    </row>
    <row r="333" spans="1:8" ht="14" x14ac:dyDescent="0.3">
      <c r="A333" s="157" t="s">
        <v>630</v>
      </c>
      <c r="B333" s="90" t="s">
        <v>400</v>
      </c>
      <c r="C333" s="90"/>
      <c r="D333" s="101">
        <f>(IF('Input &amp; Calculation Summary'!C78=1,'Input &amp; Calculation Summary'!C91,'Input &amp; Calculation Summary'!C90)*'Input &amp; Calculation Summary'!C27*8760*'LSFO Cost &amp; Tech. Results'!D317/2000)</f>
        <v>4712.5163404841951</v>
      </c>
      <c r="E333" s="101">
        <f>(IF('Input &amp; Calculation Summary'!D78=1,'Input &amp; Calculation Summary'!D91,'Input &amp; Calculation Summary'!D90)*'Input &amp; Calculation Summary'!D27*8760*'LSFO Cost &amp; Tech. Results'!E317/2000)</f>
        <v>65006.872686235161</v>
      </c>
      <c r="F333" s="101">
        <f>(IF('Input &amp; Calculation Summary'!E78=1,'Input &amp; Calculation Summary'!E91,'Input &amp; Calculation Summary'!E90)*'Input &amp; Calculation Summary'!E27*8760*'LSFO Cost &amp; Tech. Results'!F317/2000)</f>
        <v>34236.952948083846</v>
      </c>
      <c r="G333" s="101">
        <f>(IF('Input &amp; Calculation Summary'!F78=1,'Input &amp; Calculation Summary'!F91,'Input &amp; Calculation Summary'!F90)*'Input &amp; Calculation Summary'!F27*8760*'LSFO Cost &amp; Tech. Results'!G317/2000)</f>
        <v>9534.3413273144906</v>
      </c>
      <c r="H333" s="101">
        <f>(IF('Input &amp; Calculation Summary'!G78=1,'Input &amp; Calculation Summary'!G91,'Input &amp; Calculation Summary'!G90)*'Input &amp; Calculation Summary'!G27*8760*'LSFO Cost &amp; Tech. Results'!H317/2000)</f>
        <v>9534.3413273144906</v>
      </c>
    </row>
    <row r="334" spans="1:8" ht="14" x14ac:dyDescent="0.3">
      <c r="A334" s="157" t="s">
        <v>631</v>
      </c>
      <c r="B334" s="90" t="s">
        <v>400</v>
      </c>
      <c r="C334" s="90"/>
      <c r="D334" s="101">
        <f>(D320/2000*8760*'Input &amp; Calculation Summary'!C27*'Input &amp; Calculation Summary'!C92)</f>
        <v>0</v>
      </c>
      <c r="E334" s="101">
        <f>(E320/2000*8760*'Input &amp; Calculation Summary'!D27*'Input &amp; Calculation Summary'!D92)</f>
        <v>0</v>
      </c>
      <c r="F334" s="101">
        <f>(F320/2000*8760*'Input &amp; Calculation Summary'!E27*'Input &amp; Calculation Summary'!E92)</f>
        <v>0</v>
      </c>
      <c r="G334" s="101">
        <f>(G320/2000*8760*'Input &amp; Calculation Summary'!F27*'Input &amp; Calculation Summary'!F92)</f>
        <v>0</v>
      </c>
      <c r="H334" s="101">
        <f>(H320/2000*8760*'Input &amp; Calculation Summary'!G27*'Input &amp; Calculation Summary'!G92)</f>
        <v>0</v>
      </c>
    </row>
    <row r="335" spans="1:8" ht="14" x14ac:dyDescent="0.3">
      <c r="A335" s="157" t="s">
        <v>632</v>
      </c>
      <c r="B335" s="90" t="s">
        <v>400</v>
      </c>
      <c r="C335" s="90"/>
      <c r="D335" s="101">
        <f>(D318/1000*8760*'Input &amp; Calculation Summary'!C27*'Input &amp; Calculation Summary'!C66)</f>
        <v>182816.53626358832</v>
      </c>
      <c r="E335" s="101">
        <f>(E318/1000*8760*'Input &amp; Calculation Summary'!D27*'Input &amp; Calculation Summary'!D66)</f>
        <v>653701.8334917624</v>
      </c>
      <c r="F335" s="101">
        <f>(F318/1000*8760*'Input &amp; Calculation Summary'!E27*'Input &amp; Calculation Summary'!E66)</f>
        <v>344282.96563899494</v>
      </c>
      <c r="G335" s="101">
        <f>(G318/1000*8760*'Input &amp; Calculation Summary'!F27*'Input &amp; Calculation Summary'!F66)</f>
        <v>95876.26891212519</v>
      </c>
      <c r="H335" s="101">
        <f>(H318/1000*8760*'Input &amp; Calculation Summary'!G27*'Input &amp; Calculation Summary'!G66)</f>
        <v>95876.26891212519</v>
      </c>
    </row>
    <row r="336" spans="1:8" ht="14" x14ac:dyDescent="0.3">
      <c r="A336" s="157" t="s">
        <v>633</v>
      </c>
      <c r="B336" s="90" t="s">
        <v>400</v>
      </c>
      <c r="C336" s="90"/>
      <c r="D336" s="162">
        <f>(D319/1000*8760*'Input &amp; Calculation Summary'!C27*'Input &amp; Calculation Summary'!C65)</f>
        <v>427050</v>
      </c>
      <c r="E336" s="162">
        <f>(E319/1000*8760*'Input &amp; Calculation Summary'!D27*'Input &amp; Calculation Summary'!D65)</f>
        <v>351504.85499999998</v>
      </c>
      <c r="F336" s="162">
        <f>(F319/1000*8760*'Input &amp; Calculation Summary'!E27*'Input &amp; Calculation Summary'!E65)</f>
        <v>185125.89030000003</v>
      </c>
      <c r="G336" s="162">
        <f>(G319/1000*8760*'Input &amp; Calculation Summary'!F27*'Input &amp; Calculation Summary'!F65)</f>
        <v>51554.04540000001</v>
      </c>
      <c r="H336" s="162">
        <f>(H319/1000*8760*'Input &amp; Calculation Summary'!G27*'Input &amp; Calculation Summary'!G65)</f>
        <v>51554.04540000001</v>
      </c>
    </row>
    <row r="337" spans="1:8" ht="14" x14ac:dyDescent="0.3">
      <c r="A337" s="157" t="s">
        <v>626</v>
      </c>
      <c r="B337" s="90" t="s">
        <v>400</v>
      </c>
      <c r="C337" s="90"/>
      <c r="D337" s="101">
        <f>SUM(D331:D336)</f>
        <v>621703.45258888754</v>
      </c>
      <c r="E337" s="101">
        <f>SUM(E331:E336)</f>
        <v>1184857.6028519173</v>
      </c>
      <c r="F337" s="101">
        <f>SUM(F331:F336)</f>
        <v>624025.00416867645</v>
      </c>
      <c r="G337" s="101">
        <f>SUM(G331:G336)</f>
        <v>173779.1150849479</v>
      </c>
      <c r="H337" s="101">
        <f>SUM(H331:H336)</f>
        <v>173779.1150849479</v>
      </c>
    </row>
    <row r="338" spans="1:8" ht="14" x14ac:dyDescent="0.3">
      <c r="A338" s="157"/>
      <c r="B338" s="90"/>
      <c r="C338" s="90"/>
      <c r="D338" s="90"/>
      <c r="E338" s="90"/>
      <c r="F338" s="90"/>
      <c r="G338" s="90"/>
      <c r="H338" s="90"/>
    </row>
    <row r="339" spans="1:8" x14ac:dyDescent="0.3">
      <c r="A339" s="122" t="s">
        <v>634</v>
      </c>
      <c r="B339" s="90"/>
      <c r="C339" s="90"/>
      <c r="D339" s="90"/>
      <c r="E339" s="90"/>
      <c r="F339" s="90"/>
      <c r="G339" s="90"/>
      <c r="H339" s="90"/>
    </row>
    <row r="340" spans="1:8" ht="14" x14ac:dyDescent="0.3">
      <c r="A340" s="157"/>
      <c r="B340" s="90"/>
      <c r="C340" s="90"/>
      <c r="D340" s="90"/>
      <c r="E340" s="90"/>
      <c r="F340" s="90"/>
      <c r="G340" s="90"/>
      <c r="H340" s="90"/>
    </row>
    <row r="341" spans="1:8" x14ac:dyDescent="0.3">
      <c r="A341" s="111"/>
      <c r="B341" s="111"/>
      <c r="C341" s="112"/>
      <c r="D341" s="112"/>
      <c r="E341" s="112"/>
      <c r="F341" s="112"/>
      <c r="G341" s="112"/>
      <c r="H341" s="112"/>
    </row>
    <row r="342" spans="1:8" ht="20.5" thickBot="1" x14ac:dyDescent="0.45">
      <c r="A342" s="109" t="s">
        <v>635</v>
      </c>
      <c r="C342" s="90"/>
      <c r="D342" s="155" t="s">
        <v>320</v>
      </c>
      <c r="E342" s="155" t="s">
        <v>518</v>
      </c>
      <c r="F342" s="155" t="s">
        <v>519</v>
      </c>
      <c r="G342" s="155" t="s">
        <v>520</v>
      </c>
      <c r="H342" s="155" t="s">
        <v>521</v>
      </c>
    </row>
    <row r="343" spans="1:8" ht="14" x14ac:dyDescent="0.3">
      <c r="A343" s="157"/>
      <c r="B343" s="90"/>
      <c r="C343" s="90"/>
      <c r="D343" s="90"/>
      <c r="E343" s="90"/>
      <c r="F343" s="90"/>
      <c r="G343" s="90"/>
      <c r="H343" s="90"/>
    </row>
    <row r="344" spans="1:8" ht="15.5" x14ac:dyDescent="0.35">
      <c r="A344" s="123" t="s">
        <v>636</v>
      </c>
      <c r="B344" s="90"/>
      <c r="C344" s="90"/>
      <c r="D344" s="90"/>
      <c r="E344" s="90"/>
      <c r="F344" s="90"/>
      <c r="G344" s="90"/>
      <c r="H344" s="90"/>
    </row>
    <row r="345" spans="1:8" x14ac:dyDescent="0.3">
      <c r="A345" s="1" t="s">
        <v>530</v>
      </c>
      <c r="B345" s="90" t="s">
        <v>637</v>
      </c>
      <c r="C345" s="90"/>
      <c r="D345" s="143">
        <f>D30/SO2_MolWt*'Input &amp; Calculation Summary'!C70</f>
        <v>1.5128124278052164</v>
      </c>
      <c r="E345" s="143">
        <f>E30/SO2_MolWt*'Input &amp; Calculation Summary'!D70</f>
        <v>20.868512231489401</v>
      </c>
      <c r="F345" s="143">
        <f>F30/SO2_MolWt*'Input &amp; Calculation Summary'!E70</f>
        <v>10.990749775251082</v>
      </c>
      <c r="G345" s="143">
        <f>G30/SO2_MolWt*'Input &amp; Calculation Summary'!F70</f>
        <v>3.0607151272851119</v>
      </c>
      <c r="H345" s="143">
        <f>H30/SO2_MolWt*'Input &amp; Calculation Summary'!G70</f>
        <v>3.0607151272851119</v>
      </c>
    </row>
    <row r="346" spans="1:8" x14ac:dyDescent="0.3">
      <c r="A346" s="1" t="s">
        <v>566</v>
      </c>
      <c r="B346" s="90" t="s">
        <v>637</v>
      </c>
      <c r="C346" s="90"/>
      <c r="D346" s="143">
        <f>D345</f>
        <v>1.5128124278052164</v>
      </c>
      <c r="E346" s="143">
        <f>E345</f>
        <v>20.868512231489401</v>
      </c>
      <c r="F346" s="143">
        <f>F345</f>
        <v>10.990749775251082</v>
      </c>
      <c r="G346" s="143">
        <f>G345</f>
        <v>3.0607151272851119</v>
      </c>
      <c r="H346" s="143">
        <f>H345</f>
        <v>3.0607151272851119</v>
      </c>
    </row>
    <row r="347" spans="1:8" x14ac:dyDescent="0.3">
      <c r="A347" s="1" t="s">
        <v>534</v>
      </c>
      <c r="B347" s="90" t="s">
        <v>637</v>
      </c>
      <c r="C347" s="90"/>
      <c r="D347" s="143">
        <f>D345*0.5</f>
        <v>0.7564062139026082</v>
      </c>
      <c r="E347" s="143">
        <f>E345*0.5</f>
        <v>10.4342561157447</v>
      </c>
      <c r="F347" s="143">
        <f>F345*0.5</f>
        <v>5.495374887625541</v>
      </c>
      <c r="G347" s="143">
        <f>G345*0.5</f>
        <v>1.5303575636425559</v>
      </c>
      <c r="H347" s="143">
        <f>H345*0.5</f>
        <v>1.5303575636425559</v>
      </c>
    </row>
    <row r="348" spans="1:8" x14ac:dyDescent="0.3">
      <c r="A348" s="1" t="s">
        <v>571</v>
      </c>
      <c r="B348" s="90" t="s">
        <v>637</v>
      </c>
      <c r="C348" s="90"/>
      <c r="D348" s="143">
        <f>D345</f>
        <v>1.5128124278052164</v>
      </c>
      <c r="E348" s="143">
        <f>E345</f>
        <v>20.868512231489401</v>
      </c>
      <c r="F348" s="143">
        <f>F345</f>
        <v>10.990749775251082</v>
      </c>
      <c r="G348" s="143">
        <f>G345</f>
        <v>3.0607151272851119</v>
      </c>
      <c r="H348" s="143">
        <f>H345</f>
        <v>3.0607151272851119</v>
      </c>
    </row>
    <row r="349" spans="1:8" x14ac:dyDescent="0.3">
      <c r="A349" s="1" t="s">
        <v>528</v>
      </c>
      <c r="B349" s="90" t="s">
        <v>637</v>
      </c>
      <c r="C349" s="90"/>
      <c r="D349" s="143">
        <f>D345</f>
        <v>1.5128124278052164</v>
      </c>
      <c r="E349" s="143">
        <f>E345</f>
        <v>20.868512231489401</v>
      </c>
      <c r="F349" s="143">
        <f>F345</f>
        <v>10.990749775251082</v>
      </c>
      <c r="G349" s="143">
        <f>G345</f>
        <v>3.0607151272851119</v>
      </c>
      <c r="H349" s="143">
        <f>H345</f>
        <v>3.0607151272851119</v>
      </c>
    </row>
    <row r="350" spans="1:8" x14ac:dyDescent="0.3">
      <c r="A350" s="1" t="s">
        <v>530</v>
      </c>
      <c r="B350" s="90" t="s">
        <v>327</v>
      </c>
      <c r="C350" s="90"/>
      <c r="D350" s="108">
        <f>D345*SO2_MolWt</f>
        <v>96.915000000000006</v>
      </c>
      <c r="E350" s="108">
        <f>E345*SO2_MolWt</f>
        <v>1336.8953253834591</v>
      </c>
      <c r="F350" s="108">
        <f>F345*SO2_MolWt</f>
        <v>704.09820470195496</v>
      </c>
      <c r="G350" s="108">
        <f>G345*SO2_MolWt</f>
        <v>196.07798105624065</v>
      </c>
      <c r="H350" s="108">
        <f>H345*SO2_MolWt</f>
        <v>196.07798105624065</v>
      </c>
    </row>
    <row r="351" spans="1:8" x14ac:dyDescent="0.3">
      <c r="A351" s="1" t="s">
        <v>566</v>
      </c>
      <c r="B351" s="90" t="s">
        <v>327</v>
      </c>
      <c r="C351" s="90"/>
      <c r="D351" s="108">
        <f>D346*CaCO3_MolWt</f>
        <v>151.41648821156741</v>
      </c>
      <c r="E351" s="108">
        <f>E346*CaCO3_MolWt</f>
        <v>2088.716868142435</v>
      </c>
      <c r="F351" s="108">
        <f>F346*CaCO3_MolWt</f>
        <v>1100.0575505550157</v>
      </c>
      <c r="G351" s="108">
        <f>G346*CaCO3_MolWt</f>
        <v>306.34514066089048</v>
      </c>
      <c r="H351" s="108">
        <f>H346*CaCO3_MolWt</f>
        <v>306.34514066089048</v>
      </c>
    </row>
    <row r="352" spans="1:8" x14ac:dyDescent="0.3">
      <c r="A352" s="1" t="s">
        <v>534</v>
      </c>
      <c r="B352" s="90" t="s">
        <v>327</v>
      </c>
      <c r="C352" s="90"/>
      <c r="D352" s="108">
        <f>D347*H2O_MolWt</f>
        <v>13.626915121568212</v>
      </c>
      <c r="E352" s="108">
        <f>E347*H2O_MolWt</f>
        <v>187.97667157222011</v>
      </c>
      <c r="F352" s="108">
        <f>F347*H2O_MolWt</f>
        <v>99.001047028035899</v>
      </c>
      <c r="G352" s="108">
        <f>G347*H2O_MolWt</f>
        <v>27.569911830592282</v>
      </c>
      <c r="H352" s="108">
        <f>H347*H2O_MolWt</f>
        <v>27.569911830592282</v>
      </c>
    </row>
    <row r="353" spans="1:8" x14ac:dyDescent="0.3">
      <c r="A353" s="1" t="s">
        <v>571</v>
      </c>
      <c r="B353" s="90" t="s">
        <v>327</v>
      </c>
      <c r="C353" s="90"/>
      <c r="D353" s="108">
        <f>D348*CaSO3halfH2O_MolWt</f>
        <v>195.37957376980091</v>
      </c>
      <c r="E353" s="108">
        <f>E348*CaSO3halfH2O_MolWt</f>
        <v>2695.1662678456332</v>
      </c>
      <c r="F353" s="108">
        <f>F348*CaSO3halfH2O_MolWt</f>
        <v>1419.4542343986998</v>
      </c>
      <c r="G353" s="108">
        <f>G348*CaSO3halfH2O_MolWt</f>
        <v>395.29105261735947</v>
      </c>
      <c r="H353" s="108">
        <f>H348*CaSO3halfH2O_MolWt</f>
        <v>395.29105261735947</v>
      </c>
    </row>
    <row r="354" spans="1:8" x14ac:dyDescent="0.3">
      <c r="A354" s="1" t="s">
        <v>528</v>
      </c>
      <c r="B354" s="90" t="s">
        <v>327</v>
      </c>
      <c r="C354" s="90"/>
      <c r="D354" s="108">
        <f>D349*CO2_MolWt</f>
        <v>66.578874947707575</v>
      </c>
      <c r="E354" s="108">
        <f>E349*CO2_MolWt</f>
        <v>918.4232233078485</v>
      </c>
      <c r="F354" s="108">
        <f>F349*CO2_MolWt</f>
        <v>483.70289760880013</v>
      </c>
      <c r="G354" s="108">
        <f>G349*CO2_MolWt</f>
        <v>134.70207275181778</v>
      </c>
      <c r="H354" s="108">
        <f>H349*CO2_MolWt</f>
        <v>134.70207275181778</v>
      </c>
    </row>
    <row r="355" spans="1:8" x14ac:dyDescent="0.3">
      <c r="B355" s="90"/>
      <c r="C355" s="90"/>
      <c r="D355" s="108"/>
      <c r="E355" s="108"/>
      <c r="F355" s="108"/>
      <c r="G355" s="108"/>
      <c r="H355" s="108"/>
    </row>
    <row r="356" spans="1:8" ht="15.5" x14ac:dyDescent="0.35">
      <c r="A356" s="123" t="s">
        <v>638</v>
      </c>
      <c r="B356" s="90"/>
      <c r="C356" s="90"/>
      <c r="D356" s="90"/>
      <c r="E356" s="90"/>
      <c r="F356" s="90"/>
      <c r="G356" s="90"/>
      <c r="H356" s="90"/>
    </row>
    <row r="357" spans="1:8" x14ac:dyDescent="0.3">
      <c r="A357" s="1" t="s">
        <v>571</v>
      </c>
      <c r="B357" s="90" t="s">
        <v>637</v>
      </c>
      <c r="C357" s="90"/>
      <c r="D357" s="143">
        <f>D348</f>
        <v>1.5128124278052164</v>
      </c>
      <c r="E357" s="143">
        <f>E348</f>
        <v>20.868512231489401</v>
      </c>
      <c r="F357" s="143">
        <f>F348</f>
        <v>10.990749775251082</v>
      </c>
      <c r="G357" s="143">
        <f>G348</f>
        <v>3.0607151272851119</v>
      </c>
      <c r="H357" s="143">
        <f>H348</f>
        <v>3.0607151272851119</v>
      </c>
    </row>
    <row r="358" spans="1:8" x14ac:dyDescent="0.3">
      <c r="A358" s="1" t="s">
        <v>531</v>
      </c>
      <c r="B358" s="90" t="s">
        <v>637</v>
      </c>
      <c r="C358" s="90"/>
      <c r="D358" s="143">
        <f>D357/2</f>
        <v>0.7564062139026082</v>
      </c>
      <c r="E358" s="143">
        <f>E357/2</f>
        <v>10.4342561157447</v>
      </c>
      <c r="F358" s="143">
        <f>F357/2</f>
        <v>5.495374887625541</v>
      </c>
      <c r="G358" s="143">
        <f>G357/2</f>
        <v>1.5303575636425559</v>
      </c>
      <c r="H358" s="143">
        <f>H357/2</f>
        <v>1.5303575636425559</v>
      </c>
    </row>
    <row r="359" spans="1:8" x14ac:dyDescent="0.3">
      <c r="A359" s="1" t="s">
        <v>534</v>
      </c>
      <c r="B359" s="90" t="s">
        <v>637</v>
      </c>
      <c r="C359" s="90"/>
      <c r="D359" s="143">
        <f>D357*1.5</f>
        <v>2.2692186417078246</v>
      </c>
      <c r="E359" s="143">
        <f>E357*1.5</f>
        <v>31.3027683472341</v>
      </c>
      <c r="F359" s="143">
        <f>F357*1.5</f>
        <v>16.486124662876623</v>
      </c>
      <c r="G359" s="143">
        <f>G357*1.5</f>
        <v>4.5910726909276676</v>
      </c>
      <c r="H359" s="143">
        <f>H357*1.5</f>
        <v>4.5910726909276676</v>
      </c>
    </row>
    <row r="360" spans="1:8" x14ac:dyDescent="0.3">
      <c r="A360" s="1" t="s">
        <v>572</v>
      </c>
      <c r="B360" s="90" t="s">
        <v>637</v>
      </c>
      <c r="C360" s="90"/>
      <c r="D360" s="143">
        <f>D357</f>
        <v>1.5128124278052164</v>
      </c>
      <c r="E360" s="143">
        <f>E357</f>
        <v>20.868512231489401</v>
      </c>
      <c r="F360" s="143">
        <f>F357</f>
        <v>10.990749775251082</v>
      </c>
      <c r="G360" s="143">
        <f>G357</f>
        <v>3.0607151272851119</v>
      </c>
      <c r="H360" s="143">
        <f>H357</f>
        <v>3.0607151272851119</v>
      </c>
    </row>
    <row r="361" spans="1:8" x14ac:dyDescent="0.3">
      <c r="A361" s="1" t="s">
        <v>571</v>
      </c>
      <c r="B361" s="90" t="s">
        <v>327</v>
      </c>
      <c r="C361" s="90"/>
      <c r="D361" s="108">
        <f>D357*CaSO3halfH2O_MolWt</f>
        <v>195.37957376980091</v>
      </c>
      <c r="E361" s="108">
        <f>E357*CaSO3halfH2O_MolWt</f>
        <v>2695.1662678456332</v>
      </c>
      <c r="F361" s="108">
        <f>F357*CaSO3halfH2O_MolWt</f>
        <v>1419.4542343986998</v>
      </c>
      <c r="G361" s="108">
        <f>G357*CaSO3halfH2O_MolWt</f>
        <v>395.29105261735947</v>
      </c>
      <c r="H361" s="108">
        <f>H357*CaSO3halfH2O_MolWt</f>
        <v>395.29105261735947</v>
      </c>
    </row>
    <row r="362" spans="1:8" x14ac:dyDescent="0.3">
      <c r="A362" s="1" t="s">
        <v>531</v>
      </c>
      <c r="B362" s="90" t="s">
        <v>327</v>
      </c>
      <c r="C362" s="90"/>
      <c r="D362" s="108">
        <f>D358*O2_MolWt</f>
        <v>24.204091157426777</v>
      </c>
      <c r="E362" s="108">
        <f>E358*O2_MolWt</f>
        <v>333.88367459649152</v>
      </c>
      <c r="F362" s="108">
        <f>F358*O2_MolWt</f>
        <v>175.84540195415215</v>
      </c>
      <c r="G362" s="108">
        <f>G358*O2_MolWt</f>
        <v>48.96960560748542</v>
      </c>
      <c r="H362" s="108">
        <f>H358*O2_MolWt</f>
        <v>48.96960560748542</v>
      </c>
    </row>
    <row r="363" spans="1:8" x14ac:dyDescent="0.3">
      <c r="A363" s="1" t="s">
        <v>534</v>
      </c>
      <c r="B363" s="90" t="s">
        <v>327</v>
      </c>
      <c r="C363" s="90"/>
      <c r="D363" s="108">
        <f>D359*H2O_MolWt</f>
        <v>40.880745364704637</v>
      </c>
      <c r="E363" s="108">
        <f>E359*H2O_MolWt</f>
        <v>563.93001471666037</v>
      </c>
      <c r="F363" s="108">
        <f>F359*H2O_MolWt</f>
        <v>297.00314108410771</v>
      </c>
      <c r="G363" s="108">
        <f>G359*H2O_MolWt</f>
        <v>82.70973549177684</v>
      </c>
      <c r="H363" s="108">
        <f>H359*H2O_MolWt</f>
        <v>82.70973549177684</v>
      </c>
    </row>
    <row r="364" spans="1:8" x14ac:dyDescent="0.3">
      <c r="A364" s="1" t="s">
        <v>572</v>
      </c>
      <c r="B364" s="90" t="s">
        <v>327</v>
      </c>
      <c r="C364" s="90"/>
      <c r="D364" s="108">
        <f>D360*CaSO4_2H2O_MolWt</f>
        <v>260.46439516380809</v>
      </c>
      <c r="E364" s="108">
        <f>E360*CaSO4_2H2O_MolWt</f>
        <v>3592.9797484736628</v>
      </c>
      <c r="F364" s="108">
        <f>F360*CaSO4_2H2O_MolWt</f>
        <v>1892.302667529462</v>
      </c>
      <c r="G364" s="108">
        <f>G360*CaSO4_2H2O_MolWt</f>
        <v>526.97036310947044</v>
      </c>
      <c r="H364" s="108">
        <f>H360*CaSO4_2H2O_MolWt</f>
        <v>526.97036310947044</v>
      </c>
    </row>
    <row r="365" spans="1:8" x14ac:dyDescent="0.3">
      <c r="B365" s="90"/>
      <c r="C365" s="90"/>
      <c r="D365" s="108"/>
      <c r="E365" s="108"/>
      <c r="F365" s="108"/>
      <c r="G365" s="108"/>
      <c r="H365" s="108"/>
    </row>
    <row r="366" spans="1:8" ht="15.5" x14ac:dyDescent="0.35">
      <c r="A366" s="123" t="s">
        <v>639</v>
      </c>
      <c r="B366" s="90"/>
      <c r="C366" s="90"/>
      <c r="D366" s="90"/>
      <c r="E366" s="90"/>
      <c r="F366" s="90"/>
      <c r="G366" s="90"/>
      <c r="H366" s="90"/>
    </row>
    <row r="367" spans="1:8" x14ac:dyDescent="0.3">
      <c r="A367" s="1" t="s">
        <v>640</v>
      </c>
      <c r="B367" s="90" t="s">
        <v>45</v>
      </c>
      <c r="C367" s="90"/>
      <c r="D367" s="144">
        <f>VLOOKUP('Input &amp; Calculation Summary'!C74,Constants_CC!$B$168:$C$193,2)/('Input &amp; Calculation Summary'!C32+((D40-1)/inH2O_inHg))</f>
        <v>0.13885960302488695</v>
      </c>
      <c r="E367" s="144">
        <f>VLOOKUP('Input &amp; Calculation Summary'!D74,Constants_CC!$B$168:$C$193,2)/('Input &amp; Calculation Summary'!D32+((E40-1)/inH2O_inHg))</f>
        <v>0.13885960302488695</v>
      </c>
      <c r="F367" s="144">
        <f>VLOOKUP('Input &amp; Calculation Summary'!E74,Constants_CC!$B$168:$C$193,2)/('Input &amp; Calculation Summary'!E32+((F40-1)/inH2O_inHg))</f>
        <v>0.13885960302488695</v>
      </c>
      <c r="G367" s="144">
        <f>VLOOKUP('Input &amp; Calculation Summary'!F74,Constants_CC!$B$168:$C$193,2)/('Input &amp; Calculation Summary'!F32+((G40-1)/inH2O_inHg))</f>
        <v>0.13885960302488695</v>
      </c>
      <c r="H367" s="144">
        <f>VLOOKUP('Input &amp; Calculation Summary'!G74,Constants_CC!$B$168:$C$193,2)/('Input &amp; Calculation Summary'!G32+((H40-1)/inH2O_inHg))</f>
        <v>0.13885960302488695</v>
      </c>
    </row>
    <row r="368" spans="1:8" x14ac:dyDescent="0.3">
      <c r="A368" s="1" t="s">
        <v>641</v>
      </c>
      <c r="B368" s="90" t="s">
        <v>642</v>
      </c>
      <c r="C368" s="90"/>
      <c r="D368" s="143">
        <f>D367*(D43/CO2_MolWt+D44/N2_MolWt+D45/SO2_MolWt+D46/O2_MolWt+D48/38.0056)/(1-D367)</f>
        <v>4693.332899271154</v>
      </c>
      <c r="E368" s="143">
        <f>E367*(E43/CO2_MolWt+E44/N2_MolWt+E45/SO2_MolWt+E46/O2_MolWt+E48/38.0056)/(1-E367)</f>
        <v>16763.230823355017</v>
      </c>
      <c r="F368" s="143">
        <f>F367*(F43/CO2_MolWt+F44/N2_MolWt+F45/SO2_MolWt+F46/O2_MolWt+F48/38.0056)/(1-F367)</f>
        <v>8828.634900300307</v>
      </c>
      <c r="G368" s="143">
        <f>G367*(G43/CO2_MolWt+G44/N2_MolWt+G45/SO2_MolWt+G46/O2_MolWt+G48/38.0056)/(1-G367)</f>
        <v>2458.607187425403</v>
      </c>
      <c r="H368" s="143">
        <f>H367*(H43/CO2_MolWt+H44/N2_MolWt+H45/SO2_MolWt+H46/O2_MolWt+H48/38.0056)/(1-H367)</f>
        <v>2458.607187425403</v>
      </c>
    </row>
    <row r="369" spans="1:8" x14ac:dyDescent="0.3">
      <c r="B369" s="90"/>
      <c r="C369" s="90"/>
      <c r="D369" s="90"/>
      <c r="E369" s="90"/>
      <c r="F369" s="90"/>
      <c r="G369" s="90"/>
      <c r="H369" s="90"/>
    </row>
    <row r="370" spans="1:8" ht="15.5" x14ac:dyDescent="0.35">
      <c r="A370" s="123" t="s">
        <v>643</v>
      </c>
      <c r="B370" s="90"/>
      <c r="C370" s="90"/>
      <c r="D370" s="90"/>
      <c r="E370" s="90"/>
      <c r="F370" s="90"/>
      <c r="G370" s="90"/>
      <c r="H370" s="90"/>
    </row>
    <row r="371" spans="1:8" x14ac:dyDescent="0.3">
      <c r="A371" s="1" t="s">
        <v>644</v>
      </c>
      <c r="B371" s="90" t="s">
        <v>611</v>
      </c>
      <c r="C371" s="90"/>
      <c r="D371" s="108">
        <f>D45-D60</f>
        <v>96.915000000000006</v>
      </c>
      <c r="E371" s="108">
        <f>E45-E60</f>
        <v>1336.8953253834591</v>
      </c>
      <c r="F371" s="108">
        <f>F45-F60</f>
        <v>704.09820470195496</v>
      </c>
      <c r="G371" s="108">
        <f>G45-G60</f>
        <v>196.07798105624065</v>
      </c>
      <c r="H371" s="108">
        <f>H45-H60</f>
        <v>196.07798105624065</v>
      </c>
    </row>
    <row r="372" spans="1:8" x14ac:dyDescent="0.3">
      <c r="A372" s="1" t="s">
        <v>645</v>
      </c>
      <c r="B372" s="90" t="s">
        <v>611</v>
      </c>
      <c r="C372" s="90"/>
      <c r="D372" s="143">
        <f>(IF('Input &amp; Calculation Summary'!C72=2,0,(D371/2000*20)))</f>
        <v>0</v>
      </c>
      <c r="E372" s="143">
        <f>(IF('Input &amp; Calculation Summary'!D72=2,0,(E371/2000*20)))</f>
        <v>13.36895325383459</v>
      </c>
      <c r="F372" s="143">
        <f>(IF('Input &amp; Calculation Summary'!E72=2,0,(F371/2000*20)))</f>
        <v>7.0409820470195497</v>
      </c>
      <c r="G372" s="143">
        <f>(IF('Input &amp; Calculation Summary'!F72=2,0,(G371/2000*20)))</f>
        <v>1.9607798105624064</v>
      </c>
      <c r="H372" s="143">
        <f>(IF('Input &amp; Calculation Summary'!G72=2,0,(H371/2000*20)))</f>
        <v>1.9607798105624064</v>
      </c>
    </row>
    <row r="373" spans="1:8" x14ac:dyDescent="0.3">
      <c r="A373" s="1" t="s">
        <v>645</v>
      </c>
      <c r="B373" s="90" t="s">
        <v>568</v>
      </c>
      <c r="C373" s="90"/>
      <c r="D373" s="143">
        <f>D372/(8.34*(1+0.5))/60</f>
        <v>0</v>
      </c>
      <c r="E373" s="143">
        <f>E372/(8.34*(1+0.5))/60</f>
        <v>1.7811022187362899E-2</v>
      </c>
      <c r="F373" s="143">
        <f>F372/(8.34*(1+0.5))/60</f>
        <v>9.3804716853444561E-3</v>
      </c>
      <c r="G373" s="143">
        <f>G372/(8.34*(1+0.5))/60</f>
        <v>2.6122832541465579E-3</v>
      </c>
      <c r="H373" s="143">
        <f>H372/(8.34*(1+0.5))/60</f>
        <v>2.6122832541465579E-3</v>
      </c>
    </row>
    <row r="374" spans="1:8" x14ac:dyDescent="0.3">
      <c r="B374" s="90"/>
      <c r="C374" s="90"/>
      <c r="D374" s="90"/>
      <c r="E374" s="90"/>
      <c r="F374" s="90"/>
      <c r="G374" s="90"/>
      <c r="H374" s="90"/>
    </row>
    <row r="375" spans="1:8" x14ac:dyDescent="0.3">
      <c r="B375" s="90"/>
      <c r="C375" s="90"/>
      <c r="D375" s="90"/>
      <c r="E375" s="90"/>
      <c r="F375" s="90"/>
      <c r="G375" s="90"/>
      <c r="H375" s="90"/>
    </row>
    <row r="376" spans="1:8" x14ac:dyDescent="0.3">
      <c r="B376" s="90"/>
      <c r="C376" s="90"/>
      <c r="D376" s="90"/>
      <c r="E376" s="90"/>
      <c r="F376" s="90"/>
      <c r="G376" s="90"/>
      <c r="H376" s="90"/>
    </row>
    <row r="377" spans="1:8" x14ac:dyDescent="0.3">
      <c r="B377" s="90"/>
      <c r="C377" s="90"/>
      <c r="D377" s="90"/>
      <c r="E377" s="90"/>
      <c r="F377" s="90"/>
      <c r="G377" s="90"/>
      <c r="H377" s="90"/>
    </row>
    <row r="378" spans="1:8" x14ac:dyDescent="0.3">
      <c r="B378" s="90"/>
      <c r="C378" s="90"/>
      <c r="D378" s="90"/>
      <c r="E378" s="90"/>
      <c r="F378" s="90"/>
      <c r="G378" s="90"/>
      <c r="H378" s="90"/>
    </row>
    <row r="379" spans="1:8" x14ac:dyDescent="0.3">
      <c r="B379" s="90"/>
      <c r="C379" s="90"/>
      <c r="D379" s="90"/>
      <c r="E379" s="90"/>
      <c r="F379" s="90"/>
      <c r="G379" s="90"/>
      <c r="H379" s="90"/>
    </row>
    <row r="380" spans="1:8" x14ac:dyDescent="0.3">
      <c r="B380" s="90"/>
      <c r="C380" s="90"/>
      <c r="D380" s="90"/>
      <c r="E380" s="90"/>
      <c r="F380" s="90"/>
      <c r="G380" s="90"/>
      <c r="H380" s="90"/>
    </row>
    <row r="381" spans="1:8" x14ac:dyDescent="0.3">
      <c r="B381" s="90"/>
      <c r="C381" s="90"/>
      <c r="D381" s="90"/>
      <c r="E381" s="90"/>
      <c r="F381" s="90"/>
      <c r="G381" s="90"/>
      <c r="H381" s="90"/>
    </row>
    <row r="382" spans="1:8" x14ac:dyDescent="0.3">
      <c r="B382" s="90"/>
      <c r="C382" s="90"/>
      <c r="D382" s="90"/>
      <c r="E382" s="90"/>
      <c r="F382" s="90"/>
      <c r="G382" s="90"/>
      <c r="H382" s="90"/>
    </row>
    <row r="383" spans="1:8" x14ac:dyDescent="0.3">
      <c r="B383" s="90"/>
      <c r="C383" s="90"/>
      <c r="D383" s="90"/>
      <c r="E383" s="90"/>
      <c r="F383" s="90"/>
      <c r="G383" s="90"/>
      <c r="H383" s="90"/>
    </row>
    <row r="384" spans="1:8" x14ac:dyDescent="0.3">
      <c r="B384" s="90"/>
      <c r="C384" s="90"/>
      <c r="D384" s="90"/>
      <c r="E384" s="90"/>
      <c r="F384" s="90"/>
      <c r="G384" s="90"/>
      <c r="H384" s="90"/>
    </row>
    <row r="385" spans="2:8" x14ac:dyDescent="0.3">
      <c r="B385" s="90"/>
      <c r="C385" s="90"/>
      <c r="D385" s="90"/>
      <c r="E385" s="90"/>
      <c r="F385" s="90"/>
      <c r="G385" s="90"/>
      <c r="H385" s="90"/>
    </row>
    <row r="386" spans="2:8" x14ac:dyDescent="0.3">
      <c r="B386" s="90"/>
      <c r="C386" s="90"/>
      <c r="D386" s="90"/>
      <c r="E386" s="90"/>
      <c r="F386" s="90"/>
      <c r="G386" s="90"/>
      <c r="H386" s="90"/>
    </row>
    <row r="387" spans="2:8" x14ac:dyDescent="0.3">
      <c r="B387" s="90"/>
      <c r="C387" s="90"/>
      <c r="D387" s="90"/>
      <c r="E387" s="90"/>
      <c r="F387" s="90"/>
      <c r="G387" s="90"/>
      <c r="H387" s="90"/>
    </row>
    <row r="388" spans="2:8" x14ac:dyDescent="0.3">
      <c r="B388" s="90"/>
      <c r="C388" s="90"/>
      <c r="D388" s="90"/>
      <c r="E388" s="90"/>
      <c r="F388" s="90"/>
      <c r="G388" s="90"/>
      <c r="H388" s="90"/>
    </row>
    <row r="389" spans="2:8" x14ac:dyDescent="0.3">
      <c r="B389" s="90"/>
      <c r="C389" s="90"/>
      <c r="D389" s="90"/>
      <c r="E389" s="90"/>
      <c r="F389" s="90"/>
      <c r="G389" s="90"/>
      <c r="H389" s="90"/>
    </row>
    <row r="390" spans="2:8" x14ac:dyDescent="0.3">
      <c r="B390" s="90"/>
      <c r="C390" s="90"/>
      <c r="D390" s="90"/>
      <c r="E390" s="90"/>
      <c r="F390" s="90"/>
      <c r="G390" s="90"/>
      <c r="H390" s="90"/>
    </row>
    <row r="391" spans="2:8" x14ac:dyDescent="0.3">
      <c r="B391" s="90"/>
      <c r="C391" s="90"/>
      <c r="D391" s="90"/>
      <c r="E391" s="90"/>
      <c r="F391" s="90"/>
      <c r="G391" s="90"/>
      <c r="H391" s="90"/>
    </row>
    <row r="392" spans="2:8" x14ac:dyDescent="0.3">
      <c r="B392" s="90"/>
      <c r="C392" s="90"/>
      <c r="D392" s="90"/>
      <c r="E392" s="90"/>
      <c r="F392" s="90"/>
      <c r="G392" s="90"/>
      <c r="H392" s="90"/>
    </row>
    <row r="393" spans="2:8" x14ac:dyDescent="0.3">
      <c r="B393" s="90"/>
      <c r="C393" s="90"/>
      <c r="D393" s="90"/>
      <c r="E393" s="90"/>
      <c r="F393" s="90"/>
      <c r="G393" s="90"/>
      <c r="H393" s="90"/>
    </row>
    <row r="394" spans="2:8" x14ac:dyDescent="0.3">
      <c r="B394" s="90"/>
      <c r="C394" s="90"/>
      <c r="D394" s="90"/>
      <c r="E394" s="90"/>
      <c r="F394" s="90"/>
      <c r="G394" s="90"/>
      <c r="H394" s="90"/>
    </row>
    <row r="395" spans="2:8" x14ac:dyDescent="0.3">
      <c r="B395" s="90"/>
      <c r="C395" s="90"/>
      <c r="D395" s="90"/>
      <c r="E395" s="90"/>
      <c r="F395" s="90"/>
      <c r="G395" s="90"/>
      <c r="H395" s="90"/>
    </row>
    <row r="396" spans="2:8" x14ac:dyDescent="0.3">
      <c r="B396" s="90"/>
      <c r="C396" s="90"/>
      <c r="D396" s="90"/>
      <c r="E396" s="90"/>
      <c r="F396" s="90"/>
      <c r="G396" s="90"/>
      <c r="H396" s="90"/>
    </row>
    <row r="397" spans="2:8" x14ac:dyDescent="0.3">
      <c r="B397" s="90"/>
      <c r="C397" s="90"/>
      <c r="D397" s="90"/>
      <c r="E397" s="90"/>
      <c r="F397" s="90"/>
      <c r="G397" s="90"/>
      <c r="H397" s="90"/>
    </row>
    <row r="398" spans="2:8" x14ac:dyDescent="0.3">
      <c r="B398" s="90"/>
      <c r="C398" s="90"/>
      <c r="D398" s="90"/>
      <c r="E398" s="90"/>
      <c r="F398" s="90"/>
      <c r="G398" s="90"/>
      <c r="H398" s="90"/>
    </row>
    <row r="399" spans="2:8" x14ac:dyDescent="0.3">
      <c r="B399" s="90"/>
      <c r="C399" s="90"/>
      <c r="D399" s="90"/>
      <c r="E399" s="90"/>
      <c r="F399" s="90"/>
      <c r="G399" s="90"/>
      <c r="H399" s="90"/>
    </row>
    <row r="400" spans="2:8" x14ac:dyDescent="0.3">
      <c r="B400" s="90"/>
      <c r="C400" s="90"/>
      <c r="D400" s="90"/>
      <c r="E400" s="90"/>
      <c r="F400" s="90"/>
      <c r="G400" s="90"/>
      <c r="H400" s="90"/>
    </row>
    <row r="401" spans="2:8" x14ac:dyDescent="0.3">
      <c r="B401" s="90"/>
      <c r="C401" s="90"/>
      <c r="D401" s="90"/>
      <c r="E401" s="90"/>
      <c r="F401" s="90"/>
      <c r="G401" s="90"/>
      <c r="H401" s="90"/>
    </row>
    <row r="402" spans="2:8" x14ac:dyDescent="0.3">
      <c r="B402" s="90"/>
      <c r="C402" s="90"/>
      <c r="D402" s="90"/>
      <c r="E402" s="90"/>
      <c r="F402" s="90"/>
      <c r="G402" s="90"/>
      <c r="H402" s="90"/>
    </row>
    <row r="403" spans="2:8" x14ac:dyDescent="0.3">
      <c r="B403" s="90"/>
      <c r="C403" s="90"/>
      <c r="D403" s="90"/>
      <c r="E403" s="90"/>
      <c r="F403" s="90"/>
      <c r="G403" s="90"/>
      <c r="H403" s="90"/>
    </row>
    <row r="404" spans="2:8" x14ac:dyDescent="0.3">
      <c r="B404" s="90"/>
      <c r="C404" s="90"/>
      <c r="D404" s="90"/>
      <c r="E404" s="90"/>
      <c r="F404" s="90"/>
      <c r="G404" s="90"/>
      <c r="H404" s="90"/>
    </row>
    <row r="405" spans="2:8" x14ac:dyDescent="0.3">
      <c r="B405" s="90"/>
      <c r="C405" s="90"/>
      <c r="D405" s="90"/>
      <c r="E405" s="90"/>
      <c r="F405" s="90"/>
      <c r="G405" s="90"/>
      <c r="H405" s="90"/>
    </row>
    <row r="406" spans="2:8" x14ac:dyDescent="0.3">
      <c r="B406" s="90"/>
      <c r="C406" s="90"/>
      <c r="D406" s="90"/>
      <c r="E406" s="90"/>
      <c r="F406" s="90"/>
      <c r="G406" s="90"/>
      <c r="H406" s="90"/>
    </row>
    <row r="407" spans="2:8" x14ac:dyDescent="0.3">
      <c r="B407" s="90"/>
      <c r="C407" s="90"/>
      <c r="D407" s="90"/>
      <c r="E407" s="90"/>
      <c r="F407" s="90"/>
      <c r="G407" s="90"/>
      <c r="H407" s="90"/>
    </row>
    <row r="408" spans="2:8" x14ac:dyDescent="0.3">
      <c r="B408" s="90"/>
      <c r="C408" s="90"/>
      <c r="D408" s="90"/>
      <c r="E408" s="90"/>
      <c r="F408" s="90"/>
      <c r="G408" s="90"/>
      <c r="H408" s="90"/>
    </row>
    <row r="409" spans="2:8" x14ac:dyDescent="0.3">
      <c r="B409" s="90"/>
      <c r="C409" s="90"/>
      <c r="D409" s="90"/>
      <c r="E409" s="90"/>
      <c r="F409" s="90"/>
      <c r="G409" s="90"/>
      <c r="H409" s="90"/>
    </row>
    <row r="410" spans="2:8" x14ac:dyDescent="0.3">
      <c r="B410" s="90"/>
      <c r="C410" s="90"/>
      <c r="D410" s="90"/>
      <c r="E410" s="90"/>
      <c r="F410" s="90"/>
      <c r="G410" s="90"/>
      <c r="H410" s="90"/>
    </row>
    <row r="411" spans="2:8" x14ac:dyDescent="0.3">
      <c r="B411" s="90"/>
      <c r="C411" s="90"/>
      <c r="D411" s="90"/>
      <c r="E411" s="90"/>
      <c r="F411" s="90"/>
      <c r="G411" s="90"/>
      <c r="H411" s="90"/>
    </row>
    <row r="412" spans="2:8" x14ac:dyDescent="0.3">
      <c r="B412" s="90"/>
      <c r="C412" s="90"/>
      <c r="D412" s="90"/>
      <c r="E412" s="90"/>
      <c r="F412" s="90"/>
      <c r="G412" s="90"/>
      <c r="H412" s="90"/>
    </row>
    <row r="413" spans="2:8" x14ac:dyDescent="0.3">
      <c r="B413" s="90"/>
      <c r="C413" s="90"/>
      <c r="D413" s="90"/>
      <c r="E413" s="90"/>
      <c r="F413" s="90"/>
      <c r="G413" s="90"/>
      <c r="H413" s="90"/>
    </row>
    <row r="414" spans="2:8" x14ac:dyDescent="0.3">
      <c r="B414" s="90"/>
      <c r="C414" s="90"/>
      <c r="D414" s="90"/>
      <c r="E414" s="90"/>
      <c r="F414" s="90"/>
      <c r="G414" s="90"/>
      <c r="H414" s="90"/>
    </row>
    <row r="415" spans="2:8" x14ac:dyDescent="0.3">
      <c r="B415" s="90"/>
      <c r="C415" s="90"/>
      <c r="D415" s="90"/>
      <c r="E415" s="90"/>
      <c r="F415" s="90"/>
      <c r="G415" s="90"/>
      <c r="H415" s="90"/>
    </row>
    <row r="416" spans="2:8" x14ac:dyDescent="0.3">
      <c r="B416" s="90"/>
      <c r="C416" s="90"/>
      <c r="D416" s="90"/>
      <c r="E416" s="90"/>
      <c r="F416" s="90"/>
      <c r="G416" s="90"/>
      <c r="H416" s="90"/>
    </row>
    <row r="417" spans="2:8" x14ac:dyDescent="0.3">
      <c r="B417" s="90"/>
      <c r="C417" s="90"/>
      <c r="D417" s="90"/>
      <c r="E417" s="90"/>
      <c r="F417" s="90"/>
      <c r="G417" s="90"/>
      <c r="H417" s="90"/>
    </row>
    <row r="418" spans="2:8" x14ac:dyDescent="0.3">
      <c r="B418" s="90"/>
      <c r="C418" s="90"/>
      <c r="D418" s="90"/>
      <c r="E418" s="90"/>
      <c r="F418" s="90"/>
      <c r="G418" s="90"/>
      <c r="H418" s="90"/>
    </row>
    <row r="419" spans="2:8" x14ac:dyDescent="0.3">
      <c r="B419" s="90"/>
      <c r="C419" s="90"/>
      <c r="D419" s="90"/>
      <c r="E419" s="90"/>
      <c r="F419" s="90"/>
      <c r="G419" s="90"/>
      <c r="H419" s="90"/>
    </row>
    <row r="420" spans="2:8" x14ac:dyDescent="0.3">
      <c r="B420" s="90"/>
      <c r="C420" s="90"/>
      <c r="D420" s="90"/>
      <c r="E420" s="90"/>
      <c r="F420" s="90"/>
      <c r="G420" s="90"/>
      <c r="H420" s="90"/>
    </row>
    <row r="421" spans="2:8" x14ac:dyDescent="0.3">
      <c r="B421" s="90"/>
      <c r="C421" s="90"/>
      <c r="D421" s="90"/>
      <c r="E421" s="90"/>
      <c r="F421" s="90"/>
      <c r="G421" s="90"/>
      <c r="H421" s="90"/>
    </row>
    <row r="422" spans="2:8" x14ac:dyDescent="0.3">
      <c r="B422" s="90"/>
      <c r="C422" s="90"/>
      <c r="D422" s="90"/>
      <c r="E422" s="90"/>
      <c r="F422" s="90"/>
      <c r="G422" s="90"/>
      <c r="H422" s="90"/>
    </row>
    <row r="423" spans="2:8" x14ac:dyDescent="0.3">
      <c r="B423" s="90"/>
      <c r="C423" s="90"/>
      <c r="D423" s="90"/>
      <c r="E423" s="90"/>
      <c r="F423" s="90"/>
      <c r="G423" s="90"/>
      <c r="H423" s="90"/>
    </row>
    <row r="424" spans="2:8" x14ac:dyDescent="0.3">
      <c r="B424" s="90"/>
      <c r="C424" s="90"/>
      <c r="D424" s="90"/>
      <c r="E424" s="90"/>
      <c r="F424" s="90"/>
      <c r="G424" s="90"/>
      <c r="H424" s="90"/>
    </row>
    <row r="425" spans="2:8" x14ac:dyDescent="0.3">
      <c r="B425" s="90"/>
      <c r="C425" s="90"/>
      <c r="D425" s="90"/>
      <c r="E425" s="90"/>
      <c r="F425" s="90"/>
      <c r="G425" s="90"/>
      <c r="H425" s="90"/>
    </row>
    <row r="426" spans="2:8" x14ac:dyDescent="0.3">
      <c r="B426" s="90"/>
      <c r="C426" s="90"/>
      <c r="D426" s="90"/>
      <c r="E426" s="90"/>
      <c r="F426" s="90"/>
      <c r="G426" s="90"/>
      <c r="H426" s="90"/>
    </row>
    <row r="427" spans="2:8" x14ac:dyDescent="0.3">
      <c r="B427" s="90"/>
      <c r="C427" s="90"/>
      <c r="D427" s="90"/>
      <c r="E427" s="90"/>
      <c r="F427" s="90"/>
      <c r="G427" s="90"/>
      <c r="H427" s="90"/>
    </row>
    <row r="428" spans="2:8" x14ac:dyDescent="0.3">
      <c r="B428" s="90"/>
      <c r="C428" s="90"/>
      <c r="D428" s="90"/>
      <c r="E428" s="90"/>
      <c r="F428" s="90"/>
      <c r="G428" s="90"/>
      <c r="H428" s="90"/>
    </row>
    <row r="429" spans="2:8" x14ac:dyDescent="0.3">
      <c r="B429" s="90"/>
      <c r="C429" s="90"/>
      <c r="D429" s="90"/>
      <c r="E429" s="90"/>
      <c r="F429" s="90"/>
      <c r="G429" s="90"/>
      <c r="H429" s="90"/>
    </row>
    <row r="430" spans="2:8" x14ac:dyDescent="0.3">
      <c r="B430" s="90"/>
      <c r="C430" s="90"/>
      <c r="D430" s="90"/>
      <c r="E430" s="90"/>
      <c r="F430" s="90"/>
      <c r="G430" s="90"/>
      <c r="H430" s="90"/>
    </row>
    <row r="431" spans="2:8" x14ac:dyDescent="0.3">
      <c r="B431" s="90"/>
      <c r="C431" s="90"/>
      <c r="D431" s="90"/>
      <c r="E431" s="90"/>
      <c r="F431" s="90"/>
      <c r="G431" s="90"/>
      <c r="H431" s="90"/>
    </row>
    <row r="432" spans="2:8" x14ac:dyDescent="0.3">
      <c r="B432" s="90"/>
      <c r="C432" s="90"/>
      <c r="D432" s="90"/>
      <c r="E432" s="90"/>
      <c r="F432" s="90"/>
      <c r="G432" s="90"/>
      <c r="H432" s="90"/>
    </row>
    <row r="433" spans="2:8" x14ac:dyDescent="0.3">
      <c r="B433" s="90"/>
      <c r="C433" s="90"/>
      <c r="D433" s="90"/>
      <c r="E433" s="90"/>
      <c r="F433" s="90"/>
      <c r="G433" s="90"/>
      <c r="H433" s="90"/>
    </row>
    <row r="434" spans="2:8" x14ac:dyDescent="0.3">
      <c r="B434" s="90"/>
      <c r="C434" s="90"/>
      <c r="D434" s="90"/>
      <c r="E434" s="90"/>
      <c r="F434" s="90"/>
      <c r="G434" s="90"/>
      <c r="H434" s="90"/>
    </row>
    <row r="435" spans="2:8" x14ac:dyDescent="0.3">
      <c r="B435" s="90"/>
      <c r="C435" s="90"/>
      <c r="D435" s="90"/>
      <c r="E435" s="90"/>
      <c r="F435" s="90"/>
      <c r="G435" s="90"/>
      <c r="H435" s="90"/>
    </row>
    <row r="436" spans="2:8" x14ac:dyDescent="0.3">
      <c r="B436" s="90"/>
      <c r="C436" s="90"/>
      <c r="D436" s="90"/>
      <c r="E436" s="90"/>
      <c r="F436" s="90"/>
      <c r="G436" s="90"/>
      <c r="H436" s="90"/>
    </row>
    <row r="437" spans="2:8" x14ac:dyDescent="0.3">
      <c r="B437" s="90"/>
      <c r="C437" s="90"/>
      <c r="D437" s="90"/>
      <c r="E437" s="90"/>
      <c r="F437" s="90"/>
      <c r="G437" s="90"/>
      <c r="H437" s="90"/>
    </row>
    <row r="438" spans="2:8" x14ac:dyDescent="0.3">
      <c r="B438" s="90"/>
      <c r="C438" s="90"/>
      <c r="D438" s="90"/>
      <c r="E438" s="90"/>
      <c r="F438" s="90"/>
      <c r="G438" s="90"/>
      <c r="H438" s="90"/>
    </row>
    <row r="439" spans="2:8" x14ac:dyDescent="0.3">
      <c r="B439" s="90"/>
      <c r="C439" s="90"/>
      <c r="D439" s="90"/>
      <c r="E439" s="90"/>
      <c r="F439" s="90"/>
      <c r="G439" s="90"/>
      <c r="H439" s="90"/>
    </row>
    <row r="440" spans="2:8" x14ac:dyDescent="0.3">
      <c r="B440" s="90"/>
      <c r="C440" s="90"/>
      <c r="D440" s="90"/>
      <c r="E440" s="90"/>
      <c r="F440" s="90"/>
      <c r="G440" s="90"/>
      <c r="H440" s="90"/>
    </row>
    <row r="441" spans="2:8" x14ac:dyDescent="0.3">
      <c r="B441" s="90"/>
      <c r="C441" s="90"/>
      <c r="D441" s="90"/>
      <c r="E441" s="90"/>
      <c r="F441" s="90"/>
      <c r="G441" s="90"/>
      <c r="H441" s="90"/>
    </row>
    <row r="442" spans="2:8" x14ac:dyDescent="0.3">
      <c r="B442" s="90"/>
      <c r="C442" s="90"/>
      <c r="D442" s="90"/>
      <c r="E442" s="90"/>
      <c r="F442" s="90"/>
      <c r="G442" s="90"/>
      <c r="H442" s="90"/>
    </row>
    <row r="443" spans="2:8" x14ac:dyDescent="0.3">
      <c r="B443" s="90"/>
      <c r="C443" s="90"/>
      <c r="D443" s="90"/>
      <c r="E443" s="90"/>
      <c r="F443" s="90"/>
      <c r="G443" s="90"/>
      <c r="H443" s="90"/>
    </row>
    <row r="444" spans="2:8" x14ac:dyDescent="0.3">
      <c r="B444" s="90"/>
      <c r="C444" s="90"/>
      <c r="D444" s="90"/>
      <c r="E444" s="90"/>
      <c r="F444" s="90"/>
      <c r="G444" s="90"/>
      <c r="H444" s="90"/>
    </row>
    <row r="445" spans="2:8" x14ac:dyDescent="0.3">
      <c r="B445" s="90"/>
      <c r="C445" s="90"/>
      <c r="D445" s="90"/>
      <c r="E445" s="90"/>
      <c r="F445" s="90"/>
      <c r="G445" s="90"/>
      <c r="H445" s="90"/>
    </row>
    <row r="446" spans="2:8" x14ac:dyDescent="0.3">
      <c r="B446" s="90"/>
      <c r="C446" s="90"/>
      <c r="D446" s="90"/>
      <c r="E446" s="90"/>
      <c r="F446" s="90"/>
      <c r="G446" s="90"/>
      <c r="H446" s="90"/>
    </row>
    <row r="447" spans="2:8" x14ac:dyDescent="0.3">
      <c r="B447" s="90"/>
      <c r="C447" s="90"/>
      <c r="D447" s="90"/>
      <c r="E447" s="90"/>
      <c r="F447" s="90"/>
      <c r="G447" s="90"/>
      <c r="H447" s="90"/>
    </row>
    <row r="448" spans="2:8" x14ac:dyDescent="0.3">
      <c r="B448" s="90"/>
      <c r="C448" s="90"/>
      <c r="D448" s="90"/>
      <c r="E448" s="90"/>
      <c r="F448" s="90"/>
      <c r="G448" s="90"/>
      <c r="H448" s="90"/>
    </row>
    <row r="449" spans="2:8" x14ac:dyDescent="0.3">
      <c r="B449" s="90"/>
      <c r="C449" s="90"/>
      <c r="D449" s="90"/>
      <c r="E449" s="90"/>
      <c r="F449" s="90"/>
      <c r="G449" s="90"/>
      <c r="H449" s="90"/>
    </row>
    <row r="450" spans="2:8" x14ac:dyDescent="0.3">
      <c r="B450" s="90"/>
      <c r="C450" s="90"/>
      <c r="D450" s="90"/>
      <c r="E450" s="90"/>
      <c r="F450" s="90"/>
      <c r="G450" s="90"/>
      <c r="H450" s="90"/>
    </row>
    <row r="451" spans="2:8" x14ac:dyDescent="0.3">
      <c r="B451" s="90"/>
      <c r="C451" s="90"/>
      <c r="D451" s="90"/>
      <c r="E451" s="90"/>
      <c r="F451" s="90"/>
      <c r="G451" s="90"/>
      <c r="H451" s="90"/>
    </row>
    <row r="452" spans="2:8" x14ac:dyDescent="0.3">
      <c r="B452" s="90"/>
      <c r="C452" s="90"/>
      <c r="D452" s="90"/>
      <c r="E452" s="90"/>
      <c r="F452" s="90"/>
      <c r="G452" s="90"/>
      <c r="H452" s="90"/>
    </row>
    <row r="453" spans="2:8" x14ac:dyDescent="0.3">
      <c r="B453" s="90"/>
      <c r="C453" s="90"/>
      <c r="D453" s="90"/>
      <c r="E453" s="90"/>
      <c r="F453" s="90"/>
      <c r="G453" s="90"/>
      <c r="H453" s="90"/>
    </row>
    <row r="454" spans="2:8" x14ac:dyDescent="0.3">
      <c r="B454" s="90"/>
      <c r="C454" s="90"/>
      <c r="D454" s="90"/>
      <c r="E454" s="90"/>
      <c r="F454" s="90"/>
      <c r="G454" s="90"/>
      <c r="H454" s="90"/>
    </row>
    <row r="455" spans="2:8" x14ac:dyDescent="0.3">
      <c r="B455" s="90"/>
      <c r="C455" s="90"/>
      <c r="D455" s="90"/>
      <c r="E455" s="90"/>
      <c r="F455" s="90"/>
      <c r="G455" s="90"/>
      <c r="H455" s="90"/>
    </row>
    <row r="456" spans="2:8" x14ac:dyDescent="0.3">
      <c r="B456" s="90"/>
      <c r="C456" s="90"/>
      <c r="D456" s="90"/>
      <c r="E456" s="90"/>
      <c r="F456" s="90"/>
      <c r="G456" s="90"/>
      <c r="H456" s="90"/>
    </row>
    <row r="457" spans="2:8" x14ac:dyDescent="0.3">
      <c r="B457" s="90"/>
      <c r="C457" s="90"/>
      <c r="D457" s="90"/>
      <c r="E457" s="90"/>
      <c r="F457" s="90"/>
      <c r="G457" s="90"/>
      <c r="H457" s="90"/>
    </row>
    <row r="458" spans="2:8" x14ac:dyDescent="0.3">
      <c r="B458" s="90"/>
      <c r="C458" s="90"/>
      <c r="D458" s="90"/>
      <c r="E458" s="90"/>
      <c r="F458" s="90"/>
      <c r="G458" s="90"/>
      <c r="H458" s="90"/>
    </row>
    <row r="459" spans="2:8" x14ac:dyDescent="0.3">
      <c r="B459" s="90"/>
      <c r="C459" s="90"/>
      <c r="D459" s="90"/>
      <c r="E459" s="90"/>
      <c r="F459" s="90"/>
      <c r="G459" s="90"/>
      <c r="H459" s="90"/>
    </row>
    <row r="460" spans="2:8" x14ac:dyDescent="0.3">
      <c r="B460" s="90"/>
      <c r="C460" s="90"/>
      <c r="D460" s="90"/>
      <c r="E460" s="90"/>
      <c r="F460" s="90"/>
      <c r="G460" s="90"/>
      <c r="H460" s="90"/>
    </row>
    <row r="461" spans="2:8" x14ac:dyDescent="0.3">
      <c r="B461" s="90"/>
      <c r="C461" s="90"/>
      <c r="D461" s="90"/>
      <c r="E461" s="90"/>
      <c r="F461" s="90"/>
      <c r="G461" s="90"/>
      <c r="H461" s="90"/>
    </row>
    <row r="462" spans="2:8" x14ac:dyDescent="0.3">
      <c r="B462" s="90"/>
      <c r="C462" s="90"/>
      <c r="D462" s="90"/>
      <c r="E462" s="90"/>
      <c r="F462" s="90"/>
      <c r="G462" s="90"/>
      <c r="H462" s="90"/>
    </row>
    <row r="463" spans="2:8" x14ac:dyDescent="0.3">
      <c r="B463" s="90"/>
      <c r="C463" s="90"/>
      <c r="D463" s="90"/>
      <c r="E463" s="90"/>
      <c r="F463" s="90"/>
      <c r="G463" s="90"/>
      <c r="H463" s="90"/>
    </row>
    <row r="464" spans="2:8" x14ac:dyDescent="0.3">
      <c r="B464" s="90"/>
      <c r="C464" s="90"/>
      <c r="D464" s="90"/>
      <c r="E464" s="90"/>
      <c r="F464" s="90"/>
      <c r="G464" s="90"/>
      <c r="H464" s="90"/>
    </row>
    <row r="465" spans="2:8" x14ac:dyDescent="0.3">
      <c r="B465" s="90"/>
      <c r="C465" s="90"/>
      <c r="D465" s="90"/>
      <c r="E465" s="90"/>
      <c r="F465" s="90"/>
      <c r="G465" s="90"/>
      <c r="H465" s="90"/>
    </row>
    <row r="466" spans="2:8" x14ac:dyDescent="0.3">
      <c r="B466" s="90"/>
      <c r="C466" s="90"/>
      <c r="D466" s="90"/>
      <c r="E466" s="90"/>
      <c r="F466" s="90"/>
      <c r="G466" s="90"/>
      <c r="H466" s="90"/>
    </row>
    <row r="467" spans="2:8" x14ac:dyDescent="0.3">
      <c r="B467" s="90"/>
      <c r="C467" s="90"/>
      <c r="D467" s="90"/>
      <c r="E467" s="90"/>
      <c r="F467" s="90"/>
      <c r="G467" s="90"/>
      <c r="H467" s="90"/>
    </row>
    <row r="468" spans="2:8" x14ac:dyDescent="0.3">
      <c r="B468" s="90"/>
      <c r="C468" s="90"/>
      <c r="D468" s="90"/>
      <c r="E468" s="90"/>
      <c r="F468" s="90"/>
      <c r="G468" s="90"/>
      <c r="H468" s="90"/>
    </row>
    <row r="469" spans="2:8" x14ac:dyDescent="0.3">
      <c r="B469" s="90"/>
      <c r="C469" s="90"/>
      <c r="D469" s="90"/>
      <c r="E469" s="90"/>
      <c r="F469" s="90"/>
      <c r="G469" s="90"/>
      <c r="H469" s="90"/>
    </row>
    <row r="470" spans="2:8" x14ac:dyDescent="0.3">
      <c r="B470" s="90"/>
      <c r="C470" s="90"/>
      <c r="D470" s="90"/>
      <c r="E470" s="90"/>
      <c r="F470" s="90"/>
      <c r="G470" s="90"/>
      <c r="H470" s="90"/>
    </row>
    <row r="471" spans="2:8" x14ac:dyDescent="0.3">
      <c r="B471" s="90"/>
      <c r="C471" s="90"/>
      <c r="D471" s="90"/>
      <c r="E471" s="90"/>
      <c r="F471" s="90"/>
      <c r="G471" s="90"/>
      <c r="H471" s="90"/>
    </row>
    <row r="472" spans="2:8" x14ac:dyDescent="0.3">
      <c r="B472" s="90"/>
      <c r="C472" s="90"/>
      <c r="D472" s="90"/>
      <c r="E472" s="90"/>
      <c r="F472" s="90"/>
      <c r="G472" s="90"/>
      <c r="H472" s="90"/>
    </row>
    <row r="473" spans="2:8" x14ac:dyDescent="0.3">
      <c r="B473" s="90"/>
      <c r="C473" s="90"/>
      <c r="D473" s="90"/>
      <c r="E473" s="90"/>
      <c r="F473" s="90"/>
      <c r="G473" s="90"/>
      <c r="H473" s="90"/>
    </row>
    <row r="474" spans="2:8" x14ac:dyDescent="0.3">
      <c r="B474" s="90"/>
      <c r="C474" s="90"/>
      <c r="D474" s="90"/>
      <c r="E474" s="90"/>
      <c r="F474" s="90"/>
      <c r="G474" s="90"/>
      <c r="H474" s="90"/>
    </row>
    <row r="475" spans="2:8" x14ac:dyDescent="0.3">
      <c r="B475" s="90"/>
      <c r="C475" s="90"/>
      <c r="D475" s="90"/>
      <c r="E475" s="90"/>
      <c r="F475" s="90"/>
      <c r="G475" s="90"/>
      <c r="H475" s="90"/>
    </row>
    <row r="476" spans="2:8" x14ac:dyDescent="0.3">
      <c r="B476" s="90"/>
      <c r="C476" s="90"/>
      <c r="D476" s="90"/>
      <c r="E476" s="90"/>
      <c r="F476" s="90"/>
      <c r="G476" s="90"/>
      <c r="H476" s="90"/>
    </row>
    <row r="477" spans="2:8" x14ac:dyDescent="0.3">
      <c r="B477" s="90"/>
      <c r="C477" s="90"/>
      <c r="D477" s="90"/>
      <c r="E477" s="90"/>
      <c r="F477" s="90"/>
      <c r="G477" s="90"/>
      <c r="H477" s="90"/>
    </row>
    <row r="478" spans="2:8" x14ac:dyDescent="0.3">
      <c r="B478" s="90"/>
      <c r="C478" s="90"/>
      <c r="D478" s="90"/>
      <c r="E478" s="90"/>
      <c r="F478" s="90"/>
      <c r="G478" s="90"/>
      <c r="H478" s="90"/>
    </row>
    <row r="479" spans="2:8" x14ac:dyDescent="0.3">
      <c r="B479" s="90"/>
      <c r="C479" s="90"/>
      <c r="D479" s="90"/>
      <c r="E479" s="90"/>
      <c r="F479" s="90"/>
      <c r="G479" s="90"/>
      <c r="H479" s="90"/>
    </row>
    <row r="480" spans="2:8" x14ac:dyDescent="0.3">
      <c r="B480" s="90"/>
      <c r="C480" s="90"/>
      <c r="D480" s="90"/>
      <c r="E480" s="90"/>
      <c r="F480" s="90"/>
      <c r="G480" s="90"/>
      <c r="H480" s="90"/>
    </row>
    <row r="481" spans="2:8" x14ac:dyDescent="0.3">
      <c r="B481" s="90"/>
      <c r="C481" s="90"/>
      <c r="D481" s="90"/>
      <c r="E481" s="90"/>
      <c r="F481" s="90"/>
      <c r="G481" s="90"/>
      <c r="H481" s="90"/>
    </row>
    <row r="482" spans="2:8" x14ac:dyDescent="0.3">
      <c r="B482" s="90"/>
      <c r="C482" s="90"/>
      <c r="D482" s="90"/>
      <c r="E482" s="90"/>
      <c r="F482" s="90"/>
      <c r="G482" s="90"/>
      <c r="H482" s="90"/>
    </row>
    <row r="483" spans="2:8" x14ac:dyDescent="0.3">
      <c r="B483" s="90"/>
      <c r="C483" s="90"/>
      <c r="D483" s="90"/>
      <c r="E483" s="90"/>
      <c r="F483" s="90"/>
      <c r="G483" s="90"/>
      <c r="H483" s="90"/>
    </row>
    <row r="484" spans="2:8" x14ac:dyDescent="0.3">
      <c r="B484" s="90"/>
      <c r="C484" s="90"/>
      <c r="D484" s="90"/>
      <c r="E484" s="90"/>
      <c r="F484" s="90"/>
      <c r="G484" s="90"/>
      <c r="H484" s="90"/>
    </row>
    <row r="485" spans="2:8" x14ac:dyDescent="0.3">
      <c r="B485" s="90"/>
      <c r="C485" s="90"/>
      <c r="D485" s="90"/>
      <c r="E485" s="90"/>
      <c r="F485" s="90"/>
      <c r="G485" s="90"/>
      <c r="H485" s="90"/>
    </row>
    <row r="486" spans="2:8" x14ac:dyDescent="0.3">
      <c r="B486" s="90"/>
      <c r="C486" s="90"/>
      <c r="D486" s="90"/>
      <c r="E486" s="90"/>
      <c r="F486" s="90"/>
      <c r="G486" s="90"/>
      <c r="H486" s="90"/>
    </row>
    <row r="487" spans="2:8" x14ac:dyDescent="0.3">
      <c r="B487" s="90"/>
      <c r="C487" s="90"/>
      <c r="D487" s="90"/>
      <c r="E487" s="90"/>
      <c r="F487" s="90"/>
      <c r="G487" s="90"/>
      <c r="H487" s="90"/>
    </row>
    <row r="488" spans="2:8" x14ac:dyDescent="0.3">
      <c r="B488" s="90"/>
      <c r="C488" s="90"/>
      <c r="D488" s="90"/>
      <c r="E488" s="90"/>
      <c r="F488" s="90"/>
      <c r="G488" s="90"/>
      <c r="H488" s="90"/>
    </row>
    <row r="489" spans="2:8" x14ac:dyDescent="0.3">
      <c r="B489" s="90"/>
      <c r="C489" s="90"/>
      <c r="D489" s="90"/>
      <c r="E489" s="90"/>
      <c r="F489" s="90"/>
      <c r="G489" s="90"/>
      <c r="H489" s="90"/>
    </row>
    <row r="490" spans="2:8" x14ac:dyDescent="0.3">
      <c r="B490" s="90"/>
      <c r="C490" s="90"/>
      <c r="D490" s="90"/>
      <c r="E490" s="90"/>
      <c r="F490" s="90"/>
      <c r="G490" s="90"/>
      <c r="H490" s="90"/>
    </row>
    <row r="491" spans="2:8" x14ac:dyDescent="0.3">
      <c r="B491" s="90"/>
      <c r="C491" s="90"/>
      <c r="D491" s="90"/>
      <c r="E491" s="90"/>
      <c r="F491" s="90"/>
      <c r="G491" s="90"/>
      <c r="H491" s="90"/>
    </row>
    <row r="492" spans="2:8" x14ac:dyDescent="0.3">
      <c r="B492" s="90"/>
      <c r="C492" s="90"/>
      <c r="D492" s="90"/>
      <c r="E492" s="90"/>
      <c r="F492" s="90"/>
      <c r="G492" s="90"/>
      <c r="H492" s="90"/>
    </row>
    <row r="493" spans="2:8" x14ac:dyDescent="0.3">
      <c r="B493" s="90"/>
      <c r="C493" s="90"/>
      <c r="D493" s="90"/>
      <c r="E493" s="90"/>
      <c r="F493" s="90"/>
      <c r="G493" s="90"/>
      <c r="H493" s="90"/>
    </row>
    <row r="494" spans="2:8" x14ac:dyDescent="0.3">
      <c r="B494" s="90"/>
      <c r="C494" s="90"/>
      <c r="D494" s="90"/>
      <c r="E494" s="90"/>
      <c r="F494" s="90"/>
      <c r="G494" s="90"/>
      <c r="H494" s="90"/>
    </row>
    <row r="495" spans="2:8" x14ac:dyDescent="0.3">
      <c r="B495" s="90"/>
      <c r="C495" s="90"/>
      <c r="D495" s="90"/>
      <c r="E495" s="90"/>
      <c r="F495" s="90"/>
      <c r="G495" s="90"/>
      <c r="H495" s="90"/>
    </row>
    <row r="496" spans="2:8" x14ac:dyDescent="0.3">
      <c r="B496" s="90"/>
      <c r="C496" s="90"/>
      <c r="D496" s="90"/>
      <c r="E496" s="90"/>
      <c r="F496" s="90"/>
      <c r="G496" s="90"/>
      <c r="H496" s="90"/>
    </row>
    <row r="497" spans="2:8" x14ac:dyDescent="0.3">
      <c r="B497" s="90"/>
      <c r="C497" s="90"/>
      <c r="D497" s="90"/>
      <c r="E497" s="90"/>
      <c r="F497" s="90"/>
      <c r="G497" s="90"/>
      <c r="H497" s="90"/>
    </row>
    <row r="498" spans="2:8" x14ac:dyDescent="0.3">
      <c r="B498" s="90"/>
      <c r="C498" s="90"/>
      <c r="D498" s="90"/>
      <c r="E498" s="90"/>
      <c r="F498" s="90"/>
      <c r="G498" s="90"/>
      <c r="H498" s="90"/>
    </row>
    <row r="499" spans="2:8" x14ac:dyDescent="0.3">
      <c r="B499" s="90"/>
      <c r="C499" s="90"/>
      <c r="D499" s="90"/>
      <c r="E499" s="90"/>
      <c r="F499" s="90"/>
      <c r="G499" s="90"/>
      <c r="H499" s="90"/>
    </row>
    <row r="500" spans="2:8" x14ac:dyDescent="0.3">
      <c r="B500" s="90"/>
      <c r="C500" s="90"/>
      <c r="D500" s="90"/>
      <c r="E500" s="90"/>
      <c r="F500" s="90"/>
      <c r="G500" s="90"/>
      <c r="H500" s="90"/>
    </row>
    <row r="501" spans="2:8" x14ac:dyDescent="0.3">
      <c r="B501" s="90"/>
      <c r="C501" s="90"/>
      <c r="D501" s="90"/>
      <c r="E501" s="90"/>
      <c r="F501" s="90"/>
      <c r="G501" s="90"/>
      <c r="H501" s="90"/>
    </row>
    <row r="502" spans="2:8" x14ac:dyDescent="0.3">
      <c r="B502" s="90"/>
      <c r="C502" s="90"/>
      <c r="D502" s="90"/>
      <c r="E502" s="90"/>
      <c r="F502" s="90"/>
      <c r="G502" s="90"/>
      <c r="H502" s="90"/>
    </row>
    <row r="503" spans="2:8" x14ac:dyDescent="0.3">
      <c r="B503" s="90"/>
      <c r="C503" s="90"/>
      <c r="D503" s="90"/>
      <c r="E503" s="90"/>
      <c r="F503" s="90"/>
      <c r="G503" s="90"/>
      <c r="H503" s="90"/>
    </row>
    <row r="504" spans="2:8" x14ac:dyDescent="0.3">
      <c r="B504" s="90"/>
      <c r="C504" s="90"/>
      <c r="D504" s="90"/>
      <c r="E504" s="90"/>
      <c r="F504" s="90"/>
      <c r="G504" s="90"/>
      <c r="H504" s="90"/>
    </row>
    <row r="505" spans="2:8" x14ac:dyDescent="0.3">
      <c r="B505" s="90"/>
      <c r="C505" s="90"/>
      <c r="D505" s="90"/>
      <c r="E505" s="90"/>
      <c r="F505" s="90"/>
      <c r="G505" s="90"/>
      <c r="H505" s="90"/>
    </row>
    <row r="506" spans="2:8" x14ac:dyDescent="0.3">
      <c r="B506" s="90"/>
      <c r="C506" s="90"/>
      <c r="D506" s="90"/>
      <c r="E506" s="90"/>
      <c r="F506" s="90"/>
      <c r="G506" s="90"/>
      <c r="H506" s="90"/>
    </row>
    <row r="507" spans="2:8" x14ac:dyDescent="0.3">
      <c r="B507" s="90"/>
      <c r="C507" s="90"/>
      <c r="D507" s="90"/>
      <c r="E507" s="90"/>
      <c r="F507" s="90"/>
      <c r="G507" s="90"/>
      <c r="H507" s="90"/>
    </row>
    <row r="508" spans="2:8" x14ac:dyDescent="0.3">
      <c r="B508" s="90"/>
      <c r="C508" s="90"/>
      <c r="D508" s="90"/>
      <c r="E508" s="90"/>
      <c r="F508" s="90"/>
      <c r="G508" s="90"/>
      <c r="H508" s="90"/>
    </row>
    <row r="509" spans="2:8" x14ac:dyDescent="0.3">
      <c r="B509" s="90"/>
      <c r="C509" s="90"/>
      <c r="D509" s="90"/>
      <c r="E509" s="90"/>
      <c r="F509" s="90"/>
      <c r="G509" s="90"/>
      <c r="H509" s="90"/>
    </row>
    <row r="510" spans="2:8" x14ac:dyDescent="0.3">
      <c r="B510" s="90"/>
      <c r="C510" s="90"/>
      <c r="D510" s="90"/>
      <c r="E510" s="90"/>
      <c r="F510" s="90"/>
      <c r="G510" s="90"/>
      <c r="H510" s="90"/>
    </row>
    <row r="511" spans="2:8" x14ac:dyDescent="0.3">
      <c r="B511" s="90"/>
      <c r="C511" s="90"/>
      <c r="D511" s="90"/>
      <c r="E511" s="90"/>
      <c r="F511" s="90"/>
      <c r="G511" s="90"/>
      <c r="H511" s="90"/>
    </row>
    <row r="512" spans="2:8" x14ac:dyDescent="0.3">
      <c r="B512" s="90"/>
      <c r="C512" s="90"/>
      <c r="D512" s="90"/>
      <c r="E512" s="90"/>
      <c r="F512" s="90"/>
      <c r="G512" s="90"/>
      <c r="H512" s="90"/>
    </row>
    <row r="513" spans="2:8" x14ac:dyDescent="0.3">
      <c r="B513" s="90"/>
      <c r="C513" s="90"/>
      <c r="D513" s="90"/>
      <c r="E513" s="90"/>
      <c r="F513" s="90"/>
      <c r="G513" s="90"/>
      <c r="H513" s="90"/>
    </row>
    <row r="514" spans="2:8" x14ac:dyDescent="0.3">
      <c r="B514" s="90"/>
      <c r="C514" s="90"/>
      <c r="D514" s="90"/>
      <c r="E514" s="90"/>
      <c r="F514" s="90"/>
      <c r="G514" s="90"/>
      <c r="H514" s="90"/>
    </row>
    <row r="515" spans="2:8" x14ac:dyDescent="0.3">
      <c r="B515" s="90"/>
      <c r="C515" s="90"/>
      <c r="D515" s="90"/>
      <c r="E515" s="90"/>
      <c r="F515" s="90"/>
      <c r="G515" s="90"/>
      <c r="H515" s="90"/>
    </row>
    <row r="516" spans="2:8" x14ac:dyDescent="0.3">
      <c r="B516" s="90"/>
      <c r="C516" s="90"/>
      <c r="D516" s="90"/>
      <c r="E516" s="90"/>
      <c r="F516" s="90"/>
      <c r="G516" s="90"/>
      <c r="H516" s="90"/>
    </row>
    <row r="517" spans="2:8" x14ac:dyDescent="0.3">
      <c r="B517" s="90"/>
      <c r="C517" s="90"/>
      <c r="D517" s="90"/>
      <c r="E517" s="90"/>
      <c r="F517" s="90"/>
      <c r="G517" s="90"/>
      <c r="H517" s="90"/>
    </row>
    <row r="518" spans="2:8" x14ac:dyDescent="0.3">
      <c r="B518" s="90"/>
      <c r="C518" s="90"/>
      <c r="D518" s="90"/>
      <c r="E518" s="90"/>
      <c r="F518" s="90"/>
      <c r="G518" s="90"/>
      <c r="H518" s="90"/>
    </row>
    <row r="519" spans="2:8" x14ac:dyDescent="0.3">
      <c r="B519" s="90"/>
      <c r="C519" s="90"/>
      <c r="D519" s="90"/>
      <c r="E519" s="90"/>
      <c r="F519" s="90"/>
      <c r="G519" s="90"/>
      <c r="H519" s="90"/>
    </row>
    <row r="520" spans="2:8" x14ac:dyDescent="0.3">
      <c r="B520" s="90"/>
      <c r="C520" s="90"/>
      <c r="D520" s="90"/>
      <c r="E520" s="90"/>
      <c r="F520" s="90"/>
      <c r="G520" s="90"/>
      <c r="H520" s="90"/>
    </row>
    <row r="521" spans="2:8" x14ac:dyDescent="0.3">
      <c r="B521" s="90"/>
      <c r="C521" s="90"/>
      <c r="D521" s="90"/>
      <c r="E521" s="90"/>
      <c r="F521" s="90"/>
      <c r="G521" s="90"/>
      <c r="H521" s="90"/>
    </row>
    <row r="522" spans="2:8" x14ac:dyDescent="0.3">
      <c r="B522" s="90"/>
      <c r="C522" s="90"/>
      <c r="D522" s="90"/>
      <c r="E522" s="90"/>
      <c r="F522" s="90"/>
      <c r="G522" s="90"/>
      <c r="H522" s="90"/>
    </row>
    <row r="523" spans="2:8" x14ac:dyDescent="0.3">
      <c r="B523" s="90"/>
      <c r="C523" s="90"/>
      <c r="D523" s="90"/>
      <c r="E523" s="90"/>
      <c r="F523" s="90"/>
      <c r="G523" s="90"/>
      <c r="H523" s="90"/>
    </row>
    <row r="524" spans="2:8" x14ac:dyDescent="0.3">
      <c r="B524" s="90"/>
      <c r="C524" s="90"/>
      <c r="D524" s="90"/>
      <c r="E524" s="90"/>
      <c r="F524" s="90"/>
      <c r="G524" s="90"/>
      <c r="H524" s="90"/>
    </row>
    <row r="525" spans="2:8" x14ac:dyDescent="0.3">
      <c r="B525" s="90"/>
      <c r="C525" s="90"/>
      <c r="D525" s="90"/>
      <c r="E525" s="90"/>
      <c r="F525" s="90"/>
      <c r="G525" s="90"/>
      <c r="H525" s="90"/>
    </row>
    <row r="526" spans="2:8" x14ac:dyDescent="0.3">
      <c r="B526" s="90"/>
      <c r="C526" s="90"/>
      <c r="D526" s="90"/>
      <c r="E526" s="90"/>
      <c r="F526" s="90"/>
      <c r="G526" s="90"/>
      <c r="H526" s="90"/>
    </row>
    <row r="527" spans="2:8" x14ac:dyDescent="0.3">
      <c r="B527" s="90"/>
      <c r="C527" s="90"/>
      <c r="D527" s="90"/>
      <c r="E527" s="90"/>
      <c r="F527" s="90"/>
      <c r="G527" s="90"/>
      <c r="H527" s="90"/>
    </row>
    <row r="528" spans="2:8" x14ac:dyDescent="0.3">
      <c r="B528" s="90"/>
      <c r="C528" s="90"/>
      <c r="D528" s="90"/>
      <c r="E528" s="90"/>
      <c r="F528" s="90"/>
      <c r="G528" s="90"/>
      <c r="H528" s="90"/>
    </row>
    <row r="529" spans="2:8" x14ac:dyDescent="0.3">
      <c r="B529" s="90"/>
      <c r="C529" s="90"/>
      <c r="D529" s="90"/>
      <c r="E529" s="90"/>
      <c r="F529" s="90"/>
      <c r="G529" s="90"/>
      <c r="H529" s="90"/>
    </row>
    <row r="530" spans="2:8" x14ac:dyDescent="0.3">
      <c r="B530" s="90"/>
      <c r="C530" s="90"/>
      <c r="D530" s="90"/>
      <c r="E530" s="90"/>
      <c r="F530" s="90"/>
      <c r="G530" s="90"/>
      <c r="H530" s="90"/>
    </row>
    <row r="531" spans="2:8" x14ac:dyDescent="0.3">
      <c r="B531" s="90"/>
      <c r="C531" s="90"/>
      <c r="D531" s="90"/>
      <c r="E531" s="90"/>
      <c r="F531" s="90"/>
      <c r="G531" s="90"/>
      <c r="H531" s="90"/>
    </row>
    <row r="532" spans="2:8" x14ac:dyDescent="0.3">
      <c r="B532" s="90"/>
      <c r="C532" s="90"/>
      <c r="D532" s="90"/>
      <c r="E532" s="90"/>
      <c r="F532" s="90"/>
      <c r="G532" s="90"/>
      <c r="H532" s="90"/>
    </row>
    <row r="533" spans="2:8" x14ac:dyDescent="0.3">
      <c r="B533" s="90"/>
      <c r="C533" s="90"/>
      <c r="D533" s="90"/>
      <c r="E533" s="90"/>
      <c r="F533" s="90"/>
      <c r="G533" s="90"/>
      <c r="H533" s="90"/>
    </row>
    <row r="534" spans="2:8" x14ac:dyDescent="0.3">
      <c r="B534" s="90"/>
      <c r="C534" s="90"/>
      <c r="D534" s="90"/>
      <c r="E534" s="90"/>
      <c r="F534" s="90"/>
      <c r="G534" s="90"/>
      <c r="H534" s="90"/>
    </row>
    <row r="535" spans="2:8" x14ac:dyDescent="0.3">
      <c r="B535" s="90"/>
      <c r="C535" s="90"/>
      <c r="D535" s="90"/>
      <c r="E535" s="90"/>
      <c r="F535" s="90"/>
      <c r="G535" s="90"/>
      <c r="H535" s="90"/>
    </row>
    <row r="536" spans="2:8" x14ac:dyDescent="0.3">
      <c r="B536" s="90"/>
      <c r="C536" s="90"/>
      <c r="D536" s="90"/>
      <c r="E536" s="90"/>
      <c r="F536" s="90"/>
      <c r="G536" s="90"/>
      <c r="H536" s="90"/>
    </row>
    <row r="537" spans="2:8" x14ac:dyDescent="0.3">
      <c r="B537" s="90"/>
      <c r="C537" s="90"/>
      <c r="D537" s="90"/>
      <c r="E537" s="90"/>
      <c r="F537" s="90"/>
      <c r="G537" s="90"/>
      <c r="H537" s="90"/>
    </row>
    <row r="538" spans="2:8" x14ac:dyDescent="0.3">
      <c r="B538" s="90"/>
      <c r="C538" s="90"/>
      <c r="D538" s="90"/>
      <c r="E538" s="90"/>
      <c r="F538" s="90"/>
      <c r="G538" s="90"/>
      <c r="H538" s="90"/>
    </row>
    <row r="539" spans="2:8" x14ac:dyDescent="0.3">
      <c r="B539" s="90"/>
      <c r="C539" s="90"/>
      <c r="D539" s="90"/>
      <c r="E539" s="90"/>
      <c r="F539" s="90"/>
      <c r="G539" s="90"/>
      <c r="H539" s="90"/>
    </row>
    <row r="540" spans="2:8" x14ac:dyDescent="0.3">
      <c r="B540" s="90"/>
      <c r="C540" s="90"/>
      <c r="D540" s="90"/>
      <c r="E540" s="90"/>
      <c r="F540" s="90"/>
      <c r="G540" s="90"/>
      <c r="H540" s="90"/>
    </row>
    <row r="541" spans="2:8" x14ac:dyDescent="0.3">
      <c r="B541" s="90"/>
      <c r="C541" s="90"/>
      <c r="D541" s="90"/>
      <c r="E541" s="90"/>
      <c r="F541" s="90"/>
      <c r="G541" s="90"/>
      <c r="H541" s="90"/>
    </row>
    <row r="542" spans="2:8" x14ac:dyDescent="0.3">
      <c r="B542" s="90"/>
      <c r="C542" s="90"/>
      <c r="D542" s="90"/>
      <c r="E542" s="90"/>
      <c r="F542" s="90"/>
      <c r="G542" s="90"/>
      <c r="H542" s="90"/>
    </row>
    <row r="543" spans="2:8" x14ac:dyDescent="0.3">
      <c r="B543" s="90"/>
      <c r="C543" s="90"/>
      <c r="D543" s="90"/>
      <c r="E543" s="90"/>
      <c r="F543" s="90"/>
      <c r="G543" s="90"/>
      <c r="H543" s="90"/>
    </row>
    <row r="544" spans="2:8" x14ac:dyDescent="0.3">
      <c r="B544" s="90"/>
      <c r="C544" s="90"/>
      <c r="D544" s="90"/>
      <c r="E544" s="90"/>
      <c r="F544" s="90"/>
      <c r="G544" s="90"/>
      <c r="H544" s="90"/>
    </row>
    <row r="545" spans="2:8" x14ac:dyDescent="0.3">
      <c r="B545" s="90"/>
      <c r="C545" s="90"/>
      <c r="D545" s="90"/>
      <c r="E545" s="90"/>
      <c r="F545" s="90"/>
      <c r="G545" s="90"/>
      <c r="H545" s="90"/>
    </row>
    <row r="546" spans="2:8" x14ac:dyDescent="0.3">
      <c r="B546" s="90"/>
      <c r="C546" s="90"/>
      <c r="D546" s="90"/>
      <c r="E546" s="90"/>
      <c r="F546" s="90"/>
      <c r="G546" s="90"/>
      <c r="H546" s="90"/>
    </row>
    <row r="547" spans="2:8" x14ac:dyDescent="0.3">
      <c r="B547" s="90"/>
      <c r="C547" s="90"/>
      <c r="D547" s="90"/>
      <c r="E547" s="90"/>
      <c r="F547" s="90"/>
      <c r="G547" s="90"/>
      <c r="H547" s="90"/>
    </row>
    <row r="548" spans="2:8" x14ac:dyDescent="0.3">
      <c r="B548" s="90"/>
      <c r="C548" s="90"/>
      <c r="D548" s="90"/>
      <c r="E548" s="90"/>
      <c r="F548" s="90"/>
      <c r="G548" s="90"/>
      <c r="H548" s="90"/>
    </row>
    <row r="549" spans="2:8" x14ac:dyDescent="0.3">
      <c r="B549" s="90"/>
      <c r="C549" s="90"/>
      <c r="D549" s="90"/>
      <c r="E549" s="90"/>
      <c r="F549" s="90"/>
      <c r="G549" s="90"/>
      <c r="H549" s="90"/>
    </row>
    <row r="550" spans="2:8" x14ac:dyDescent="0.3">
      <c r="B550" s="90"/>
      <c r="C550" s="90"/>
      <c r="D550" s="90"/>
      <c r="E550" s="90"/>
      <c r="F550" s="90"/>
      <c r="G550" s="90"/>
      <c r="H550" s="90"/>
    </row>
    <row r="551" spans="2:8" x14ac:dyDescent="0.3">
      <c r="B551" s="90"/>
      <c r="C551" s="90"/>
      <c r="D551" s="90"/>
      <c r="E551" s="90"/>
      <c r="F551" s="90"/>
      <c r="G551" s="90"/>
      <c r="H551" s="90"/>
    </row>
    <row r="552" spans="2:8" x14ac:dyDescent="0.3">
      <c r="B552" s="90"/>
      <c r="C552" s="90"/>
      <c r="D552" s="90"/>
      <c r="E552" s="90"/>
      <c r="F552" s="90"/>
      <c r="G552" s="90"/>
      <c r="H552" s="90"/>
    </row>
    <row r="553" spans="2:8" x14ac:dyDescent="0.3">
      <c r="B553" s="90"/>
      <c r="C553" s="90"/>
      <c r="D553" s="90"/>
      <c r="E553" s="90"/>
      <c r="F553" s="90"/>
      <c r="G553" s="90"/>
      <c r="H553" s="90"/>
    </row>
    <row r="554" spans="2:8" x14ac:dyDescent="0.3">
      <c r="B554" s="90"/>
      <c r="C554" s="90"/>
      <c r="D554" s="90"/>
      <c r="E554" s="90"/>
      <c r="F554" s="90"/>
      <c r="G554" s="90"/>
      <c r="H554" s="90"/>
    </row>
    <row r="555" spans="2:8" x14ac:dyDescent="0.3">
      <c r="B555" s="90"/>
      <c r="C555" s="90"/>
      <c r="D555" s="90"/>
      <c r="E555" s="90"/>
      <c r="F555" s="90"/>
      <c r="G555" s="90"/>
      <c r="H555" s="90"/>
    </row>
    <row r="556" spans="2:8" x14ac:dyDescent="0.3">
      <c r="B556" s="90"/>
      <c r="C556" s="90"/>
      <c r="D556" s="90"/>
      <c r="E556" s="90"/>
      <c r="F556" s="90"/>
      <c r="G556" s="90"/>
      <c r="H556" s="90"/>
    </row>
    <row r="557" spans="2:8" x14ac:dyDescent="0.3">
      <c r="B557" s="90"/>
      <c r="C557" s="90"/>
      <c r="D557" s="90"/>
      <c r="E557" s="90"/>
      <c r="F557" s="90"/>
      <c r="G557" s="90"/>
      <c r="H557" s="90"/>
    </row>
    <row r="558" spans="2:8" x14ac:dyDescent="0.3">
      <c r="B558" s="90"/>
      <c r="C558" s="90"/>
      <c r="D558" s="90"/>
      <c r="E558" s="90"/>
      <c r="F558" s="90"/>
      <c r="G558" s="90"/>
      <c r="H558" s="90"/>
    </row>
    <row r="559" spans="2:8" x14ac:dyDescent="0.3">
      <c r="B559" s="90"/>
      <c r="C559" s="90"/>
      <c r="D559" s="90"/>
      <c r="E559" s="90"/>
      <c r="F559" s="90"/>
      <c r="G559" s="90"/>
      <c r="H559" s="90"/>
    </row>
    <row r="560" spans="2:8" x14ac:dyDescent="0.3">
      <c r="B560" s="90"/>
      <c r="C560" s="90"/>
      <c r="D560" s="90"/>
      <c r="E560" s="90"/>
      <c r="F560" s="90"/>
      <c r="G560" s="90"/>
      <c r="H560" s="90"/>
    </row>
    <row r="561" spans="2:8" x14ac:dyDescent="0.3">
      <c r="B561" s="90"/>
      <c r="C561" s="90"/>
      <c r="D561" s="90"/>
      <c r="E561" s="90"/>
      <c r="F561" s="90"/>
      <c r="G561" s="90"/>
      <c r="H561" s="90"/>
    </row>
    <row r="562" spans="2:8" x14ac:dyDescent="0.3">
      <c r="B562" s="90"/>
      <c r="C562" s="90"/>
      <c r="D562" s="90"/>
      <c r="E562" s="90"/>
      <c r="F562" s="90"/>
      <c r="G562" s="90"/>
      <c r="H562" s="90"/>
    </row>
    <row r="563" spans="2:8" x14ac:dyDescent="0.3">
      <c r="B563" s="90"/>
      <c r="C563" s="90"/>
      <c r="D563" s="90"/>
      <c r="E563" s="90"/>
      <c r="F563" s="90"/>
      <c r="G563" s="90"/>
      <c r="H563" s="90"/>
    </row>
    <row r="564" spans="2:8" x14ac:dyDescent="0.3">
      <c r="B564" s="90"/>
      <c r="C564" s="90"/>
      <c r="D564" s="90"/>
      <c r="E564" s="90"/>
      <c r="F564" s="90"/>
      <c r="G564" s="90"/>
      <c r="H564" s="90"/>
    </row>
    <row r="565" spans="2:8" x14ac:dyDescent="0.3">
      <c r="B565" s="90"/>
      <c r="C565" s="90"/>
      <c r="D565" s="90"/>
      <c r="E565" s="90"/>
      <c r="F565" s="90"/>
      <c r="G565" s="90"/>
      <c r="H565" s="90"/>
    </row>
    <row r="566" spans="2:8" x14ac:dyDescent="0.3">
      <c r="B566" s="90"/>
      <c r="C566" s="90"/>
      <c r="D566" s="90"/>
      <c r="E566" s="90"/>
      <c r="F566" s="90"/>
      <c r="G566" s="90"/>
      <c r="H566" s="90"/>
    </row>
    <row r="567" spans="2:8" x14ac:dyDescent="0.3">
      <c r="B567" s="90"/>
      <c r="C567" s="90"/>
      <c r="D567" s="90"/>
      <c r="E567" s="90"/>
      <c r="F567" s="90"/>
      <c r="G567" s="90"/>
      <c r="H567" s="90"/>
    </row>
    <row r="568" spans="2:8" x14ac:dyDescent="0.3">
      <c r="B568" s="90"/>
      <c r="C568" s="90"/>
      <c r="D568" s="90"/>
      <c r="E568" s="90"/>
      <c r="F568" s="90"/>
      <c r="G568" s="90"/>
      <c r="H568" s="90"/>
    </row>
    <row r="569" spans="2:8" x14ac:dyDescent="0.3">
      <c r="B569" s="90"/>
      <c r="C569" s="90"/>
      <c r="D569" s="90"/>
      <c r="E569" s="90"/>
      <c r="F569" s="90"/>
      <c r="G569" s="90"/>
      <c r="H569" s="90"/>
    </row>
    <row r="570" spans="2:8" x14ac:dyDescent="0.3">
      <c r="B570" s="90"/>
      <c r="C570" s="90"/>
      <c r="D570" s="90"/>
      <c r="E570" s="90"/>
      <c r="F570" s="90"/>
      <c r="G570" s="90"/>
      <c r="H570" s="90"/>
    </row>
    <row r="571" spans="2:8" x14ac:dyDescent="0.3">
      <c r="B571" s="90"/>
      <c r="C571" s="90"/>
      <c r="D571" s="90"/>
      <c r="E571" s="90"/>
      <c r="F571" s="90"/>
      <c r="G571" s="90"/>
      <c r="H571" s="90"/>
    </row>
    <row r="572" spans="2:8" x14ac:dyDescent="0.3">
      <c r="B572" s="90"/>
      <c r="C572" s="90"/>
      <c r="D572" s="90"/>
      <c r="E572" s="90"/>
      <c r="F572" s="90"/>
      <c r="G572" s="90"/>
      <c r="H572" s="90"/>
    </row>
    <row r="573" spans="2:8" x14ac:dyDescent="0.3">
      <c r="B573" s="90"/>
      <c r="C573" s="90"/>
      <c r="D573" s="90"/>
      <c r="E573" s="90"/>
      <c r="F573" s="90"/>
      <c r="G573" s="90"/>
      <c r="H573" s="90"/>
    </row>
    <row r="574" spans="2:8" x14ac:dyDescent="0.3">
      <c r="B574" s="90"/>
      <c r="C574" s="90"/>
      <c r="D574" s="90"/>
      <c r="E574" s="90"/>
      <c r="F574" s="90"/>
      <c r="G574" s="90"/>
      <c r="H574" s="90"/>
    </row>
    <row r="575" spans="2:8" x14ac:dyDescent="0.3">
      <c r="B575" s="90"/>
      <c r="C575" s="90"/>
      <c r="D575" s="90"/>
      <c r="E575" s="90"/>
      <c r="F575" s="90"/>
      <c r="G575" s="90"/>
      <c r="H575" s="90"/>
    </row>
    <row r="576" spans="2:8" x14ac:dyDescent="0.3">
      <c r="B576" s="90"/>
      <c r="C576" s="90"/>
      <c r="D576" s="90"/>
      <c r="E576" s="90"/>
      <c r="F576" s="90"/>
      <c r="G576" s="90"/>
      <c r="H576" s="90"/>
    </row>
    <row r="577" spans="2:8" x14ac:dyDescent="0.3">
      <c r="B577" s="90"/>
      <c r="C577" s="90"/>
      <c r="D577" s="90"/>
      <c r="E577" s="90"/>
      <c r="F577" s="90"/>
      <c r="G577" s="90"/>
      <c r="H577" s="90"/>
    </row>
    <row r="578" spans="2:8" x14ac:dyDescent="0.3">
      <c r="B578" s="90"/>
      <c r="C578" s="90"/>
      <c r="D578" s="90"/>
      <c r="E578" s="90"/>
      <c r="F578" s="90"/>
      <c r="G578" s="90"/>
      <c r="H578" s="90"/>
    </row>
    <row r="579" spans="2:8" x14ac:dyDescent="0.3">
      <c r="B579" s="90"/>
      <c r="C579" s="90"/>
      <c r="D579" s="90"/>
      <c r="E579" s="90"/>
      <c r="F579" s="90"/>
      <c r="G579" s="90"/>
      <c r="H579" s="90"/>
    </row>
    <row r="580" spans="2:8" x14ac:dyDescent="0.3">
      <c r="B580" s="90"/>
      <c r="C580" s="90"/>
      <c r="D580" s="90"/>
      <c r="E580" s="90"/>
      <c r="F580" s="90"/>
      <c r="G580" s="90"/>
      <c r="H580" s="90"/>
    </row>
    <row r="581" spans="2:8" x14ac:dyDescent="0.3">
      <c r="B581" s="90"/>
      <c r="C581" s="90"/>
      <c r="D581" s="90"/>
      <c r="E581" s="90"/>
      <c r="F581" s="90"/>
      <c r="G581" s="90"/>
      <c r="H581" s="90"/>
    </row>
    <row r="582" spans="2:8" x14ac:dyDescent="0.3">
      <c r="B582" s="90"/>
      <c r="C582" s="90"/>
      <c r="D582" s="90"/>
      <c r="E582" s="90"/>
      <c r="F582" s="90"/>
      <c r="G582" s="90"/>
      <c r="H582" s="90"/>
    </row>
    <row r="583" spans="2:8" x14ac:dyDescent="0.3">
      <c r="B583" s="90"/>
      <c r="C583" s="90"/>
      <c r="D583" s="90"/>
      <c r="E583" s="90"/>
      <c r="F583" s="90"/>
      <c r="G583" s="90"/>
      <c r="H583" s="90"/>
    </row>
    <row r="584" spans="2:8" x14ac:dyDescent="0.3">
      <c r="B584" s="90"/>
      <c r="C584" s="90"/>
      <c r="D584" s="90"/>
      <c r="E584" s="90"/>
      <c r="F584" s="90"/>
      <c r="G584" s="90"/>
      <c r="H584" s="90"/>
    </row>
    <row r="585" spans="2:8" x14ac:dyDescent="0.3">
      <c r="B585" s="90"/>
      <c r="C585" s="90"/>
      <c r="D585" s="90"/>
      <c r="E585" s="90"/>
      <c r="F585" s="90"/>
      <c r="G585" s="90"/>
      <c r="H585" s="90"/>
    </row>
    <row r="586" spans="2:8" x14ac:dyDescent="0.3">
      <c r="B586" s="90"/>
      <c r="C586" s="90"/>
      <c r="D586" s="90"/>
      <c r="E586" s="90"/>
      <c r="F586" s="90"/>
      <c r="G586" s="90"/>
      <c r="H586" s="90"/>
    </row>
    <row r="587" spans="2:8" x14ac:dyDescent="0.3">
      <c r="B587" s="90"/>
      <c r="C587" s="90"/>
      <c r="D587" s="90"/>
      <c r="E587" s="90"/>
      <c r="F587" s="90"/>
      <c r="G587" s="90"/>
      <c r="H587" s="90"/>
    </row>
    <row r="588" spans="2:8" x14ac:dyDescent="0.3">
      <c r="B588" s="90"/>
      <c r="C588" s="90"/>
      <c r="D588" s="90"/>
      <c r="E588" s="90"/>
      <c r="F588" s="90"/>
      <c r="G588" s="90"/>
      <c r="H588" s="90"/>
    </row>
    <row r="589" spans="2:8" x14ac:dyDescent="0.3">
      <c r="B589" s="90"/>
      <c r="C589" s="90"/>
      <c r="D589" s="90"/>
      <c r="E589" s="90"/>
      <c r="F589" s="90"/>
      <c r="G589" s="90"/>
      <c r="H589" s="90"/>
    </row>
    <row r="590" spans="2:8" x14ac:dyDescent="0.3">
      <c r="B590" s="90"/>
      <c r="C590" s="90"/>
      <c r="D590" s="90"/>
      <c r="E590" s="90"/>
      <c r="F590" s="90"/>
      <c r="G590" s="90"/>
      <c r="H590" s="90"/>
    </row>
    <row r="591" spans="2:8" x14ac:dyDescent="0.3">
      <c r="B591" s="90"/>
      <c r="C591" s="90"/>
      <c r="D591" s="90"/>
      <c r="E591" s="90"/>
      <c r="F591" s="90"/>
      <c r="G591" s="90"/>
      <c r="H591" s="90"/>
    </row>
    <row r="592" spans="2:8" x14ac:dyDescent="0.3">
      <c r="B592" s="90"/>
      <c r="C592" s="90"/>
      <c r="D592" s="90"/>
      <c r="E592" s="90"/>
      <c r="F592" s="90"/>
      <c r="G592" s="90"/>
      <c r="H592" s="90"/>
    </row>
    <row r="593" spans="2:8" x14ac:dyDescent="0.3">
      <c r="B593" s="90"/>
      <c r="C593" s="90"/>
      <c r="D593" s="90"/>
      <c r="E593" s="90"/>
      <c r="F593" s="90"/>
      <c r="G593" s="90"/>
      <c r="H593" s="90"/>
    </row>
    <row r="594" spans="2:8" x14ac:dyDescent="0.3">
      <c r="B594" s="90"/>
      <c r="C594" s="90"/>
      <c r="D594" s="90"/>
      <c r="E594" s="90"/>
      <c r="F594" s="90"/>
      <c r="G594" s="90"/>
      <c r="H594" s="90"/>
    </row>
    <row r="595" spans="2:8" x14ac:dyDescent="0.3">
      <c r="B595" s="90"/>
      <c r="C595" s="90"/>
      <c r="D595" s="90"/>
      <c r="E595" s="90"/>
      <c r="F595" s="90"/>
      <c r="G595" s="90"/>
      <c r="H595" s="90"/>
    </row>
    <row r="596" spans="2:8" x14ac:dyDescent="0.3">
      <c r="B596" s="90"/>
      <c r="C596" s="90"/>
      <c r="D596" s="90"/>
      <c r="E596" s="90"/>
      <c r="F596" s="90"/>
      <c r="G596" s="90"/>
      <c r="H596" s="90"/>
    </row>
    <row r="597" spans="2:8" x14ac:dyDescent="0.3">
      <c r="B597" s="90"/>
      <c r="C597" s="90"/>
      <c r="D597" s="90"/>
      <c r="E597" s="90"/>
      <c r="F597" s="90"/>
      <c r="G597" s="90"/>
      <c r="H597" s="90"/>
    </row>
    <row r="598" spans="2:8" x14ac:dyDescent="0.3">
      <c r="B598" s="90"/>
      <c r="C598" s="90"/>
      <c r="D598" s="90"/>
      <c r="E598" s="90"/>
      <c r="F598" s="90"/>
      <c r="G598" s="90"/>
      <c r="H598" s="90"/>
    </row>
    <row r="599" spans="2:8" x14ac:dyDescent="0.3">
      <c r="B599" s="90"/>
      <c r="C599" s="90"/>
      <c r="D599" s="90"/>
      <c r="E599" s="90"/>
      <c r="F599" s="90"/>
      <c r="G599" s="90"/>
      <c r="H599" s="90"/>
    </row>
    <row r="600" spans="2:8" x14ac:dyDescent="0.3">
      <c r="B600" s="90"/>
      <c r="C600" s="90"/>
      <c r="D600" s="90"/>
      <c r="E600" s="90"/>
      <c r="F600" s="90"/>
      <c r="G600" s="90"/>
      <c r="H600" s="90"/>
    </row>
    <row r="601" spans="2:8" x14ac:dyDescent="0.3">
      <c r="B601" s="90"/>
      <c r="C601" s="90"/>
      <c r="D601" s="90"/>
      <c r="E601" s="90"/>
      <c r="F601" s="90"/>
      <c r="G601" s="90"/>
      <c r="H601" s="90"/>
    </row>
    <row r="602" spans="2:8" x14ac:dyDescent="0.3">
      <c r="B602" s="90"/>
      <c r="C602" s="90"/>
      <c r="D602" s="90"/>
      <c r="E602" s="90"/>
      <c r="F602" s="90"/>
      <c r="G602" s="90"/>
      <c r="H602" s="90"/>
    </row>
    <row r="603" spans="2:8" x14ac:dyDescent="0.3">
      <c r="B603" s="90"/>
      <c r="C603" s="90"/>
      <c r="D603" s="90"/>
      <c r="E603" s="90"/>
      <c r="F603" s="90"/>
      <c r="G603" s="90"/>
      <c r="H603" s="90"/>
    </row>
    <row r="604" spans="2:8" x14ac:dyDescent="0.3">
      <c r="B604" s="90"/>
      <c r="C604" s="90"/>
      <c r="D604" s="90"/>
      <c r="E604" s="90"/>
      <c r="F604" s="90"/>
      <c r="G604" s="90"/>
      <c r="H604" s="90"/>
    </row>
    <row r="605" spans="2:8" x14ac:dyDescent="0.3">
      <c r="B605" s="90"/>
      <c r="C605" s="90"/>
      <c r="D605" s="90"/>
      <c r="E605" s="90"/>
      <c r="F605" s="90"/>
      <c r="G605" s="90"/>
      <c r="H605" s="90"/>
    </row>
    <row r="606" spans="2:8" x14ac:dyDescent="0.3">
      <c r="B606" s="90"/>
      <c r="C606" s="90"/>
      <c r="D606" s="90"/>
      <c r="E606" s="90"/>
      <c r="F606" s="90"/>
      <c r="G606" s="90"/>
      <c r="H606" s="90"/>
    </row>
    <row r="607" spans="2:8" x14ac:dyDescent="0.3">
      <c r="B607" s="90"/>
      <c r="C607" s="90"/>
      <c r="D607" s="90"/>
      <c r="E607" s="90"/>
      <c r="F607" s="90"/>
      <c r="G607" s="90"/>
      <c r="H607" s="90"/>
    </row>
    <row r="608" spans="2:8" x14ac:dyDescent="0.3">
      <c r="B608" s="90"/>
      <c r="C608" s="90"/>
      <c r="D608" s="90"/>
      <c r="E608" s="90"/>
      <c r="F608" s="90"/>
      <c r="G608" s="90"/>
      <c r="H608" s="90"/>
    </row>
    <row r="609" spans="2:8" x14ac:dyDescent="0.3">
      <c r="B609" s="90"/>
      <c r="C609" s="90"/>
      <c r="D609" s="90"/>
      <c r="E609" s="90"/>
      <c r="F609" s="90"/>
      <c r="G609" s="90"/>
      <c r="H609" s="90"/>
    </row>
    <row r="610" spans="2:8" x14ac:dyDescent="0.3">
      <c r="B610" s="90"/>
      <c r="C610" s="90"/>
      <c r="D610" s="90"/>
      <c r="E610" s="90"/>
      <c r="F610" s="90"/>
      <c r="G610" s="90"/>
      <c r="H610" s="90"/>
    </row>
    <row r="611" spans="2:8" x14ac:dyDescent="0.3">
      <c r="B611" s="90"/>
      <c r="C611" s="90"/>
      <c r="D611" s="90"/>
      <c r="E611" s="90"/>
      <c r="F611" s="90"/>
      <c r="G611" s="90"/>
      <c r="H611" s="90"/>
    </row>
    <row r="612" spans="2:8" x14ac:dyDescent="0.3">
      <c r="B612" s="90"/>
      <c r="C612" s="90"/>
      <c r="D612" s="90"/>
      <c r="E612" s="90"/>
      <c r="F612" s="90"/>
      <c r="G612" s="90"/>
      <c r="H612" s="90"/>
    </row>
    <row r="613" spans="2:8" x14ac:dyDescent="0.3">
      <c r="B613" s="90"/>
      <c r="C613" s="90"/>
      <c r="D613" s="90"/>
      <c r="E613" s="90"/>
      <c r="F613" s="90"/>
      <c r="G613" s="90"/>
      <c r="H613" s="90"/>
    </row>
    <row r="614" spans="2:8" x14ac:dyDescent="0.3">
      <c r="B614" s="90"/>
      <c r="C614" s="90"/>
      <c r="D614" s="90"/>
      <c r="E614" s="90"/>
      <c r="F614" s="90"/>
      <c r="G614" s="90"/>
      <c r="H614" s="90"/>
    </row>
    <row r="615" spans="2:8" x14ac:dyDescent="0.3">
      <c r="B615" s="90"/>
      <c r="C615" s="90"/>
      <c r="D615" s="90"/>
      <c r="E615" s="90"/>
      <c r="F615" s="90"/>
      <c r="G615" s="90"/>
      <c r="H615" s="90"/>
    </row>
    <row r="616" spans="2:8" x14ac:dyDescent="0.3">
      <c r="B616" s="90"/>
      <c r="C616" s="90"/>
      <c r="D616" s="90"/>
      <c r="E616" s="90"/>
      <c r="F616" s="90"/>
      <c r="G616" s="90"/>
      <c r="H616" s="90"/>
    </row>
    <row r="617" spans="2:8" x14ac:dyDescent="0.3">
      <c r="B617" s="90"/>
      <c r="C617" s="90"/>
      <c r="D617" s="90"/>
      <c r="E617" s="90"/>
      <c r="F617" s="90"/>
      <c r="G617" s="90"/>
      <c r="H617" s="90"/>
    </row>
    <row r="618" spans="2:8" x14ac:dyDescent="0.3">
      <c r="B618" s="90"/>
      <c r="C618" s="90"/>
      <c r="D618" s="90"/>
      <c r="E618" s="90"/>
      <c r="F618" s="90"/>
      <c r="G618" s="90"/>
      <c r="H618" s="90"/>
    </row>
    <row r="619" spans="2:8" x14ac:dyDescent="0.3">
      <c r="B619" s="90"/>
      <c r="C619" s="90"/>
      <c r="D619" s="90"/>
      <c r="E619" s="90"/>
      <c r="F619" s="90"/>
      <c r="G619" s="90"/>
      <c r="H619" s="90"/>
    </row>
    <row r="620" spans="2:8" x14ac:dyDescent="0.3">
      <c r="B620" s="90"/>
      <c r="C620" s="90"/>
      <c r="D620" s="90"/>
      <c r="E620" s="90"/>
      <c r="F620" s="90"/>
      <c r="G620" s="90"/>
      <c r="H620" s="90"/>
    </row>
    <row r="621" spans="2:8" x14ac:dyDescent="0.3">
      <c r="B621" s="90"/>
      <c r="C621" s="90"/>
      <c r="D621" s="90"/>
      <c r="E621" s="90"/>
      <c r="F621" s="90"/>
      <c r="G621" s="90"/>
      <c r="H621" s="90"/>
    </row>
    <row r="622" spans="2:8" x14ac:dyDescent="0.3">
      <c r="B622" s="90"/>
      <c r="C622" s="90"/>
      <c r="D622" s="90"/>
      <c r="E622" s="90"/>
      <c r="F622" s="90"/>
      <c r="G622" s="90"/>
      <c r="H622" s="90"/>
    </row>
    <row r="623" spans="2:8" x14ac:dyDescent="0.3">
      <c r="B623" s="90"/>
      <c r="C623" s="90"/>
      <c r="D623" s="90"/>
      <c r="E623" s="90"/>
      <c r="F623" s="90"/>
      <c r="G623" s="90"/>
      <c r="H623" s="90"/>
    </row>
    <row r="624" spans="2:8" x14ac:dyDescent="0.3">
      <c r="B624" s="90"/>
      <c r="C624" s="90"/>
      <c r="D624" s="90"/>
      <c r="E624" s="90"/>
      <c r="F624" s="90"/>
      <c r="G624" s="90"/>
      <c r="H624" s="90"/>
    </row>
    <row r="625" spans="2:8" x14ac:dyDescent="0.3">
      <c r="B625" s="90"/>
      <c r="C625" s="90"/>
      <c r="D625" s="90"/>
      <c r="E625" s="90"/>
      <c r="F625" s="90"/>
      <c r="G625" s="90"/>
      <c r="H625" s="90"/>
    </row>
    <row r="626" spans="2:8" x14ac:dyDescent="0.3">
      <c r="B626" s="90"/>
      <c r="C626" s="90"/>
      <c r="D626" s="90"/>
      <c r="E626" s="90"/>
      <c r="F626" s="90"/>
      <c r="G626" s="90"/>
      <c r="H626" s="90"/>
    </row>
    <row r="627" spans="2:8" x14ac:dyDescent="0.3">
      <c r="B627" s="90"/>
      <c r="C627" s="90"/>
      <c r="D627" s="90"/>
      <c r="E627" s="90"/>
      <c r="F627" s="90"/>
      <c r="G627" s="90"/>
      <c r="H627" s="90"/>
    </row>
    <row r="628" spans="2:8" x14ac:dyDescent="0.3">
      <c r="B628" s="90"/>
      <c r="C628" s="90"/>
      <c r="D628" s="90"/>
      <c r="E628" s="90"/>
      <c r="F628" s="90"/>
      <c r="G628" s="90"/>
      <c r="H628" s="90"/>
    </row>
    <row r="629" spans="2:8" x14ac:dyDescent="0.3">
      <c r="B629" s="90"/>
      <c r="C629" s="90"/>
      <c r="D629" s="90"/>
      <c r="E629" s="90"/>
      <c r="F629" s="90"/>
      <c r="G629" s="90"/>
      <c r="H629" s="90"/>
    </row>
    <row r="630" spans="2:8" x14ac:dyDescent="0.3">
      <c r="B630" s="90"/>
      <c r="C630" s="90"/>
      <c r="D630" s="90"/>
      <c r="E630" s="90"/>
      <c r="F630" s="90"/>
      <c r="G630" s="90"/>
      <c r="H630" s="90"/>
    </row>
    <row r="631" spans="2:8" x14ac:dyDescent="0.3">
      <c r="B631" s="90"/>
      <c r="C631" s="90"/>
      <c r="D631" s="90"/>
      <c r="E631" s="90"/>
      <c r="F631" s="90"/>
      <c r="G631" s="90"/>
      <c r="H631" s="90"/>
    </row>
    <row r="632" spans="2:8" x14ac:dyDescent="0.3">
      <c r="B632" s="90"/>
      <c r="C632" s="90"/>
      <c r="D632" s="90"/>
      <c r="E632" s="90"/>
      <c r="F632" s="90"/>
      <c r="G632" s="90"/>
      <c r="H632" s="90"/>
    </row>
    <row r="633" spans="2:8" x14ac:dyDescent="0.3">
      <c r="B633" s="90"/>
      <c r="C633" s="90"/>
      <c r="D633" s="90"/>
      <c r="E633" s="90"/>
      <c r="F633" s="90"/>
      <c r="G633" s="90"/>
      <c r="H633" s="90"/>
    </row>
    <row r="634" spans="2:8" x14ac:dyDescent="0.3">
      <c r="B634" s="90"/>
      <c r="C634" s="90"/>
      <c r="D634" s="90"/>
      <c r="E634" s="90"/>
      <c r="F634" s="90"/>
      <c r="G634" s="90"/>
      <c r="H634" s="90"/>
    </row>
    <row r="635" spans="2:8" x14ac:dyDescent="0.3">
      <c r="B635" s="90"/>
      <c r="C635" s="90"/>
      <c r="D635" s="90"/>
      <c r="E635" s="90"/>
      <c r="F635" s="90"/>
      <c r="G635" s="90"/>
      <c r="H635" s="90"/>
    </row>
    <row r="636" spans="2:8" x14ac:dyDescent="0.3">
      <c r="B636" s="90"/>
      <c r="C636" s="90"/>
      <c r="D636" s="90"/>
      <c r="E636" s="90"/>
      <c r="F636" s="90"/>
      <c r="G636" s="90"/>
      <c r="H636" s="90"/>
    </row>
    <row r="637" spans="2:8" x14ac:dyDescent="0.3">
      <c r="B637" s="90"/>
      <c r="C637" s="90"/>
      <c r="D637" s="90"/>
      <c r="E637" s="90"/>
      <c r="F637" s="90"/>
      <c r="G637" s="90"/>
      <c r="H637" s="90"/>
    </row>
    <row r="638" spans="2:8" x14ac:dyDescent="0.3">
      <c r="B638" s="90"/>
      <c r="C638" s="90"/>
      <c r="D638" s="90"/>
      <c r="E638" s="90"/>
      <c r="F638" s="90"/>
      <c r="G638" s="90"/>
      <c r="H638" s="90"/>
    </row>
    <row r="639" spans="2:8" x14ac:dyDescent="0.3">
      <c r="B639" s="90"/>
      <c r="C639" s="90"/>
      <c r="D639" s="90"/>
      <c r="E639" s="90"/>
      <c r="F639" s="90"/>
      <c r="G639" s="90"/>
      <c r="H639" s="90"/>
    </row>
    <row r="640" spans="2:8" x14ac:dyDescent="0.3">
      <c r="B640" s="90"/>
      <c r="C640" s="90"/>
      <c r="D640" s="90"/>
      <c r="E640" s="90"/>
      <c r="F640" s="90"/>
      <c r="G640" s="90"/>
      <c r="H640" s="90"/>
    </row>
    <row r="641" spans="2:8" x14ac:dyDescent="0.3">
      <c r="B641" s="90"/>
      <c r="C641" s="90"/>
      <c r="D641" s="90"/>
      <c r="E641" s="90"/>
      <c r="F641" s="90"/>
      <c r="G641" s="90"/>
      <c r="H641" s="90"/>
    </row>
    <row r="642" spans="2:8" x14ac:dyDescent="0.3">
      <c r="B642" s="90"/>
      <c r="C642" s="90"/>
      <c r="D642" s="90"/>
      <c r="E642" s="90"/>
      <c r="F642" s="90"/>
      <c r="G642" s="90"/>
      <c r="H642" s="90"/>
    </row>
    <row r="643" spans="2:8" x14ac:dyDescent="0.3">
      <c r="B643" s="90"/>
      <c r="C643" s="90"/>
      <c r="D643" s="90"/>
      <c r="E643" s="90"/>
      <c r="F643" s="90"/>
      <c r="G643" s="90"/>
      <c r="H643" s="90"/>
    </row>
    <row r="644" spans="2:8" x14ac:dyDescent="0.3">
      <c r="B644" s="90"/>
      <c r="C644" s="90"/>
      <c r="D644" s="90"/>
      <c r="E644" s="90"/>
      <c r="F644" s="90"/>
      <c r="G644" s="90"/>
      <c r="H644" s="90"/>
    </row>
    <row r="645" spans="2:8" x14ac:dyDescent="0.3">
      <c r="B645" s="90"/>
      <c r="C645" s="90"/>
      <c r="D645" s="90"/>
      <c r="E645" s="90"/>
      <c r="F645" s="90"/>
      <c r="G645" s="90"/>
      <c r="H645" s="90"/>
    </row>
    <row r="646" spans="2:8" x14ac:dyDescent="0.3">
      <c r="B646" s="90"/>
      <c r="C646" s="90"/>
      <c r="D646" s="90"/>
      <c r="E646" s="90"/>
      <c r="F646" s="90"/>
      <c r="G646" s="90"/>
      <c r="H646" s="90"/>
    </row>
    <row r="647" spans="2:8" x14ac:dyDescent="0.3">
      <c r="B647" s="90"/>
      <c r="C647" s="90"/>
      <c r="D647" s="90"/>
      <c r="E647" s="90"/>
      <c r="F647" s="90"/>
      <c r="G647" s="90"/>
      <c r="H647" s="90"/>
    </row>
    <row r="648" spans="2:8" x14ac:dyDescent="0.3">
      <c r="B648" s="90"/>
      <c r="C648" s="90"/>
      <c r="D648" s="90"/>
      <c r="E648" s="90"/>
      <c r="F648" s="90"/>
      <c r="G648" s="90"/>
      <c r="H648" s="90"/>
    </row>
    <row r="649" spans="2:8" x14ac:dyDescent="0.3">
      <c r="B649" s="90"/>
      <c r="C649" s="90"/>
      <c r="D649" s="90"/>
      <c r="E649" s="90"/>
      <c r="F649" s="90"/>
      <c r="G649" s="90"/>
      <c r="H649" s="90"/>
    </row>
    <row r="650" spans="2:8" x14ac:dyDescent="0.3">
      <c r="B650" s="90"/>
      <c r="C650" s="90"/>
      <c r="D650" s="90"/>
      <c r="E650" s="90"/>
      <c r="F650" s="90"/>
      <c r="G650" s="90"/>
      <c r="H650" s="90"/>
    </row>
    <row r="651" spans="2:8" x14ac:dyDescent="0.3">
      <c r="B651" s="90"/>
      <c r="C651" s="90"/>
      <c r="D651" s="90"/>
      <c r="E651" s="90"/>
      <c r="F651" s="90"/>
      <c r="G651" s="90"/>
      <c r="H651" s="90"/>
    </row>
    <row r="652" spans="2:8" x14ac:dyDescent="0.3">
      <c r="B652" s="90"/>
      <c r="C652" s="90"/>
      <c r="D652" s="90"/>
      <c r="E652" s="90"/>
      <c r="F652" s="90"/>
      <c r="G652" s="90"/>
      <c r="H652" s="90"/>
    </row>
    <row r="653" spans="2:8" x14ac:dyDescent="0.3">
      <c r="B653" s="90"/>
      <c r="C653" s="90"/>
      <c r="D653" s="90"/>
      <c r="E653" s="90"/>
      <c r="F653" s="90"/>
      <c r="G653" s="90"/>
      <c r="H653" s="90"/>
    </row>
    <row r="654" spans="2:8" x14ac:dyDescent="0.3">
      <c r="B654" s="90"/>
      <c r="C654" s="90"/>
      <c r="D654" s="90"/>
      <c r="E654" s="90"/>
      <c r="F654" s="90"/>
      <c r="G654" s="90"/>
      <c r="H654" s="90"/>
    </row>
    <row r="655" spans="2:8" x14ac:dyDescent="0.3">
      <c r="B655" s="90"/>
      <c r="C655" s="90"/>
      <c r="D655" s="90"/>
      <c r="E655" s="90"/>
      <c r="F655" s="90"/>
      <c r="G655" s="90"/>
      <c r="H655" s="90"/>
    </row>
    <row r="656" spans="2:8" x14ac:dyDescent="0.3">
      <c r="B656" s="90"/>
      <c r="C656" s="90"/>
      <c r="D656" s="90"/>
      <c r="E656" s="90"/>
      <c r="F656" s="90"/>
      <c r="G656" s="90"/>
      <c r="H656" s="90"/>
    </row>
    <row r="657" spans="2:8" x14ac:dyDescent="0.3">
      <c r="B657" s="90"/>
      <c r="C657" s="90"/>
      <c r="D657" s="90"/>
      <c r="E657" s="90"/>
      <c r="F657" s="90"/>
      <c r="G657" s="90"/>
      <c r="H657" s="90"/>
    </row>
    <row r="658" spans="2:8" x14ac:dyDescent="0.3">
      <c r="B658" s="90"/>
      <c r="C658" s="90"/>
      <c r="D658" s="90"/>
      <c r="E658" s="90"/>
      <c r="F658" s="90"/>
      <c r="G658" s="90"/>
      <c r="H658" s="90"/>
    </row>
    <row r="659" spans="2:8" x14ac:dyDescent="0.3">
      <c r="B659" s="90"/>
      <c r="C659" s="90"/>
      <c r="D659" s="90"/>
      <c r="E659" s="90"/>
      <c r="F659" s="90"/>
      <c r="G659" s="90"/>
      <c r="H659" s="90"/>
    </row>
    <row r="660" spans="2:8" x14ac:dyDescent="0.3">
      <c r="B660" s="90"/>
      <c r="C660" s="90"/>
      <c r="D660" s="90"/>
      <c r="E660" s="90"/>
      <c r="F660" s="90"/>
      <c r="G660" s="90"/>
      <c r="H660" s="90"/>
    </row>
    <row r="661" spans="2:8" x14ac:dyDescent="0.3">
      <c r="B661" s="90"/>
      <c r="C661" s="90"/>
      <c r="D661" s="90"/>
      <c r="E661" s="90"/>
      <c r="F661" s="90"/>
      <c r="G661" s="90"/>
      <c r="H661" s="90"/>
    </row>
    <row r="662" spans="2:8" x14ac:dyDescent="0.3">
      <c r="B662" s="90"/>
      <c r="C662" s="90"/>
      <c r="D662" s="90"/>
      <c r="E662" s="90"/>
      <c r="F662" s="90"/>
      <c r="G662" s="90"/>
      <c r="H662" s="90"/>
    </row>
    <row r="663" spans="2:8" x14ac:dyDescent="0.3">
      <c r="B663" s="90"/>
      <c r="C663" s="90"/>
      <c r="D663" s="90"/>
      <c r="E663" s="90"/>
      <c r="F663" s="90"/>
      <c r="G663" s="90"/>
      <c r="H663" s="90"/>
    </row>
    <row r="664" spans="2:8" x14ac:dyDescent="0.3">
      <c r="B664" s="90"/>
      <c r="C664" s="90"/>
      <c r="D664" s="90"/>
      <c r="E664" s="90"/>
      <c r="F664" s="90"/>
      <c r="G664" s="90"/>
      <c r="H664" s="90"/>
    </row>
    <row r="665" spans="2:8" x14ac:dyDescent="0.3">
      <c r="B665" s="90"/>
      <c r="C665" s="90"/>
      <c r="D665" s="90"/>
      <c r="E665" s="90"/>
      <c r="F665" s="90"/>
      <c r="G665" s="90"/>
      <c r="H665" s="90"/>
    </row>
    <row r="666" spans="2:8" x14ac:dyDescent="0.3">
      <c r="B666" s="90"/>
      <c r="C666" s="90"/>
      <c r="D666" s="90"/>
      <c r="E666" s="90"/>
      <c r="F666" s="90"/>
      <c r="G666" s="90"/>
      <c r="H666" s="90"/>
    </row>
    <row r="667" spans="2:8" x14ac:dyDescent="0.3">
      <c r="B667" s="90"/>
      <c r="C667" s="90"/>
      <c r="D667" s="90"/>
      <c r="E667" s="90"/>
      <c r="F667" s="90"/>
      <c r="G667" s="90"/>
      <c r="H667" s="90"/>
    </row>
    <row r="668" spans="2:8" x14ac:dyDescent="0.3">
      <c r="B668" s="90"/>
      <c r="C668" s="90"/>
      <c r="D668" s="90"/>
      <c r="E668" s="90"/>
      <c r="F668" s="90"/>
      <c r="G668" s="90"/>
      <c r="H668" s="90"/>
    </row>
    <row r="669" spans="2:8" x14ac:dyDescent="0.3">
      <c r="B669" s="90"/>
      <c r="C669" s="90"/>
      <c r="D669" s="90"/>
      <c r="E669" s="90"/>
      <c r="F669" s="90"/>
      <c r="G669" s="90"/>
      <c r="H669" s="90"/>
    </row>
    <row r="670" spans="2:8" x14ac:dyDescent="0.3">
      <c r="B670" s="90"/>
      <c r="C670" s="90"/>
      <c r="D670" s="90"/>
      <c r="E670" s="90"/>
      <c r="F670" s="90"/>
      <c r="G670" s="90"/>
      <c r="H670" s="90"/>
    </row>
    <row r="671" spans="2:8" x14ac:dyDescent="0.3">
      <c r="B671" s="90"/>
      <c r="C671" s="90"/>
      <c r="D671" s="90"/>
      <c r="E671" s="90"/>
      <c r="F671" s="90"/>
      <c r="G671" s="90"/>
      <c r="H671" s="90"/>
    </row>
    <row r="672" spans="2:8" x14ac:dyDescent="0.3">
      <c r="B672" s="90"/>
      <c r="C672" s="90"/>
      <c r="D672" s="90"/>
      <c r="E672" s="90"/>
      <c r="F672" s="90"/>
      <c r="G672" s="90"/>
      <c r="H672" s="90"/>
    </row>
    <row r="673" spans="2:8" x14ac:dyDescent="0.3">
      <c r="B673" s="90"/>
      <c r="C673" s="90"/>
      <c r="D673" s="90"/>
      <c r="E673" s="90"/>
      <c r="F673" s="90"/>
      <c r="G673" s="90"/>
      <c r="H673" s="90"/>
    </row>
    <row r="674" spans="2:8" x14ac:dyDescent="0.3">
      <c r="B674" s="90"/>
      <c r="C674" s="90"/>
      <c r="D674" s="90"/>
      <c r="E674" s="90"/>
      <c r="F674" s="90"/>
      <c r="G674" s="90"/>
      <c r="H674" s="90"/>
    </row>
    <row r="675" spans="2:8" x14ac:dyDescent="0.3">
      <c r="B675" s="90"/>
      <c r="C675" s="90"/>
      <c r="D675" s="90"/>
      <c r="E675" s="90"/>
      <c r="F675" s="90"/>
      <c r="G675" s="90"/>
      <c r="H675" s="90"/>
    </row>
    <row r="676" spans="2:8" x14ac:dyDescent="0.3">
      <c r="B676" s="90"/>
      <c r="C676" s="90"/>
      <c r="D676" s="90"/>
      <c r="E676" s="90"/>
      <c r="F676" s="90"/>
      <c r="G676" s="90"/>
      <c r="H676" s="90"/>
    </row>
    <row r="677" spans="2:8" x14ac:dyDescent="0.3">
      <c r="B677" s="90"/>
      <c r="C677" s="90"/>
      <c r="D677" s="90"/>
      <c r="E677" s="90"/>
      <c r="F677" s="90"/>
      <c r="G677" s="90"/>
      <c r="H677" s="90"/>
    </row>
    <row r="678" spans="2:8" x14ac:dyDescent="0.3">
      <c r="B678" s="90"/>
      <c r="C678" s="90"/>
      <c r="D678" s="90"/>
      <c r="E678" s="90"/>
      <c r="F678" s="90"/>
      <c r="G678" s="90"/>
      <c r="H678" s="90"/>
    </row>
    <row r="679" spans="2:8" x14ac:dyDescent="0.3">
      <c r="B679" s="90"/>
      <c r="C679" s="90"/>
      <c r="D679" s="90"/>
      <c r="E679" s="90"/>
      <c r="F679" s="90"/>
      <c r="G679" s="90"/>
      <c r="H679" s="90"/>
    </row>
    <row r="680" spans="2:8" x14ac:dyDescent="0.3">
      <c r="B680" s="90"/>
      <c r="C680" s="90"/>
      <c r="D680" s="90"/>
      <c r="E680" s="90"/>
      <c r="F680" s="90"/>
      <c r="G680" s="90"/>
      <c r="H680" s="90"/>
    </row>
    <row r="681" spans="2:8" x14ac:dyDescent="0.3">
      <c r="B681" s="90"/>
      <c r="C681" s="90"/>
      <c r="D681" s="90"/>
      <c r="E681" s="90"/>
      <c r="F681" s="90"/>
      <c r="G681" s="90"/>
      <c r="H681" s="90"/>
    </row>
    <row r="682" spans="2:8" x14ac:dyDescent="0.3">
      <c r="B682" s="90"/>
      <c r="C682" s="90"/>
      <c r="D682" s="90"/>
      <c r="E682" s="90"/>
      <c r="F682" s="90"/>
      <c r="G682" s="90"/>
      <c r="H682" s="90"/>
    </row>
    <row r="683" spans="2:8" x14ac:dyDescent="0.3">
      <c r="B683" s="90"/>
      <c r="C683" s="90"/>
      <c r="D683" s="90"/>
      <c r="E683" s="90"/>
      <c r="F683" s="90"/>
      <c r="G683" s="90"/>
      <c r="H683" s="90"/>
    </row>
    <row r="684" spans="2:8" x14ac:dyDescent="0.3">
      <c r="B684" s="90"/>
      <c r="C684" s="90"/>
      <c r="D684" s="90"/>
      <c r="E684" s="90"/>
      <c r="F684" s="90"/>
      <c r="G684" s="90"/>
      <c r="H684" s="90"/>
    </row>
    <row r="685" spans="2:8" x14ac:dyDescent="0.3">
      <c r="B685" s="90"/>
      <c r="C685" s="90"/>
      <c r="D685" s="90"/>
      <c r="E685" s="90"/>
      <c r="F685" s="90"/>
      <c r="G685" s="90"/>
      <c r="H685" s="90"/>
    </row>
    <row r="686" spans="2:8" x14ac:dyDescent="0.3">
      <c r="B686" s="90"/>
      <c r="C686" s="90"/>
      <c r="D686" s="90"/>
      <c r="E686" s="90"/>
      <c r="F686" s="90"/>
      <c r="G686" s="90"/>
      <c r="H686" s="90"/>
    </row>
    <row r="687" spans="2:8" x14ac:dyDescent="0.3">
      <c r="B687" s="90"/>
      <c r="C687" s="90"/>
      <c r="D687" s="90"/>
      <c r="E687" s="90"/>
      <c r="F687" s="90"/>
      <c r="G687" s="90"/>
      <c r="H687" s="90"/>
    </row>
    <row r="688" spans="2:8" x14ac:dyDescent="0.3">
      <c r="B688" s="90"/>
      <c r="C688" s="90"/>
      <c r="D688" s="90"/>
      <c r="E688" s="90"/>
      <c r="F688" s="90"/>
      <c r="G688" s="90"/>
      <c r="H688" s="90"/>
    </row>
    <row r="689" spans="2:8" x14ac:dyDescent="0.3">
      <c r="B689" s="90"/>
      <c r="C689" s="90"/>
      <c r="D689" s="90"/>
      <c r="E689" s="90"/>
      <c r="F689" s="90"/>
      <c r="G689" s="90"/>
      <c r="H689" s="90"/>
    </row>
    <row r="690" spans="2:8" x14ac:dyDescent="0.3">
      <c r="B690" s="90"/>
      <c r="C690" s="90"/>
      <c r="D690" s="90"/>
      <c r="E690" s="90"/>
      <c r="F690" s="90"/>
      <c r="G690" s="90"/>
      <c r="H690" s="90"/>
    </row>
    <row r="691" spans="2:8" x14ac:dyDescent="0.3">
      <c r="B691" s="90"/>
      <c r="C691" s="90"/>
      <c r="D691" s="90"/>
      <c r="E691" s="90"/>
      <c r="F691" s="90"/>
      <c r="G691" s="90"/>
      <c r="H691" s="90"/>
    </row>
    <row r="692" spans="2:8" x14ac:dyDescent="0.3">
      <c r="B692" s="90"/>
      <c r="C692" s="90"/>
      <c r="D692" s="90"/>
      <c r="E692" s="90"/>
      <c r="F692" s="90"/>
      <c r="G692" s="90"/>
      <c r="H692" s="90"/>
    </row>
    <row r="693" spans="2:8" x14ac:dyDescent="0.3">
      <c r="B693" s="90"/>
      <c r="C693" s="90"/>
      <c r="D693" s="90"/>
      <c r="E693" s="90"/>
      <c r="F693" s="90"/>
      <c r="G693" s="90"/>
      <c r="H693" s="90"/>
    </row>
    <row r="694" spans="2:8" x14ac:dyDescent="0.3">
      <c r="B694" s="90"/>
      <c r="C694" s="90"/>
      <c r="D694" s="90"/>
      <c r="E694" s="90"/>
      <c r="F694" s="90"/>
      <c r="G694" s="90"/>
      <c r="H694" s="90"/>
    </row>
    <row r="695" spans="2:8" x14ac:dyDescent="0.3">
      <c r="B695" s="90"/>
      <c r="C695" s="90"/>
      <c r="D695" s="90"/>
      <c r="E695" s="90"/>
      <c r="F695" s="90"/>
      <c r="G695" s="90"/>
      <c r="H695" s="90"/>
    </row>
    <row r="696" spans="2:8" x14ac:dyDescent="0.3">
      <c r="B696" s="90"/>
      <c r="C696" s="90"/>
      <c r="D696" s="90"/>
      <c r="E696" s="90"/>
      <c r="F696" s="90"/>
      <c r="G696" s="90"/>
      <c r="H696" s="90"/>
    </row>
    <row r="697" spans="2:8" x14ac:dyDescent="0.3">
      <c r="B697" s="90"/>
      <c r="C697" s="90"/>
      <c r="D697" s="90"/>
      <c r="E697" s="90"/>
      <c r="F697" s="90"/>
      <c r="G697" s="90"/>
      <c r="H697" s="90"/>
    </row>
    <row r="698" spans="2:8" x14ac:dyDescent="0.3">
      <c r="B698" s="90"/>
      <c r="C698" s="90"/>
      <c r="D698" s="90"/>
      <c r="E698" s="90"/>
      <c r="F698" s="90"/>
      <c r="G698" s="90"/>
      <c r="H698" s="90"/>
    </row>
    <row r="699" spans="2:8" x14ac:dyDescent="0.3">
      <c r="B699" s="90"/>
      <c r="C699" s="90"/>
      <c r="D699" s="90"/>
      <c r="E699" s="90"/>
      <c r="F699" s="90"/>
      <c r="G699" s="90"/>
      <c r="H699" s="90"/>
    </row>
    <row r="700" spans="2:8" x14ac:dyDescent="0.3">
      <c r="B700" s="90"/>
      <c r="C700" s="90"/>
      <c r="D700" s="90"/>
      <c r="E700" s="90"/>
      <c r="F700" s="90"/>
      <c r="G700" s="90"/>
      <c r="H700" s="90"/>
    </row>
    <row r="701" spans="2:8" x14ac:dyDescent="0.3">
      <c r="B701" s="90"/>
      <c r="C701" s="90"/>
      <c r="D701" s="90"/>
      <c r="E701" s="90"/>
      <c r="F701" s="90"/>
      <c r="G701" s="90"/>
      <c r="H701" s="90"/>
    </row>
    <row r="702" spans="2:8" x14ac:dyDescent="0.3">
      <c r="B702" s="90"/>
      <c r="C702" s="90"/>
      <c r="D702" s="90"/>
      <c r="E702" s="90"/>
      <c r="F702" s="90"/>
      <c r="G702" s="90"/>
      <c r="H702" s="90"/>
    </row>
    <row r="703" spans="2:8" x14ac:dyDescent="0.3">
      <c r="B703" s="90"/>
      <c r="C703" s="90"/>
      <c r="D703" s="90"/>
      <c r="E703" s="90"/>
      <c r="F703" s="90"/>
      <c r="G703" s="90"/>
      <c r="H703" s="90"/>
    </row>
    <row r="704" spans="2:8" x14ac:dyDescent="0.3">
      <c r="B704" s="90"/>
      <c r="C704" s="90"/>
      <c r="D704" s="90"/>
      <c r="E704" s="90"/>
      <c r="F704" s="90"/>
      <c r="G704" s="90"/>
      <c r="H704" s="90"/>
    </row>
    <row r="705" spans="2:8" x14ac:dyDescent="0.3">
      <c r="B705" s="90"/>
      <c r="C705" s="90"/>
      <c r="D705" s="90"/>
      <c r="E705" s="90"/>
      <c r="F705" s="90"/>
      <c r="G705" s="90"/>
      <c r="H705" s="90"/>
    </row>
    <row r="706" spans="2:8" x14ac:dyDescent="0.3">
      <c r="B706" s="90"/>
      <c r="C706" s="90"/>
      <c r="D706" s="90"/>
      <c r="E706" s="90"/>
      <c r="F706" s="90"/>
      <c r="G706" s="90"/>
      <c r="H706" s="90"/>
    </row>
    <row r="707" spans="2:8" x14ac:dyDescent="0.3">
      <c r="B707" s="90"/>
      <c r="C707" s="90"/>
      <c r="D707" s="90"/>
      <c r="E707" s="90"/>
      <c r="F707" s="90"/>
      <c r="G707" s="90"/>
      <c r="H707" s="90"/>
    </row>
    <row r="708" spans="2:8" x14ac:dyDescent="0.3">
      <c r="B708" s="90"/>
      <c r="C708" s="90"/>
      <c r="D708" s="90"/>
      <c r="E708" s="90"/>
      <c r="F708" s="90"/>
      <c r="G708" s="90"/>
      <c r="H708" s="90"/>
    </row>
    <row r="709" spans="2:8" x14ac:dyDescent="0.3">
      <c r="B709" s="90"/>
      <c r="C709" s="90"/>
      <c r="D709" s="90"/>
      <c r="E709" s="90"/>
      <c r="F709" s="90"/>
      <c r="G709" s="90"/>
      <c r="H709" s="90"/>
    </row>
    <row r="710" spans="2:8" x14ac:dyDescent="0.3">
      <c r="B710" s="90"/>
      <c r="C710" s="90"/>
      <c r="D710" s="90"/>
      <c r="E710" s="90"/>
      <c r="F710" s="90"/>
      <c r="G710" s="90"/>
      <c r="H710" s="90"/>
    </row>
    <row r="711" spans="2:8" x14ac:dyDescent="0.3">
      <c r="B711" s="90"/>
      <c r="C711" s="90"/>
      <c r="D711" s="90"/>
      <c r="E711" s="90"/>
      <c r="F711" s="90"/>
      <c r="G711" s="90"/>
      <c r="H711" s="90"/>
    </row>
    <row r="712" spans="2:8" x14ac:dyDescent="0.3">
      <c r="B712" s="90"/>
      <c r="C712" s="90"/>
      <c r="D712" s="90"/>
      <c r="E712" s="90"/>
      <c r="F712" s="90"/>
      <c r="G712" s="90"/>
      <c r="H712" s="90"/>
    </row>
    <row r="713" spans="2:8" x14ac:dyDescent="0.3">
      <c r="B713" s="90"/>
      <c r="C713" s="90"/>
      <c r="D713" s="90"/>
      <c r="E713" s="90"/>
      <c r="F713" s="90"/>
      <c r="G713" s="90"/>
      <c r="H713" s="90"/>
    </row>
    <row r="714" spans="2:8" x14ac:dyDescent="0.3">
      <c r="B714" s="90"/>
      <c r="C714" s="90"/>
      <c r="D714" s="90"/>
      <c r="E714" s="90"/>
      <c r="F714" s="90"/>
      <c r="G714" s="90"/>
      <c r="H714" s="90"/>
    </row>
    <row r="715" spans="2:8" x14ac:dyDescent="0.3">
      <c r="B715" s="90"/>
      <c r="C715" s="90"/>
      <c r="D715" s="90"/>
      <c r="E715" s="90"/>
      <c r="F715" s="90"/>
      <c r="G715" s="90"/>
      <c r="H715" s="90"/>
    </row>
    <row r="716" spans="2:8" x14ac:dyDescent="0.3">
      <c r="B716" s="90"/>
      <c r="C716" s="90"/>
      <c r="D716" s="90"/>
      <c r="E716" s="90"/>
      <c r="F716" s="90"/>
      <c r="G716" s="90"/>
      <c r="H716" s="90"/>
    </row>
    <row r="717" spans="2:8" x14ac:dyDescent="0.3">
      <c r="B717" s="90"/>
      <c r="C717" s="90"/>
      <c r="D717" s="90"/>
      <c r="E717" s="90"/>
      <c r="F717" s="90"/>
      <c r="G717" s="90"/>
      <c r="H717" s="90"/>
    </row>
    <row r="718" spans="2:8" x14ac:dyDescent="0.3">
      <c r="B718" s="90"/>
      <c r="C718" s="90"/>
      <c r="D718" s="90"/>
      <c r="E718" s="90"/>
      <c r="F718" s="90"/>
      <c r="G718" s="90"/>
      <c r="H718" s="90"/>
    </row>
    <row r="719" spans="2:8" x14ac:dyDescent="0.3">
      <c r="B719" s="90"/>
      <c r="C719" s="90"/>
      <c r="D719" s="90"/>
      <c r="E719" s="90"/>
      <c r="F719" s="90"/>
      <c r="G719" s="90"/>
      <c r="H719" s="90"/>
    </row>
    <row r="720" spans="2:8" x14ac:dyDescent="0.3">
      <c r="B720" s="90"/>
      <c r="C720" s="90"/>
      <c r="D720" s="90"/>
      <c r="E720" s="90"/>
      <c r="F720" s="90"/>
      <c r="G720" s="90"/>
      <c r="H720" s="90"/>
    </row>
    <row r="721" spans="2:8" x14ac:dyDescent="0.3">
      <c r="B721" s="90"/>
      <c r="C721" s="90"/>
      <c r="D721" s="90"/>
      <c r="E721" s="90"/>
      <c r="F721" s="90"/>
      <c r="G721" s="90"/>
      <c r="H721" s="90"/>
    </row>
    <row r="722" spans="2:8" x14ac:dyDescent="0.3">
      <c r="B722" s="90"/>
      <c r="C722" s="90"/>
      <c r="D722" s="90"/>
      <c r="E722" s="90"/>
      <c r="F722" s="90"/>
      <c r="G722" s="90"/>
      <c r="H722" s="90"/>
    </row>
    <row r="723" spans="2:8" x14ac:dyDescent="0.3">
      <c r="B723" s="90"/>
      <c r="C723" s="90"/>
      <c r="D723" s="90"/>
      <c r="E723" s="90"/>
      <c r="F723" s="90"/>
      <c r="G723" s="90"/>
      <c r="H723" s="90"/>
    </row>
    <row r="724" spans="2:8" x14ac:dyDescent="0.3">
      <c r="B724" s="90"/>
      <c r="C724" s="90"/>
      <c r="D724" s="90"/>
      <c r="E724" s="90"/>
      <c r="F724" s="90"/>
      <c r="G724" s="90"/>
      <c r="H724" s="90"/>
    </row>
    <row r="725" spans="2:8" x14ac:dyDescent="0.3">
      <c r="B725" s="90"/>
      <c r="C725" s="90"/>
      <c r="D725" s="90"/>
      <c r="E725" s="90"/>
      <c r="F725" s="90"/>
      <c r="G725" s="90"/>
      <c r="H725" s="90"/>
    </row>
    <row r="726" spans="2:8" x14ac:dyDescent="0.3">
      <c r="B726" s="90"/>
      <c r="C726" s="90"/>
      <c r="D726" s="90"/>
      <c r="E726" s="90"/>
      <c r="F726" s="90"/>
      <c r="G726" s="90"/>
      <c r="H726" s="90"/>
    </row>
    <row r="727" spans="2:8" x14ac:dyDescent="0.3">
      <c r="B727" s="90"/>
      <c r="C727" s="90"/>
      <c r="D727" s="90"/>
      <c r="E727" s="90"/>
      <c r="F727" s="90"/>
      <c r="G727" s="90"/>
      <c r="H727" s="90"/>
    </row>
    <row r="728" spans="2:8" x14ac:dyDescent="0.3">
      <c r="B728" s="90"/>
      <c r="C728" s="90"/>
      <c r="D728" s="90"/>
      <c r="E728" s="90"/>
      <c r="F728" s="90"/>
      <c r="G728" s="90"/>
      <c r="H728" s="90"/>
    </row>
    <row r="729" spans="2:8" x14ac:dyDescent="0.3">
      <c r="B729" s="90"/>
      <c r="C729" s="90"/>
      <c r="D729" s="90"/>
      <c r="E729" s="90"/>
      <c r="F729" s="90"/>
      <c r="G729" s="90"/>
      <c r="H729" s="90"/>
    </row>
    <row r="730" spans="2:8" x14ac:dyDescent="0.3">
      <c r="B730" s="90"/>
      <c r="C730" s="90"/>
      <c r="D730" s="90"/>
      <c r="E730" s="90"/>
      <c r="F730" s="90"/>
      <c r="G730" s="90"/>
      <c r="H730" s="90"/>
    </row>
    <row r="731" spans="2:8" x14ac:dyDescent="0.3">
      <c r="B731" s="90"/>
      <c r="C731" s="90"/>
      <c r="D731" s="90"/>
      <c r="E731" s="90"/>
      <c r="F731" s="90"/>
      <c r="G731" s="90"/>
      <c r="H731" s="90"/>
    </row>
    <row r="732" spans="2:8" x14ac:dyDescent="0.3">
      <c r="B732" s="90"/>
      <c r="C732" s="90"/>
      <c r="D732" s="90"/>
      <c r="E732" s="90"/>
      <c r="F732" s="90"/>
      <c r="G732" s="90"/>
      <c r="H732" s="90"/>
    </row>
    <row r="733" spans="2:8" x14ac:dyDescent="0.3">
      <c r="B733" s="90"/>
      <c r="C733" s="90"/>
      <c r="D733" s="90"/>
      <c r="E733" s="90"/>
      <c r="F733" s="90"/>
      <c r="G733" s="90"/>
      <c r="H733" s="90"/>
    </row>
    <row r="734" spans="2:8" x14ac:dyDescent="0.3">
      <c r="B734" s="90"/>
      <c r="C734" s="90"/>
      <c r="D734" s="90"/>
      <c r="E734" s="90"/>
      <c r="F734" s="90"/>
      <c r="G734" s="90"/>
      <c r="H734" s="90"/>
    </row>
    <row r="735" spans="2:8" x14ac:dyDescent="0.3">
      <c r="B735" s="90"/>
      <c r="C735" s="90"/>
      <c r="D735" s="90"/>
      <c r="E735" s="90"/>
      <c r="F735" s="90"/>
      <c r="G735" s="90"/>
      <c r="H735" s="90"/>
    </row>
    <row r="736" spans="2:8" x14ac:dyDescent="0.3">
      <c r="B736" s="90"/>
      <c r="C736" s="90"/>
      <c r="D736" s="90"/>
      <c r="E736" s="90"/>
      <c r="F736" s="90"/>
      <c r="G736" s="90"/>
      <c r="H736" s="90"/>
    </row>
    <row r="737" spans="2:8" x14ac:dyDescent="0.3">
      <c r="B737" s="90"/>
      <c r="C737" s="90"/>
      <c r="D737" s="90"/>
      <c r="E737" s="90"/>
      <c r="F737" s="90"/>
      <c r="G737" s="90"/>
      <c r="H737" s="90"/>
    </row>
    <row r="738" spans="2:8" x14ac:dyDescent="0.3">
      <c r="B738" s="90"/>
      <c r="C738" s="90"/>
      <c r="D738" s="90"/>
      <c r="E738" s="90"/>
      <c r="F738" s="90"/>
      <c r="G738" s="90"/>
      <c r="H738" s="90"/>
    </row>
    <row r="739" spans="2:8" x14ac:dyDescent="0.3">
      <c r="B739" s="90"/>
      <c r="C739" s="90"/>
      <c r="D739" s="90"/>
      <c r="E739" s="90"/>
      <c r="F739" s="90"/>
      <c r="G739" s="90"/>
      <c r="H739" s="90"/>
    </row>
    <row r="740" spans="2:8" x14ac:dyDescent="0.3">
      <c r="B740" s="90"/>
      <c r="C740" s="90"/>
      <c r="D740" s="90"/>
      <c r="E740" s="90"/>
      <c r="F740" s="90"/>
      <c r="G740" s="90"/>
      <c r="H740" s="90"/>
    </row>
    <row r="741" spans="2:8" x14ac:dyDescent="0.3">
      <c r="B741" s="90"/>
      <c r="C741" s="90"/>
      <c r="D741" s="90"/>
      <c r="E741" s="90"/>
      <c r="F741" s="90"/>
      <c r="G741" s="90"/>
      <c r="H741" s="90"/>
    </row>
    <row r="742" spans="2:8" x14ac:dyDescent="0.3">
      <c r="B742" s="90"/>
      <c r="C742" s="90"/>
      <c r="D742" s="90"/>
      <c r="E742" s="90"/>
      <c r="F742" s="90"/>
      <c r="G742" s="90"/>
      <c r="H742" s="90"/>
    </row>
    <row r="743" spans="2:8" x14ac:dyDescent="0.3">
      <c r="B743" s="90"/>
      <c r="C743" s="90"/>
      <c r="D743" s="90"/>
      <c r="E743" s="90"/>
      <c r="F743" s="90"/>
      <c r="G743" s="90"/>
      <c r="H743" s="90"/>
    </row>
    <row r="744" spans="2:8" x14ac:dyDescent="0.3">
      <c r="B744" s="90"/>
      <c r="C744" s="90"/>
      <c r="D744" s="90"/>
      <c r="E744" s="90"/>
      <c r="F744" s="90"/>
      <c r="G744" s="90"/>
      <c r="H744" s="90"/>
    </row>
    <row r="745" spans="2:8" x14ac:dyDescent="0.3">
      <c r="B745" s="90"/>
      <c r="C745" s="90"/>
      <c r="D745" s="90"/>
      <c r="E745" s="90"/>
      <c r="F745" s="90"/>
      <c r="G745" s="90"/>
      <c r="H745" s="90"/>
    </row>
    <row r="746" spans="2:8" x14ac:dyDescent="0.3">
      <c r="B746" s="90"/>
      <c r="C746" s="90"/>
      <c r="D746" s="90"/>
      <c r="E746" s="90"/>
      <c r="F746" s="90"/>
      <c r="G746" s="90"/>
      <c r="H746" s="90"/>
    </row>
    <row r="747" spans="2:8" x14ac:dyDescent="0.3">
      <c r="B747" s="90"/>
      <c r="C747" s="90"/>
      <c r="D747" s="90"/>
      <c r="E747" s="90"/>
      <c r="F747" s="90"/>
      <c r="G747" s="90"/>
      <c r="H747" s="90"/>
    </row>
    <row r="748" spans="2:8" x14ac:dyDescent="0.3">
      <c r="B748" s="90"/>
      <c r="C748" s="90"/>
      <c r="D748" s="90"/>
      <c r="E748" s="90"/>
      <c r="F748" s="90"/>
      <c r="G748" s="90"/>
      <c r="H748" s="90"/>
    </row>
    <row r="749" spans="2:8" x14ac:dyDescent="0.3">
      <c r="B749" s="90"/>
      <c r="C749" s="90"/>
      <c r="D749" s="90"/>
      <c r="E749" s="90"/>
      <c r="F749" s="90"/>
      <c r="G749" s="90"/>
      <c r="H749" s="90"/>
    </row>
    <row r="750" spans="2:8" x14ac:dyDescent="0.3">
      <c r="B750" s="90"/>
      <c r="C750" s="90"/>
      <c r="D750" s="90"/>
      <c r="E750" s="90"/>
      <c r="F750" s="90"/>
      <c r="G750" s="90"/>
      <c r="H750" s="90"/>
    </row>
    <row r="751" spans="2:8" x14ac:dyDescent="0.3">
      <c r="B751" s="90"/>
      <c r="C751" s="90"/>
      <c r="D751" s="90"/>
      <c r="E751" s="90"/>
      <c r="F751" s="90"/>
      <c r="G751" s="90"/>
      <c r="H751" s="90"/>
    </row>
    <row r="752" spans="2:8" x14ac:dyDescent="0.3">
      <c r="B752" s="90"/>
      <c r="C752" s="90"/>
      <c r="D752" s="90"/>
      <c r="E752" s="90"/>
      <c r="F752" s="90"/>
      <c r="G752" s="90"/>
      <c r="H752" s="90"/>
    </row>
    <row r="753" spans="2:8" x14ac:dyDescent="0.3">
      <c r="B753" s="90"/>
      <c r="C753" s="90"/>
      <c r="D753" s="90"/>
      <c r="E753" s="90"/>
      <c r="F753" s="90"/>
      <c r="G753" s="90"/>
      <c r="H753" s="90"/>
    </row>
    <row r="754" spans="2:8" x14ac:dyDescent="0.3">
      <c r="B754" s="90"/>
      <c r="C754" s="90"/>
      <c r="D754" s="90"/>
      <c r="E754" s="90"/>
      <c r="F754" s="90"/>
      <c r="G754" s="90"/>
      <c r="H754" s="90"/>
    </row>
    <row r="755" spans="2:8" x14ac:dyDescent="0.3">
      <c r="B755" s="90"/>
      <c r="C755" s="90"/>
      <c r="D755" s="90"/>
      <c r="E755" s="90"/>
      <c r="F755" s="90"/>
      <c r="G755" s="90"/>
      <c r="H755" s="90"/>
    </row>
    <row r="756" spans="2:8" x14ac:dyDescent="0.3">
      <c r="B756" s="90"/>
      <c r="C756" s="90"/>
      <c r="D756" s="90"/>
      <c r="E756" s="90"/>
      <c r="F756" s="90"/>
      <c r="G756" s="90"/>
      <c r="H756" s="90"/>
    </row>
    <row r="757" spans="2:8" x14ac:dyDescent="0.3">
      <c r="B757" s="90"/>
      <c r="C757" s="90"/>
      <c r="D757" s="90"/>
      <c r="E757" s="90"/>
      <c r="F757" s="90"/>
      <c r="G757" s="90"/>
      <c r="H757" s="90"/>
    </row>
    <row r="758" spans="2:8" x14ac:dyDescent="0.3">
      <c r="B758" s="90"/>
      <c r="C758" s="90"/>
      <c r="D758" s="90"/>
      <c r="E758" s="90"/>
      <c r="F758" s="90"/>
      <c r="G758" s="90"/>
      <c r="H758" s="90"/>
    </row>
    <row r="759" spans="2:8" x14ac:dyDescent="0.3">
      <c r="B759" s="90"/>
      <c r="C759" s="90"/>
      <c r="D759" s="90"/>
      <c r="E759" s="90"/>
      <c r="F759" s="90"/>
      <c r="G759" s="90"/>
      <c r="H759" s="90"/>
    </row>
    <row r="760" spans="2:8" x14ac:dyDescent="0.3">
      <c r="B760" s="90"/>
      <c r="C760" s="90"/>
      <c r="D760" s="90"/>
      <c r="E760" s="90"/>
      <c r="F760" s="90"/>
      <c r="G760" s="90"/>
      <c r="H760" s="90"/>
    </row>
    <row r="761" spans="2:8" x14ac:dyDescent="0.3">
      <c r="B761" s="90"/>
      <c r="C761" s="90"/>
      <c r="D761" s="90"/>
      <c r="E761" s="90"/>
      <c r="F761" s="90"/>
      <c r="G761" s="90"/>
      <c r="H761" s="90"/>
    </row>
    <row r="762" spans="2:8" x14ac:dyDescent="0.3">
      <c r="B762" s="90"/>
      <c r="C762" s="90"/>
      <c r="D762" s="90"/>
      <c r="E762" s="90"/>
      <c r="F762" s="90"/>
      <c r="G762" s="90"/>
      <c r="H762" s="90"/>
    </row>
    <row r="763" spans="2:8" x14ac:dyDescent="0.3">
      <c r="B763" s="90"/>
      <c r="C763" s="90"/>
      <c r="D763" s="90"/>
      <c r="E763" s="90"/>
      <c r="F763" s="90"/>
      <c r="G763" s="90"/>
      <c r="H763" s="90"/>
    </row>
    <row r="764" spans="2:8" x14ac:dyDescent="0.3">
      <c r="B764" s="90"/>
      <c r="C764" s="90"/>
      <c r="D764" s="90"/>
      <c r="E764" s="90"/>
      <c r="F764" s="90"/>
      <c r="G764" s="90"/>
      <c r="H764" s="90"/>
    </row>
    <row r="765" spans="2:8" x14ac:dyDescent="0.3">
      <c r="B765" s="90"/>
      <c r="C765" s="90"/>
      <c r="D765" s="90"/>
      <c r="E765" s="90"/>
      <c r="F765" s="90"/>
      <c r="G765" s="90"/>
      <c r="H765" s="90"/>
    </row>
    <row r="766" spans="2:8" x14ac:dyDescent="0.3">
      <c r="B766" s="90"/>
      <c r="C766" s="90"/>
      <c r="D766" s="90"/>
      <c r="E766" s="90"/>
      <c r="F766" s="90"/>
      <c r="G766" s="90"/>
      <c r="H766" s="90"/>
    </row>
    <row r="767" spans="2:8" x14ac:dyDescent="0.3">
      <c r="B767" s="90"/>
      <c r="C767" s="90"/>
      <c r="D767" s="90"/>
      <c r="E767" s="90"/>
      <c r="F767" s="90"/>
      <c r="G767" s="90"/>
      <c r="H767" s="90"/>
    </row>
    <row r="768" spans="2:8" x14ac:dyDescent="0.3">
      <c r="B768" s="90"/>
      <c r="C768" s="90"/>
      <c r="D768" s="90"/>
      <c r="E768" s="90"/>
      <c r="F768" s="90"/>
      <c r="G768" s="90"/>
      <c r="H768" s="90"/>
    </row>
    <row r="769" spans="2:8" x14ac:dyDescent="0.3">
      <c r="B769" s="90"/>
      <c r="C769" s="90"/>
      <c r="D769" s="90"/>
      <c r="E769" s="90"/>
      <c r="F769" s="90"/>
      <c r="G769" s="90"/>
      <c r="H769" s="90"/>
    </row>
    <row r="770" spans="2:8" x14ac:dyDescent="0.3">
      <c r="B770" s="90"/>
      <c r="C770" s="90"/>
      <c r="D770" s="90"/>
      <c r="E770" s="90"/>
      <c r="F770" s="90"/>
      <c r="G770" s="90"/>
      <c r="H770" s="90"/>
    </row>
    <row r="771" spans="2:8" x14ac:dyDescent="0.3">
      <c r="B771" s="90"/>
      <c r="C771" s="90"/>
      <c r="D771" s="90"/>
      <c r="E771" s="90"/>
      <c r="F771" s="90"/>
      <c r="G771" s="90"/>
      <c r="H771" s="90"/>
    </row>
    <row r="772" spans="2:8" x14ac:dyDescent="0.3">
      <c r="B772" s="90"/>
      <c r="C772" s="90"/>
      <c r="D772" s="90"/>
      <c r="E772" s="90"/>
      <c r="F772" s="90"/>
      <c r="G772" s="90"/>
      <c r="H772" s="90"/>
    </row>
    <row r="773" spans="2:8" x14ac:dyDescent="0.3">
      <c r="B773" s="90"/>
      <c r="C773" s="90"/>
      <c r="D773" s="90"/>
      <c r="E773" s="90"/>
      <c r="F773" s="90"/>
      <c r="G773" s="90"/>
      <c r="H773" s="90"/>
    </row>
    <row r="774" spans="2:8" x14ac:dyDescent="0.3">
      <c r="B774" s="90"/>
      <c r="C774" s="90"/>
      <c r="D774" s="90"/>
      <c r="E774" s="90"/>
      <c r="F774" s="90"/>
      <c r="G774" s="90"/>
      <c r="H774" s="90"/>
    </row>
    <row r="775" spans="2:8" x14ac:dyDescent="0.3">
      <c r="B775" s="90"/>
      <c r="C775" s="90"/>
      <c r="D775" s="90"/>
      <c r="E775" s="90"/>
      <c r="F775" s="90"/>
      <c r="G775" s="90"/>
      <c r="H775" s="90"/>
    </row>
    <row r="776" spans="2:8" x14ac:dyDescent="0.3">
      <c r="B776" s="90"/>
      <c r="C776" s="90"/>
      <c r="D776" s="90"/>
      <c r="E776" s="90"/>
      <c r="F776" s="90"/>
      <c r="G776" s="90"/>
      <c r="H776" s="90"/>
    </row>
    <row r="777" spans="2:8" x14ac:dyDescent="0.3">
      <c r="B777" s="90"/>
      <c r="C777" s="90"/>
      <c r="D777" s="90"/>
      <c r="E777" s="90"/>
      <c r="F777" s="90"/>
      <c r="G777" s="90"/>
      <c r="H777" s="90"/>
    </row>
    <row r="778" spans="2:8" x14ac:dyDescent="0.3">
      <c r="B778" s="90"/>
      <c r="C778" s="90"/>
      <c r="D778" s="90"/>
      <c r="E778" s="90"/>
      <c r="F778" s="90"/>
      <c r="G778" s="90"/>
      <c r="H778" s="90"/>
    </row>
    <row r="779" spans="2:8" x14ac:dyDescent="0.3">
      <c r="B779" s="90"/>
      <c r="C779" s="90"/>
      <c r="D779" s="90"/>
      <c r="E779" s="90"/>
      <c r="F779" s="90"/>
      <c r="G779" s="90"/>
      <c r="H779" s="90"/>
    </row>
    <row r="780" spans="2:8" x14ac:dyDescent="0.3">
      <c r="B780" s="90"/>
      <c r="C780" s="90"/>
      <c r="D780" s="90"/>
      <c r="E780" s="90"/>
      <c r="F780" s="90"/>
      <c r="G780" s="90"/>
      <c r="H780" s="90"/>
    </row>
    <row r="781" spans="2:8" x14ac:dyDescent="0.3">
      <c r="B781" s="90"/>
      <c r="C781" s="90"/>
      <c r="D781" s="90"/>
      <c r="E781" s="90"/>
      <c r="F781" s="90"/>
      <c r="G781" s="90"/>
      <c r="H781" s="90"/>
    </row>
    <row r="782" spans="2:8" x14ac:dyDescent="0.3">
      <c r="B782" s="90"/>
      <c r="C782" s="90"/>
      <c r="D782" s="90"/>
      <c r="E782" s="90"/>
      <c r="F782" s="90"/>
      <c r="G782" s="90"/>
      <c r="H782" s="90"/>
    </row>
    <row r="783" spans="2:8" x14ac:dyDescent="0.3">
      <c r="B783" s="90"/>
      <c r="C783" s="90"/>
      <c r="D783" s="90"/>
      <c r="E783" s="90"/>
      <c r="F783" s="90"/>
      <c r="G783" s="90"/>
      <c r="H783" s="90"/>
    </row>
    <row r="784" spans="2:8" x14ac:dyDescent="0.3">
      <c r="B784" s="90"/>
      <c r="C784" s="90"/>
      <c r="D784" s="90"/>
      <c r="E784" s="90"/>
      <c r="F784" s="90"/>
      <c r="G784" s="90"/>
      <c r="H784" s="90"/>
    </row>
    <row r="785" spans="2:8" x14ac:dyDescent="0.3">
      <c r="B785" s="90"/>
      <c r="C785" s="90"/>
      <c r="D785" s="90"/>
      <c r="E785" s="90"/>
      <c r="F785" s="90"/>
      <c r="G785" s="90"/>
      <c r="H785" s="90"/>
    </row>
    <row r="786" spans="2:8" x14ac:dyDescent="0.3">
      <c r="B786" s="90"/>
      <c r="C786" s="90"/>
      <c r="D786" s="90"/>
      <c r="E786" s="90"/>
      <c r="F786" s="90"/>
      <c r="G786" s="90"/>
      <c r="H786" s="90"/>
    </row>
    <row r="787" spans="2:8" x14ac:dyDescent="0.3">
      <c r="B787" s="90"/>
      <c r="C787" s="90"/>
      <c r="D787" s="90"/>
      <c r="E787" s="90"/>
      <c r="F787" s="90"/>
      <c r="G787" s="90"/>
      <c r="H787" s="90"/>
    </row>
    <row r="788" spans="2:8" x14ac:dyDescent="0.3">
      <c r="B788" s="90"/>
      <c r="C788" s="90"/>
      <c r="D788" s="90"/>
      <c r="E788" s="90"/>
      <c r="F788" s="90"/>
      <c r="G788" s="90"/>
      <c r="H788" s="90"/>
    </row>
    <row r="789" spans="2:8" x14ac:dyDescent="0.3">
      <c r="B789" s="90"/>
      <c r="C789" s="90"/>
      <c r="D789" s="90"/>
      <c r="E789" s="90"/>
      <c r="F789" s="90"/>
      <c r="G789" s="90"/>
      <c r="H789" s="90"/>
    </row>
    <row r="790" spans="2:8" x14ac:dyDescent="0.3">
      <c r="B790" s="90"/>
      <c r="C790" s="90"/>
      <c r="D790" s="90"/>
      <c r="E790" s="90"/>
      <c r="F790" s="90"/>
      <c r="G790" s="90"/>
      <c r="H790" s="90"/>
    </row>
    <row r="791" spans="2:8" x14ac:dyDescent="0.3">
      <c r="B791" s="90"/>
      <c r="C791" s="90"/>
      <c r="D791" s="90"/>
      <c r="E791" s="90"/>
      <c r="F791" s="90"/>
      <c r="G791" s="90"/>
      <c r="H791" s="90"/>
    </row>
    <row r="792" spans="2:8" x14ac:dyDescent="0.3">
      <c r="B792" s="90"/>
      <c r="C792" s="90"/>
      <c r="D792" s="90"/>
      <c r="E792" s="90"/>
      <c r="F792" s="90"/>
      <c r="G792" s="90"/>
      <c r="H792" s="90"/>
    </row>
    <row r="793" spans="2:8" x14ac:dyDescent="0.3">
      <c r="B793" s="90"/>
      <c r="C793" s="90"/>
      <c r="D793" s="90"/>
      <c r="E793" s="90"/>
      <c r="F793" s="90"/>
      <c r="G793" s="90"/>
      <c r="H793" s="90"/>
    </row>
    <row r="794" spans="2:8" x14ac:dyDescent="0.3">
      <c r="B794" s="90"/>
      <c r="C794" s="90"/>
      <c r="D794" s="90"/>
      <c r="E794" s="90"/>
      <c r="F794" s="90"/>
      <c r="G794" s="90"/>
      <c r="H794" s="90"/>
    </row>
    <row r="795" spans="2:8" x14ac:dyDescent="0.3">
      <c r="B795" s="90"/>
      <c r="C795" s="90"/>
      <c r="D795" s="90"/>
      <c r="E795" s="90"/>
      <c r="F795" s="90"/>
      <c r="G795" s="90"/>
      <c r="H795" s="90"/>
    </row>
    <row r="796" spans="2:8" x14ac:dyDescent="0.3">
      <c r="B796" s="90"/>
      <c r="C796" s="90"/>
      <c r="D796" s="90"/>
      <c r="E796" s="90"/>
      <c r="F796" s="90"/>
      <c r="G796" s="90"/>
      <c r="H796" s="90"/>
    </row>
    <row r="797" spans="2:8" x14ac:dyDescent="0.3">
      <c r="B797" s="90"/>
      <c r="C797" s="90"/>
      <c r="D797" s="90"/>
      <c r="E797" s="90"/>
      <c r="F797" s="90"/>
      <c r="G797" s="90"/>
      <c r="H797" s="90"/>
    </row>
    <row r="798" spans="2:8" x14ac:dyDescent="0.3">
      <c r="B798" s="90"/>
      <c r="C798" s="90"/>
      <c r="D798" s="90"/>
      <c r="E798" s="90"/>
      <c r="F798" s="90"/>
      <c r="G798" s="90"/>
      <c r="H798" s="90"/>
    </row>
    <row r="799" spans="2:8" x14ac:dyDescent="0.3">
      <c r="B799" s="90"/>
      <c r="C799" s="90"/>
      <c r="D799" s="90"/>
      <c r="E799" s="90"/>
      <c r="F799" s="90"/>
      <c r="G799" s="90"/>
      <c r="H799" s="90"/>
    </row>
    <row r="800" spans="2:8" x14ac:dyDescent="0.3">
      <c r="B800" s="90"/>
      <c r="C800" s="90"/>
      <c r="D800" s="90"/>
      <c r="E800" s="90"/>
      <c r="F800" s="90"/>
      <c r="G800" s="90"/>
      <c r="H800" s="90"/>
    </row>
    <row r="801" spans="2:8" x14ac:dyDescent="0.3">
      <c r="B801" s="90"/>
      <c r="C801" s="90"/>
      <c r="D801" s="90"/>
      <c r="E801" s="90"/>
      <c r="F801" s="90"/>
      <c r="G801" s="90"/>
      <c r="H801" s="90"/>
    </row>
    <row r="802" spans="2:8" x14ac:dyDescent="0.3">
      <c r="B802" s="90"/>
      <c r="C802" s="90"/>
      <c r="D802" s="90"/>
      <c r="E802" s="90"/>
      <c r="F802" s="90"/>
      <c r="G802" s="90"/>
      <c r="H802" s="90"/>
    </row>
    <row r="803" spans="2:8" x14ac:dyDescent="0.3">
      <c r="B803" s="90"/>
      <c r="C803" s="90"/>
      <c r="D803" s="90"/>
      <c r="E803" s="90"/>
      <c r="F803" s="90"/>
      <c r="G803" s="90"/>
      <c r="H803" s="90"/>
    </row>
    <row r="804" spans="2:8" x14ac:dyDescent="0.3">
      <c r="B804" s="90"/>
      <c r="C804" s="90"/>
      <c r="D804" s="90"/>
      <c r="E804" s="90"/>
      <c r="F804" s="90"/>
      <c r="G804" s="90"/>
      <c r="H804" s="90"/>
    </row>
    <row r="805" spans="2:8" x14ac:dyDescent="0.3">
      <c r="B805" s="90"/>
      <c r="C805" s="90"/>
      <c r="D805" s="90"/>
      <c r="E805" s="90"/>
      <c r="F805" s="90"/>
      <c r="G805" s="90"/>
      <c r="H805" s="90"/>
    </row>
    <row r="806" spans="2:8" x14ac:dyDescent="0.3">
      <c r="B806" s="90"/>
      <c r="C806" s="90"/>
      <c r="D806" s="90"/>
      <c r="E806" s="90"/>
      <c r="F806" s="90"/>
      <c r="G806" s="90"/>
      <c r="H806" s="90"/>
    </row>
    <row r="807" spans="2:8" x14ac:dyDescent="0.3">
      <c r="B807" s="90"/>
      <c r="C807" s="90"/>
      <c r="D807" s="90"/>
      <c r="E807" s="90"/>
      <c r="F807" s="90"/>
      <c r="G807" s="90"/>
      <c r="H807" s="90"/>
    </row>
    <row r="808" spans="2:8" x14ac:dyDescent="0.3">
      <c r="B808" s="90"/>
      <c r="C808" s="90"/>
      <c r="D808" s="90"/>
      <c r="E808" s="90"/>
      <c r="F808" s="90"/>
      <c r="G808" s="90"/>
      <c r="H808" s="90"/>
    </row>
    <row r="809" spans="2:8" x14ac:dyDescent="0.3">
      <c r="B809" s="90"/>
      <c r="C809" s="90"/>
      <c r="D809" s="90"/>
      <c r="E809" s="90"/>
      <c r="F809" s="90"/>
      <c r="G809" s="90"/>
      <c r="H809" s="90"/>
    </row>
    <row r="810" spans="2:8" x14ac:dyDescent="0.3">
      <c r="B810" s="90"/>
      <c r="C810" s="90"/>
      <c r="D810" s="90"/>
      <c r="E810" s="90"/>
      <c r="F810" s="90"/>
      <c r="G810" s="90"/>
      <c r="H810" s="90"/>
    </row>
    <row r="811" spans="2:8" x14ac:dyDescent="0.3">
      <c r="B811" s="90"/>
      <c r="C811" s="90"/>
      <c r="D811" s="90"/>
      <c r="E811" s="90"/>
      <c r="F811" s="90"/>
      <c r="G811" s="90"/>
      <c r="H811" s="90"/>
    </row>
    <row r="812" spans="2:8" x14ac:dyDescent="0.3">
      <c r="B812" s="90"/>
      <c r="C812" s="90"/>
      <c r="D812" s="90"/>
      <c r="E812" s="90"/>
      <c r="F812" s="90"/>
      <c r="G812" s="90"/>
      <c r="H812" s="90"/>
    </row>
    <row r="813" spans="2:8" x14ac:dyDescent="0.3">
      <c r="B813" s="90"/>
      <c r="C813" s="90"/>
      <c r="D813" s="90"/>
      <c r="E813" s="90"/>
      <c r="F813" s="90"/>
      <c r="G813" s="90"/>
      <c r="H813" s="90"/>
    </row>
    <row r="814" spans="2:8" x14ac:dyDescent="0.3">
      <c r="B814" s="90"/>
      <c r="C814" s="90"/>
      <c r="D814" s="90"/>
      <c r="E814" s="90"/>
      <c r="F814" s="90"/>
      <c r="G814" s="90"/>
      <c r="H814" s="90"/>
    </row>
    <row r="815" spans="2:8" x14ac:dyDescent="0.3">
      <c r="B815" s="90"/>
      <c r="C815" s="90"/>
      <c r="D815" s="90"/>
      <c r="E815" s="90"/>
      <c r="F815" s="90"/>
      <c r="G815" s="90"/>
      <c r="H815" s="90"/>
    </row>
    <row r="816" spans="2:8" x14ac:dyDescent="0.3">
      <c r="B816" s="90"/>
      <c r="C816" s="90"/>
      <c r="D816" s="90"/>
      <c r="E816" s="90"/>
      <c r="F816" s="90"/>
      <c r="G816" s="90"/>
      <c r="H816" s="90"/>
    </row>
    <row r="817" spans="2:8" x14ac:dyDescent="0.3">
      <c r="B817" s="90"/>
      <c r="C817" s="90"/>
      <c r="D817" s="90"/>
      <c r="E817" s="90"/>
      <c r="F817" s="90"/>
      <c r="G817" s="90"/>
      <c r="H817" s="90"/>
    </row>
    <row r="818" spans="2:8" x14ac:dyDescent="0.3">
      <c r="B818" s="90"/>
      <c r="C818" s="90"/>
      <c r="D818" s="90"/>
      <c r="E818" s="90"/>
      <c r="F818" s="90"/>
      <c r="G818" s="90"/>
      <c r="H818" s="90"/>
    </row>
    <row r="819" spans="2:8" x14ac:dyDescent="0.3">
      <c r="B819" s="90"/>
      <c r="C819" s="90"/>
      <c r="D819" s="90"/>
      <c r="E819" s="90"/>
      <c r="F819" s="90"/>
      <c r="G819" s="90"/>
      <c r="H819" s="90"/>
    </row>
    <row r="820" spans="2:8" x14ac:dyDescent="0.3">
      <c r="B820" s="90"/>
      <c r="C820" s="90"/>
      <c r="D820" s="90"/>
      <c r="E820" s="90"/>
      <c r="F820" s="90"/>
      <c r="G820" s="90"/>
      <c r="H820" s="90"/>
    </row>
    <row r="821" spans="2:8" x14ac:dyDescent="0.3">
      <c r="B821" s="90"/>
      <c r="C821" s="90"/>
      <c r="D821" s="90"/>
      <c r="E821" s="90"/>
      <c r="F821" s="90"/>
      <c r="G821" s="90"/>
      <c r="H821" s="90"/>
    </row>
    <row r="822" spans="2:8" x14ac:dyDescent="0.3">
      <c r="B822" s="90"/>
      <c r="C822" s="90"/>
      <c r="D822" s="90"/>
      <c r="E822" s="90"/>
      <c r="F822" s="90"/>
      <c r="G822" s="90"/>
      <c r="H822" s="90"/>
    </row>
    <row r="823" spans="2:8" x14ac:dyDescent="0.3">
      <c r="B823" s="90"/>
      <c r="C823" s="90"/>
      <c r="D823" s="90"/>
      <c r="E823" s="90"/>
      <c r="F823" s="90"/>
      <c r="G823" s="90"/>
      <c r="H823" s="90"/>
    </row>
    <row r="824" spans="2:8" x14ac:dyDescent="0.3">
      <c r="B824" s="90"/>
      <c r="C824" s="90"/>
      <c r="D824" s="90"/>
      <c r="E824" s="90"/>
      <c r="F824" s="90"/>
      <c r="G824" s="90"/>
      <c r="H824" s="90"/>
    </row>
    <row r="825" spans="2:8" x14ac:dyDescent="0.3">
      <c r="B825" s="90"/>
      <c r="C825" s="90"/>
      <c r="D825" s="90"/>
      <c r="E825" s="90"/>
      <c r="F825" s="90"/>
      <c r="G825" s="90"/>
      <c r="H825" s="90"/>
    </row>
    <row r="826" spans="2:8" x14ac:dyDescent="0.3">
      <c r="B826" s="90"/>
      <c r="C826" s="90"/>
      <c r="D826" s="90"/>
      <c r="E826" s="90"/>
      <c r="F826" s="90"/>
      <c r="G826" s="90"/>
      <c r="H826" s="90"/>
    </row>
    <row r="827" spans="2:8" x14ac:dyDescent="0.3">
      <c r="B827" s="90"/>
      <c r="C827" s="90"/>
      <c r="D827" s="90"/>
      <c r="E827" s="90"/>
      <c r="F827" s="90"/>
      <c r="G827" s="90"/>
      <c r="H827" s="90"/>
    </row>
    <row r="828" spans="2:8" x14ac:dyDescent="0.3">
      <c r="B828" s="90"/>
      <c r="C828" s="90"/>
      <c r="D828" s="90"/>
      <c r="E828" s="90"/>
      <c r="F828" s="90"/>
      <c r="G828" s="90"/>
      <c r="H828" s="90"/>
    </row>
    <row r="829" spans="2:8" x14ac:dyDescent="0.3">
      <c r="B829" s="90"/>
      <c r="C829" s="90"/>
      <c r="D829" s="90"/>
      <c r="E829" s="90"/>
      <c r="F829" s="90"/>
      <c r="G829" s="90"/>
      <c r="H829" s="90"/>
    </row>
    <row r="830" spans="2:8" x14ac:dyDescent="0.3">
      <c r="B830" s="90"/>
      <c r="C830" s="90"/>
      <c r="D830" s="90"/>
      <c r="E830" s="90"/>
      <c r="F830" s="90"/>
      <c r="G830" s="90"/>
      <c r="H830" s="90"/>
    </row>
    <row r="831" spans="2:8" x14ac:dyDescent="0.3">
      <c r="B831" s="90"/>
      <c r="C831" s="90"/>
      <c r="D831" s="90"/>
      <c r="E831" s="90"/>
      <c r="F831" s="90"/>
      <c r="G831" s="90"/>
      <c r="H831" s="90"/>
    </row>
    <row r="832" spans="2:8" x14ac:dyDescent="0.3">
      <c r="B832" s="90"/>
      <c r="C832" s="90"/>
      <c r="D832" s="90"/>
      <c r="E832" s="90"/>
      <c r="F832" s="90"/>
      <c r="G832" s="90"/>
      <c r="H832" s="90"/>
    </row>
    <row r="833" spans="2:8" x14ac:dyDescent="0.3">
      <c r="B833" s="90"/>
      <c r="C833" s="90"/>
      <c r="D833" s="90"/>
      <c r="E833" s="90"/>
      <c r="F833" s="90"/>
      <c r="G833" s="90"/>
      <c r="H833" s="90"/>
    </row>
    <row r="834" spans="2:8" x14ac:dyDescent="0.3">
      <c r="B834" s="90"/>
      <c r="C834" s="90"/>
      <c r="D834" s="90"/>
      <c r="E834" s="90"/>
      <c r="F834" s="90"/>
      <c r="G834" s="90"/>
      <c r="H834" s="90"/>
    </row>
    <row r="835" spans="2:8" x14ac:dyDescent="0.3">
      <c r="B835" s="90"/>
      <c r="C835" s="90"/>
      <c r="D835" s="90"/>
      <c r="E835" s="90"/>
      <c r="F835" s="90"/>
      <c r="G835" s="90"/>
      <c r="H835" s="90"/>
    </row>
    <row r="836" spans="2:8" x14ac:dyDescent="0.3">
      <c r="B836" s="90"/>
      <c r="C836" s="90"/>
      <c r="D836" s="90"/>
      <c r="E836" s="90"/>
      <c r="F836" s="90"/>
      <c r="G836" s="90"/>
      <c r="H836" s="90"/>
    </row>
    <row r="837" spans="2:8" x14ac:dyDescent="0.3">
      <c r="B837" s="90"/>
      <c r="C837" s="90"/>
      <c r="D837" s="90"/>
      <c r="E837" s="90"/>
      <c r="F837" s="90"/>
      <c r="G837" s="90"/>
      <c r="H837" s="90"/>
    </row>
    <row r="838" spans="2:8" x14ac:dyDescent="0.3">
      <c r="B838" s="90"/>
      <c r="C838" s="90"/>
      <c r="D838" s="90"/>
      <c r="E838" s="90"/>
      <c r="F838" s="90"/>
      <c r="G838" s="90"/>
      <c r="H838" s="90"/>
    </row>
    <row r="839" spans="2:8" x14ac:dyDescent="0.3">
      <c r="B839" s="90"/>
      <c r="C839" s="90"/>
      <c r="D839" s="90"/>
      <c r="E839" s="90"/>
      <c r="F839" s="90"/>
      <c r="G839" s="90"/>
      <c r="H839" s="90"/>
    </row>
    <row r="840" spans="2:8" x14ac:dyDescent="0.3">
      <c r="B840" s="90"/>
      <c r="C840" s="90"/>
      <c r="D840" s="90"/>
      <c r="E840" s="90"/>
      <c r="F840" s="90"/>
      <c r="G840" s="90"/>
      <c r="H840" s="90"/>
    </row>
    <row r="841" spans="2:8" x14ac:dyDescent="0.3">
      <c r="B841" s="90"/>
      <c r="C841" s="90"/>
      <c r="D841" s="90"/>
      <c r="E841" s="90"/>
      <c r="F841" s="90"/>
      <c r="G841" s="90"/>
      <c r="H841" s="90"/>
    </row>
    <row r="842" spans="2:8" x14ac:dyDescent="0.3">
      <c r="B842" s="90"/>
      <c r="C842" s="90"/>
      <c r="D842" s="90"/>
      <c r="E842" s="90"/>
      <c r="F842" s="90"/>
      <c r="G842" s="90"/>
      <c r="H842" s="90"/>
    </row>
    <row r="843" spans="2:8" x14ac:dyDescent="0.3">
      <c r="B843" s="90"/>
      <c r="C843" s="90"/>
      <c r="D843" s="90"/>
      <c r="E843" s="90"/>
      <c r="F843" s="90"/>
      <c r="G843" s="90"/>
      <c r="H843" s="90"/>
    </row>
    <row r="844" spans="2:8" x14ac:dyDescent="0.3">
      <c r="B844" s="90"/>
      <c r="C844" s="90"/>
      <c r="D844" s="90"/>
      <c r="E844" s="90"/>
      <c r="F844" s="90"/>
      <c r="G844" s="90"/>
      <c r="H844" s="90"/>
    </row>
    <row r="845" spans="2:8" x14ac:dyDescent="0.3">
      <c r="B845" s="90"/>
      <c r="C845" s="90"/>
      <c r="D845" s="90"/>
      <c r="E845" s="90"/>
      <c r="F845" s="90"/>
      <c r="G845" s="90"/>
      <c r="H845" s="90"/>
    </row>
    <row r="846" spans="2:8" x14ac:dyDescent="0.3">
      <c r="B846" s="90"/>
      <c r="C846" s="90"/>
      <c r="D846" s="90"/>
      <c r="E846" s="90"/>
      <c r="F846" s="90"/>
      <c r="G846" s="90"/>
      <c r="H846" s="90"/>
    </row>
    <row r="847" spans="2:8" x14ac:dyDescent="0.3">
      <c r="B847" s="90"/>
      <c r="C847" s="90"/>
      <c r="D847" s="90"/>
      <c r="E847" s="90"/>
      <c r="F847" s="90"/>
      <c r="G847" s="90"/>
      <c r="H847" s="90"/>
    </row>
    <row r="848" spans="2:8" x14ac:dyDescent="0.3">
      <c r="B848" s="90"/>
      <c r="C848" s="90"/>
      <c r="D848" s="90"/>
      <c r="E848" s="90"/>
      <c r="F848" s="90"/>
      <c r="G848" s="90"/>
      <c r="H848" s="90"/>
    </row>
    <row r="849" spans="2:8" x14ac:dyDescent="0.3">
      <c r="B849" s="90"/>
      <c r="C849" s="90"/>
      <c r="D849" s="90"/>
      <c r="E849" s="90"/>
      <c r="F849" s="90"/>
      <c r="G849" s="90"/>
      <c r="H849" s="90"/>
    </row>
    <row r="850" spans="2:8" x14ac:dyDescent="0.3">
      <c r="B850" s="90"/>
      <c r="C850" s="90"/>
      <c r="D850" s="90"/>
      <c r="E850" s="90"/>
      <c r="F850" s="90"/>
      <c r="G850" s="90"/>
      <c r="H850" s="90"/>
    </row>
    <row r="851" spans="2:8" x14ac:dyDescent="0.3">
      <c r="B851" s="90"/>
      <c r="C851" s="90"/>
      <c r="D851" s="90"/>
      <c r="E851" s="90"/>
      <c r="F851" s="90"/>
      <c r="G851" s="90"/>
      <c r="H851" s="90"/>
    </row>
    <row r="852" spans="2:8" x14ac:dyDescent="0.3">
      <c r="B852" s="90"/>
      <c r="C852" s="90"/>
      <c r="D852" s="90"/>
      <c r="E852" s="90"/>
      <c r="F852" s="90"/>
      <c r="G852" s="90"/>
      <c r="H852" s="90"/>
    </row>
    <row r="853" spans="2:8" x14ac:dyDescent="0.3">
      <c r="B853" s="90"/>
      <c r="C853" s="90"/>
      <c r="D853" s="90"/>
      <c r="E853" s="90"/>
      <c r="F853" s="90"/>
      <c r="G853" s="90"/>
      <c r="H853" s="90"/>
    </row>
    <row r="854" spans="2:8" x14ac:dyDescent="0.3">
      <c r="B854" s="90"/>
      <c r="C854" s="90"/>
      <c r="D854" s="90"/>
      <c r="E854" s="90"/>
      <c r="F854" s="90"/>
      <c r="G854" s="90"/>
      <c r="H854" s="90"/>
    </row>
    <row r="855" spans="2:8" x14ac:dyDescent="0.3">
      <c r="B855" s="90"/>
      <c r="C855" s="90"/>
      <c r="D855" s="90"/>
      <c r="E855" s="90"/>
      <c r="F855" s="90"/>
      <c r="G855" s="90"/>
      <c r="H855" s="90"/>
    </row>
    <row r="856" spans="2:8" x14ac:dyDescent="0.3">
      <c r="B856" s="90"/>
      <c r="C856" s="90"/>
      <c r="D856" s="90"/>
      <c r="E856" s="90"/>
      <c r="F856" s="90"/>
      <c r="G856" s="90"/>
      <c r="H856" s="90"/>
    </row>
    <row r="857" spans="2:8" x14ac:dyDescent="0.3">
      <c r="B857" s="90"/>
      <c r="C857" s="90"/>
      <c r="D857" s="90"/>
      <c r="E857" s="90"/>
      <c r="F857" s="90"/>
      <c r="G857" s="90"/>
      <c r="H857" s="90"/>
    </row>
    <row r="858" spans="2:8" x14ac:dyDescent="0.3">
      <c r="B858" s="90"/>
      <c r="C858" s="90"/>
      <c r="D858" s="90"/>
      <c r="E858" s="90"/>
      <c r="F858" s="90"/>
      <c r="G858" s="90"/>
      <c r="H858" s="90"/>
    </row>
    <row r="859" spans="2:8" x14ac:dyDescent="0.3">
      <c r="B859" s="90"/>
      <c r="C859" s="90"/>
      <c r="D859" s="90"/>
      <c r="E859" s="90"/>
      <c r="F859" s="90"/>
      <c r="G859" s="90"/>
      <c r="H859" s="90"/>
    </row>
    <row r="860" spans="2:8" x14ac:dyDescent="0.3">
      <c r="B860" s="90"/>
      <c r="C860" s="90"/>
      <c r="D860" s="90"/>
      <c r="E860" s="90"/>
      <c r="F860" s="90"/>
      <c r="G860" s="90"/>
      <c r="H860" s="90"/>
    </row>
    <row r="861" spans="2:8" x14ac:dyDescent="0.3">
      <c r="B861" s="90"/>
      <c r="C861" s="90"/>
      <c r="D861" s="90"/>
      <c r="E861" s="90"/>
      <c r="F861" s="90"/>
      <c r="G861" s="90"/>
      <c r="H861" s="90"/>
    </row>
    <row r="862" spans="2:8" x14ac:dyDescent="0.3">
      <c r="B862" s="90"/>
      <c r="C862" s="90"/>
      <c r="D862" s="90"/>
      <c r="E862" s="90"/>
      <c r="F862" s="90"/>
      <c r="G862" s="90"/>
      <c r="H862" s="90"/>
    </row>
    <row r="863" spans="2:8" x14ac:dyDescent="0.3">
      <c r="B863" s="90"/>
      <c r="C863" s="90"/>
      <c r="D863" s="90"/>
      <c r="E863" s="90"/>
      <c r="F863" s="90"/>
      <c r="G863" s="90"/>
      <c r="H863" s="90"/>
    </row>
    <row r="864" spans="2:8" x14ac:dyDescent="0.3">
      <c r="B864" s="90"/>
      <c r="C864" s="90"/>
      <c r="D864" s="90"/>
      <c r="E864" s="90"/>
      <c r="F864" s="90"/>
      <c r="G864" s="90"/>
      <c r="H864" s="90"/>
    </row>
    <row r="865" spans="2:8" x14ac:dyDescent="0.3">
      <c r="B865" s="90"/>
      <c r="C865" s="90"/>
      <c r="D865" s="90"/>
      <c r="E865" s="90"/>
      <c r="F865" s="90"/>
      <c r="G865" s="90"/>
      <c r="H865" s="90"/>
    </row>
    <row r="866" spans="2:8" x14ac:dyDescent="0.3">
      <c r="B866" s="90"/>
      <c r="C866" s="90"/>
      <c r="D866" s="90"/>
      <c r="E866" s="90"/>
      <c r="F866" s="90"/>
      <c r="G866" s="90"/>
      <c r="H866" s="90"/>
    </row>
    <row r="867" spans="2:8" x14ac:dyDescent="0.3">
      <c r="B867" s="90"/>
      <c r="C867" s="90"/>
      <c r="D867" s="90"/>
      <c r="E867" s="90"/>
      <c r="F867" s="90"/>
      <c r="G867" s="90"/>
      <c r="H867" s="90"/>
    </row>
    <row r="868" spans="2:8" x14ac:dyDescent="0.3">
      <c r="B868" s="90"/>
      <c r="C868" s="90"/>
      <c r="D868" s="90"/>
      <c r="E868" s="90"/>
      <c r="F868" s="90"/>
      <c r="G868" s="90"/>
      <c r="H868" s="90"/>
    </row>
    <row r="869" spans="2:8" x14ac:dyDescent="0.3">
      <c r="B869" s="90"/>
      <c r="C869" s="90"/>
      <c r="D869" s="90"/>
      <c r="E869" s="90"/>
      <c r="F869" s="90"/>
      <c r="G869" s="90"/>
      <c r="H869" s="90"/>
    </row>
    <row r="870" spans="2:8" x14ac:dyDescent="0.3">
      <c r="B870" s="90"/>
      <c r="C870" s="90"/>
      <c r="D870" s="90"/>
      <c r="E870" s="90"/>
      <c r="F870" s="90"/>
      <c r="G870" s="90"/>
      <c r="H870" s="90"/>
    </row>
    <row r="871" spans="2:8" x14ac:dyDescent="0.3">
      <c r="B871" s="90"/>
      <c r="C871" s="90"/>
      <c r="D871" s="90"/>
      <c r="E871" s="90"/>
      <c r="F871" s="90"/>
      <c r="G871" s="90"/>
      <c r="H871" s="90"/>
    </row>
    <row r="872" spans="2:8" x14ac:dyDescent="0.3">
      <c r="B872" s="90"/>
      <c r="C872" s="90"/>
      <c r="D872" s="90"/>
      <c r="E872" s="90"/>
      <c r="F872" s="90"/>
      <c r="G872" s="90"/>
      <c r="H872" s="90"/>
    </row>
    <row r="873" spans="2:8" x14ac:dyDescent="0.3">
      <c r="B873" s="90"/>
      <c r="C873" s="90"/>
      <c r="D873" s="90"/>
      <c r="E873" s="90"/>
      <c r="F873" s="90"/>
      <c r="G873" s="90"/>
      <c r="H873" s="90"/>
    </row>
    <row r="874" spans="2:8" x14ac:dyDescent="0.3">
      <c r="B874" s="90"/>
      <c r="C874" s="90"/>
      <c r="D874" s="90"/>
      <c r="E874" s="90"/>
      <c r="F874" s="90"/>
      <c r="G874" s="90"/>
      <c r="H874" s="90"/>
    </row>
    <row r="875" spans="2:8" x14ac:dyDescent="0.3">
      <c r="B875" s="90"/>
      <c r="C875" s="90"/>
      <c r="D875" s="90"/>
      <c r="E875" s="90"/>
      <c r="F875" s="90"/>
      <c r="G875" s="90"/>
      <c r="H875" s="90"/>
    </row>
    <row r="876" spans="2:8" x14ac:dyDescent="0.3">
      <c r="B876" s="90"/>
      <c r="C876" s="90"/>
      <c r="D876" s="90"/>
      <c r="E876" s="90"/>
      <c r="F876" s="90"/>
      <c r="G876" s="90"/>
      <c r="H876" s="90"/>
    </row>
    <row r="877" spans="2:8" x14ac:dyDescent="0.3">
      <c r="B877" s="90"/>
      <c r="C877" s="90"/>
      <c r="D877" s="90"/>
      <c r="E877" s="90"/>
      <c r="F877" s="90"/>
      <c r="G877" s="90"/>
      <c r="H877" s="90"/>
    </row>
    <row r="878" spans="2:8" x14ac:dyDescent="0.3">
      <c r="B878" s="90"/>
      <c r="C878" s="90"/>
      <c r="D878" s="90"/>
      <c r="E878" s="90"/>
      <c r="F878" s="90"/>
      <c r="G878" s="90"/>
      <c r="H878" s="90"/>
    </row>
    <row r="879" spans="2:8" x14ac:dyDescent="0.3">
      <c r="B879" s="90"/>
      <c r="C879" s="90"/>
      <c r="D879" s="90"/>
      <c r="E879" s="90"/>
      <c r="F879" s="90"/>
      <c r="G879" s="90"/>
      <c r="H879" s="90"/>
    </row>
    <row r="880" spans="2:8" x14ac:dyDescent="0.3">
      <c r="B880" s="90"/>
      <c r="C880" s="90"/>
      <c r="D880" s="90"/>
      <c r="E880" s="90"/>
      <c r="F880" s="90"/>
      <c r="G880" s="90"/>
      <c r="H880" s="90"/>
    </row>
    <row r="881" spans="2:8" x14ac:dyDescent="0.3">
      <c r="B881" s="90"/>
      <c r="C881" s="90"/>
      <c r="D881" s="90"/>
      <c r="E881" s="90"/>
      <c r="F881" s="90"/>
      <c r="G881" s="90"/>
      <c r="H881" s="90"/>
    </row>
    <row r="882" spans="2:8" x14ac:dyDescent="0.3">
      <c r="B882" s="90"/>
      <c r="C882" s="90"/>
      <c r="D882" s="90"/>
      <c r="E882" s="90"/>
      <c r="F882" s="90"/>
      <c r="G882" s="90"/>
      <c r="H882" s="90"/>
    </row>
    <row r="883" spans="2:8" x14ac:dyDescent="0.3">
      <c r="B883" s="90"/>
      <c r="C883" s="90"/>
      <c r="D883" s="90"/>
      <c r="E883" s="90"/>
      <c r="F883" s="90"/>
      <c r="G883" s="90"/>
      <c r="H883" s="90"/>
    </row>
    <row r="884" spans="2:8" x14ac:dyDescent="0.3">
      <c r="B884" s="90"/>
      <c r="C884" s="90"/>
      <c r="D884" s="90"/>
      <c r="E884" s="90"/>
      <c r="F884" s="90"/>
      <c r="G884" s="90"/>
      <c r="H884" s="90"/>
    </row>
    <row r="885" spans="2:8" x14ac:dyDescent="0.3">
      <c r="B885" s="90"/>
      <c r="C885" s="90"/>
      <c r="D885" s="90"/>
      <c r="E885" s="90"/>
      <c r="F885" s="90"/>
      <c r="G885" s="90"/>
      <c r="H885" s="90"/>
    </row>
    <row r="886" spans="2:8" x14ac:dyDescent="0.3">
      <c r="B886" s="90"/>
      <c r="C886" s="90"/>
      <c r="D886" s="90"/>
      <c r="E886" s="90"/>
      <c r="F886" s="90"/>
      <c r="G886" s="90"/>
      <c r="H886" s="90"/>
    </row>
    <row r="887" spans="2:8" x14ac:dyDescent="0.3">
      <c r="B887" s="90"/>
      <c r="C887" s="90"/>
      <c r="D887" s="90"/>
      <c r="E887" s="90"/>
      <c r="F887" s="90"/>
      <c r="G887" s="90"/>
      <c r="H887" s="90"/>
    </row>
    <row r="888" spans="2:8" x14ac:dyDescent="0.3">
      <c r="B888" s="90"/>
      <c r="C888" s="90"/>
      <c r="D888" s="90"/>
      <c r="E888" s="90"/>
      <c r="F888" s="90"/>
      <c r="G888" s="90"/>
      <c r="H888" s="90"/>
    </row>
    <row r="889" spans="2:8" x14ac:dyDescent="0.3">
      <c r="B889" s="90"/>
      <c r="C889" s="90"/>
      <c r="D889" s="90"/>
      <c r="E889" s="90"/>
      <c r="F889" s="90"/>
      <c r="G889" s="90"/>
      <c r="H889" s="90"/>
    </row>
    <row r="890" spans="2:8" x14ac:dyDescent="0.3">
      <c r="B890" s="90"/>
      <c r="C890" s="90"/>
      <c r="D890" s="90"/>
      <c r="E890" s="90"/>
      <c r="F890" s="90"/>
      <c r="G890" s="90"/>
      <c r="H890" s="90"/>
    </row>
    <row r="891" spans="2:8" x14ac:dyDescent="0.3">
      <c r="B891" s="90"/>
      <c r="C891" s="90"/>
      <c r="D891" s="90"/>
      <c r="E891" s="90"/>
      <c r="F891" s="90"/>
      <c r="G891" s="90"/>
      <c r="H891" s="90"/>
    </row>
    <row r="892" spans="2:8" x14ac:dyDescent="0.3">
      <c r="B892" s="90"/>
      <c r="C892" s="90"/>
      <c r="D892" s="90"/>
      <c r="E892" s="90"/>
      <c r="F892" s="90"/>
      <c r="G892" s="90"/>
      <c r="H892" s="90"/>
    </row>
    <row r="893" spans="2:8" x14ac:dyDescent="0.3">
      <c r="B893" s="90"/>
      <c r="C893" s="90"/>
      <c r="D893" s="90"/>
      <c r="E893" s="90"/>
      <c r="F893" s="90"/>
      <c r="G893" s="90"/>
      <c r="H893" s="90"/>
    </row>
    <row r="894" spans="2:8" x14ac:dyDescent="0.3">
      <c r="B894" s="90"/>
      <c r="C894" s="90"/>
      <c r="D894" s="90"/>
      <c r="E894" s="90"/>
      <c r="F894" s="90"/>
      <c r="G894" s="90"/>
      <c r="H894" s="90"/>
    </row>
    <row r="895" spans="2:8" x14ac:dyDescent="0.3">
      <c r="B895" s="90"/>
      <c r="C895" s="90"/>
      <c r="D895" s="90"/>
      <c r="E895" s="90"/>
      <c r="F895" s="90"/>
      <c r="G895" s="90"/>
      <c r="H895" s="90"/>
    </row>
    <row r="896" spans="2:8" x14ac:dyDescent="0.3">
      <c r="B896" s="90"/>
      <c r="C896" s="90"/>
      <c r="D896" s="90"/>
      <c r="E896" s="90"/>
      <c r="F896" s="90"/>
      <c r="G896" s="90"/>
      <c r="H896" s="90"/>
    </row>
    <row r="897" spans="2:8" x14ac:dyDescent="0.3">
      <c r="B897" s="90"/>
      <c r="C897" s="90"/>
      <c r="D897" s="90"/>
      <c r="E897" s="90"/>
      <c r="F897" s="90"/>
      <c r="G897" s="90"/>
      <c r="H897" s="90"/>
    </row>
    <row r="898" spans="2:8" x14ac:dyDescent="0.3">
      <c r="B898" s="90"/>
      <c r="C898" s="90"/>
      <c r="D898" s="90"/>
      <c r="E898" s="90"/>
      <c r="F898" s="90"/>
      <c r="G898" s="90"/>
      <c r="H898" s="90"/>
    </row>
    <row r="899" spans="2:8" x14ac:dyDescent="0.3">
      <c r="B899" s="90"/>
      <c r="C899" s="90"/>
      <c r="D899" s="90"/>
      <c r="E899" s="90"/>
      <c r="F899" s="90"/>
      <c r="G899" s="90"/>
      <c r="H899" s="90"/>
    </row>
    <row r="900" spans="2:8" x14ac:dyDescent="0.3">
      <c r="B900" s="90"/>
      <c r="C900" s="90"/>
      <c r="D900" s="90"/>
      <c r="E900" s="90"/>
      <c r="F900" s="90"/>
      <c r="G900" s="90"/>
      <c r="H900" s="90"/>
    </row>
    <row r="901" spans="2:8" x14ac:dyDescent="0.3">
      <c r="B901" s="90"/>
      <c r="C901" s="90"/>
      <c r="D901" s="90"/>
      <c r="E901" s="90"/>
      <c r="F901" s="90"/>
      <c r="G901" s="90"/>
      <c r="H901" s="90"/>
    </row>
    <row r="902" spans="2:8" x14ac:dyDescent="0.3">
      <c r="B902" s="90"/>
      <c r="C902" s="90"/>
      <c r="D902" s="90"/>
      <c r="E902" s="90"/>
      <c r="F902" s="90"/>
      <c r="G902" s="90"/>
      <c r="H902" s="90"/>
    </row>
    <row r="903" spans="2:8" x14ac:dyDescent="0.3">
      <c r="B903" s="90"/>
      <c r="C903" s="90"/>
      <c r="D903" s="90"/>
      <c r="E903" s="90"/>
      <c r="F903" s="90"/>
      <c r="G903" s="90"/>
      <c r="H903" s="90"/>
    </row>
    <row r="904" spans="2:8" x14ac:dyDescent="0.3">
      <c r="B904" s="90"/>
      <c r="C904" s="90"/>
      <c r="D904" s="90"/>
      <c r="E904" s="90"/>
      <c r="F904" s="90"/>
      <c r="G904" s="90"/>
      <c r="H904" s="90"/>
    </row>
    <row r="905" spans="2:8" x14ac:dyDescent="0.3">
      <c r="B905" s="90"/>
      <c r="C905" s="90"/>
      <c r="D905" s="90"/>
      <c r="E905" s="90"/>
      <c r="F905" s="90"/>
      <c r="G905" s="90"/>
      <c r="H905" s="90"/>
    </row>
    <row r="906" spans="2:8" x14ac:dyDescent="0.3">
      <c r="B906" s="90"/>
      <c r="C906" s="90"/>
      <c r="D906" s="90"/>
      <c r="E906" s="90"/>
      <c r="F906" s="90"/>
      <c r="G906" s="90"/>
      <c r="H906" s="90"/>
    </row>
    <row r="907" spans="2:8" x14ac:dyDescent="0.3">
      <c r="B907" s="90"/>
      <c r="C907" s="90"/>
      <c r="D907" s="90"/>
      <c r="E907" s="90"/>
      <c r="F907" s="90"/>
      <c r="G907" s="90"/>
      <c r="H907" s="90"/>
    </row>
    <row r="908" spans="2:8" x14ac:dyDescent="0.3">
      <c r="B908" s="90"/>
      <c r="C908" s="90"/>
      <c r="D908" s="90"/>
      <c r="E908" s="90"/>
      <c r="F908" s="90"/>
      <c r="G908" s="90"/>
      <c r="H908" s="90"/>
    </row>
    <row r="909" spans="2:8" x14ac:dyDescent="0.3">
      <c r="B909" s="90"/>
      <c r="C909" s="90"/>
      <c r="D909" s="90"/>
      <c r="E909" s="90"/>
      <c r="F909" s="90"/>
      <c r="G909" s="90"/>
      <c r="H909" s="90"/>
    </row>
    <row r="910" spans="2:8" x14ac:dyDescent="0.3">
      <c r="B910" s="90"/>
      <c r="C910" s="90"/>
      <c r="D910" s="90"/>
      <c r="E910" s="90"/>
      <c r="F910" s="90"/>
      <c r="G910" s="90"/>
      <c r="H910" s="90"/>
    </row>
    <row r="911" spans="2:8" x14ac:dyDescent="0.3">
      <c r="B911" s="90"/>
      <c r="C911" s="90"/>
      <c r="D911" s="90"/>
      <c r="E911" s="90"/>
      <c r="F911" s="90"/>
      <c r="G911" s="90"/>
      <c r="H911" s="90"/>
    </row>
    <row r="912" spans="2:8" x14ac:dyDescent="0.3">
      <c r="B912" s="90"/>
      <c r="C912" s="90"/>
      <c r="D912" s="90"/>
      <c r="E912" s="90"/>
      <c r="F912" s="90"/>
      <c r="G912" s="90"/>
      <c r="H912" s="90"/>
    </row>
    <row r="913" spans="2:8" x14ac:dyDescent="0.3">
      <c r="B913" s="90"/>
      <c r="C913" s="90"/>
      <c r="D913" s="90"/>
      <c r="E913" s="90"/>
      <c r="F913" s="90"/>
      <c r="G913" s="90"/>
      <c r="H913" s="90"/>
    </row>
    <row r="914" spans="2:8" x14ac:dyDescent="0.3">
      <c r="B914" s="90"/>
      <c r="C914" s="90"/>
      <c r="D914" s="90"/>
      <c r="E914" s="90"/>
      <c r="F914" s="90"/>
      <c r="G914" s="90"/>
      <c r="H914" s="90"/>
    </row>
    <row r="915" spans="2:8" x14ac:dyDescent="0.3">
      <c r="B915" s="90"/>
      <c r="C915" s="90"/>
      <c r="D915" s="90"/>
      <c r="E915" s="90"/>
      <c r="F915" s="90"/>
      <c r="G915" s="90"/>
      <c r="H915" s="90"/>
    </row>
    <row r="916" spans="2:8" x14ac:dyDescent="0.3">
      <c r="B916" s="90"/>
      <c r="C916" s="90"/>
      <c r="D916" s="90"/>
      <c r="E916" s="90"/>
      <c r="F916" s="90"/>
      <c r="G916" s="90"/>
      <c r="H916" s="90"/>
    </row>
    <row r="917" spans="2:8" x14ac:dyDescent="0.3">
      <c r="B917" s="90"/>
      <c r="C917" s="90"/>
      <c r="D917" s="90"/>
      <c r="E917" s="90"/>
      <c r="F917" s="90"/>
      <c r="G917" s="90"/>
      <c r="H917" s="90"/>
    </row>
    <row r="918" spans="2:8" x14ac:dyDescent="0.3">
      <c r="B918" s="90"/>
      <c r="C918" s="90"/>
      <c r="D918" s="90"/>
      <c r="E918" s="90"/>
      <c r="F918" s="90"/>
      <c r="G918" s="90"/>
      <c r="H918" s="90"/>
    </row>
    <row r="919" spans="2:8" x14ac:dyDescent="0.3">
      <c r="B919" s="90"/>
      <c r="C919" s="90"/>
      <c r="D919" s="90"/>
      <c r="E919" s="90"/>
      <c r="F919" s="90"/>
      <c r="G919" s="90"/>
      <c r="H919" s="90"/>
    </row>
    <row r="920" spans="2:8" x14ac:dyDescent="0.3">
      <c r="B920" s="90"/>
      <c r="C920" s="90"/>
      <c r="D920" s="90"/>
      <c r="E920" s="90"/>
      <c r="F920" s="90"/>
      <c r="G920" s="90"/>
      <c r="H920" s="90"/>
    </row>
    <row r="921" spans="2:8" x14ac:dyDescent="0.3">
      <c r="B921" s="90"/>
      <c r="C921" s="90"/>
      <c r="D921" s="90"/>
      <c r="E921" s="90"/>
      <c r="F921" s="90"/>
      <c r="G921" s="90"/>
      <c r="H921" s="90"/>
    </row>
    <row r="922" spans="2:8" x14ac:dyDescent="0.3">
      <c r="B922" s="90"/>
      <c r="C922" s="90"/>
      <c r="D922" s="90"/>
      <c r="E922" s="90"/>
      <c r="F922" s="90"/>
      <c r="G922" s="90"/>
      <c r="H922" s="90"/>
    </row>
    <row r="923" spans="2:8" x14ac:dyDescent="0.3">
      <c r="B923" s="90"/>
      <c r="C923" s="90"/>
      <c r="D923" s="90"/>
      <c r="E923" s="90"/>
      <c r="F923" s="90"/>
      <c r="G923" s="90"/>
      <c r="H923" s="90"/>
    </row>
    <row r="924" spans="2:8" x14ac:dyDescent="0.3">
      <c r="B924" s="90"/>
      <c r="C924" s="90"/>
      <c r="D924" s="90"/>
      <c r="E924" s="90"/>
      <c r="F924" s="90"/>
      <c r="G924" s="90"/>
      <c r="H924" s="90"/>
    </row>
    <row r="925" spans="2:8" x14ac:dyDescent="0.3">
      <c r="B925" s="90"/>
      <c r="C925" s="90"/>
      <c r="D925" s="90"/>
      <c r="E925" s="90"/>
      <c r="F925" s="90"/>
      <c r="G925" s="90"/>
      <c r="H925" s="90"/>
    </row>
    <row r="926" spans="2:8" x14ac:dyDescent="0.3">
      <c r="B926" s="90"/>
      <c r="C926" s="90"/>
      <c r="D926" s="90"/>
      <c r="E926" s="90"/>
      <c r="F926" s="90"/>
      <c r="G926" s="90"/>
      <c r="H926" s="90"/>
    </row>
    <row r="927" spans="2:8" x14ac:dyDescent="0.3">
      <c r="B927" s="90"/>
      <c r="C927" s="90"/>
      <c r="D927" s="90"/>
      <c r="E927" s="90"/>
      <c r="F927" s="90"/>
      <c r="G927" s="90"/>
      <c r="H927" s="90"/>
    </row>
    <row r="928" spans="2:8" x14ac:dyDescent="0.3">
      <c r="B928" s="90"/>
      <c r="C928" s="90"/>
      <c r="D928" s="90"/>
      <c r="E928" s="90"/>
      <c r="F928" s="90"/>
      <c r="G928" s="90"/>
      <c r="H928" s="90"/>
    </row>
    <row r="929" spans="2:8" x14ac:dyDescent="0.3">
      <c r="B929" s="90"/>
      <c r="C929" s="90"/>
      <c r="D929" s="90"/>
      <c r="E929" s="90"/>
      <c r="F929" s="90"/>
      <c r="G929" s="90"/>
      <c r="H929" s="90"/>
    </row>
    <row r="930" spans="2:8" x14ac:dyDescent="0.3">
      <c r="B930" s="90"/>
      <c r="C930" s="90"/>
      <c r="D930" s="90"/>
      <c r="E930" s="90"/>
      <c r="F930" s="90"/>
      <c r="G930" s="90"/>
      <c r="H930" s="90"/>
    </row>
    <row r="931" spans="2:8" x14ac:dyDescent="0.3">
      <c r="B931" s="90"/>
      <c r="C931" s="90"/>
      <c r="D931" s="90"/>
      <c r="E931" s="90"/>
      <c r="F931" s="90"/>
      <c r="G931" s="90"/>
      <c r="H931" s="90"/>
    </row>
    <row r="932" spans="2:8" x14ac:dyDescent="0.3">
      <c r="B932" s="90"/>
      <c r="C932" s="90"/>
      <c r="D932" s="90"/>
      <c r="E932" s="90"/>
      <c r="F932" s="90"/>
      <c r="G932" s="90"/>
      <c r="H932" s="90"/>
    </row>
    <row r="933" spans="2:8" x14ac:dyDescent="0.3">
      <c r="B933" s="90"/>
      <c r="C933" s="90"/>
      <c r="D933" s="90"/>
      <c r="E933" s="90"/>
      <c r="F933" s="90"/>
      <c r="G933" s="90"/>
      <c r="H933" s="90"/>
    </row>
    <row r="934" spans="2:8" x14ac:dyDescent="0.3">
      <c r="B934" s="90"/>
      <c r="C934" s="90"/>
      <c r="D934" s="90"/>
      <c r="E934" s="90"/>
      <c r="F934" s="90"/>
      <c r="G934" s="90"/>
      <c r="H934" s="90"/>
    </row>
    <row r="935" spans="2:8" x14ac:dyDescent="0.3">
      <c r="B935" s="90"/>
      <c r="C935" s="90"/>
      <c r="D935" s="90"/>
      <c r="E935" s="90"/>
      <c r="F935" s="90"/>
      <c r="G935" s="90"/>
      <c r="H935" s="90"/>
    </row>
    <row r="936" spans="2:8" x14ac:dyDescent="0.3">
      <c r="B936" s="90"/>
      <c r="C936" s="90"/>
      <c r="D936" s="90"/>
      <c r="E936" s="90"/>
      <c r="F936" s="90"/>
      <c r="G936" s="90"/>
      <c r="H936" s="90"/>
    </row>
    <row r="937" spans="2:8" x14ac:dyDescent="0.3">
      <c r="B937" s="90"/>
      <c r="C937" s="90"/>
      <c r="D937" s="90"/>
      <c r="E937" s="90"/>
      <c r="F937" s="90"/>
      <c r="G937" s="90"/>
      <c r="H937" s="90"/>
    </row>
    <row r="938" spans="2:8" x14ac:dyDescent="0.3">
      <c r="B938" s="90"/>
      <c r="C938" s="90"/>
      <c r="D938" s="90"/>
      <c r="E938" s="90"/>
      <c r="F938" s="90"/>
      <c r="G938" s="90"/>
      <c r="H938" s="90"/>
    </row>
    <row r="939" spans="2:8" x14ac:dyDescent="0.3">
      <c r="B939" s="90"/>
      <c r="C939" s="90"/>
      <c r="D939" s="90"/>
      <c r="E939" s="90"/>
      <c r="F939" s="90"/>
      <c r="G939" s="90"/>
      <c r="H939" s="90"/>
    </row>
    <row r="940" spans="2:8" x14ac:dyDescent="0.3">
      <c r="B940" s="90"/>
      <c r="C940" s="90"/>
      <c r="D940" s="90"/>
      <c r="E940" s="90"/>
      <c r="F940" s="90"/>
      <c r="G940" s="90"/>
      <c r="H940" s="90"/>
    </row>
    <row r="941" spans="2:8" x14ac:dyDescent="0.3">
      <c r="B941" s="90"/>
      <c r="C941" s="90"/>
      <c r="D941" s="90"/>
      <c r="E941" s="90"/>
      <c r="F941" s="90"/>
      <c r="G941" s="90"/>
      <c r="H941" s="90"/>
    </row>
    <row r="942" spans="2:8" x14ac:dyDescent="0.3">
      <c r="B942" s="90"/>
      <c r="C942" s="90"/>
      <c r="D942" s="90"/>
      <c r="E942" s="90"/>
      <c r="F942" s="90"/>
      <c r="G942" s="90"/>
      <c r="H942" s="90"/>
    </row>
    <row r="943" spans="2:8" x14ac:dyDescent="0.3">
      <c r="B943" s="90"/>
      <c r="C943" s="90"/>
      <c r="D943" s="90"/>
      <c r="E943" s="90"/>
      <c r="F943" s="90"/>
      <c r="G943" s="90"/>
      <c r="H943" s="90"/>
    </row>
    <row r="944" spans="2:8" x14ac:dyDescent="0.3">
      <c r="B944" s="90"/>
      <c r="C944" s="90"/>
      <c r="D944" s="90"/>
      <c r="E944" s="90"/>
      <c r="F944" s="90"/>
      <c r="G944" s="90"/>
      <c r="H944" s="90"/>
    </row>
    <row r="945" spans="2:8" x14ac:dyDescent="0.3">
      <c r="B945" s="90"/>
      <c r="C945" s="90"/>
      <c r="D945" s="90"/>
      <c r="E945" s="90"/>
      <c r="F945" s="90"/>
      <c r="G945" s="90"/>
      <c r="H945" s="90"/>
    </row>
    <row r="946" spans="2:8" x14ac:dyDescent="0.3">
      <c r="B946" s="90"/>
      <c r="C946" s="90"/>
      <c r="D946" s="90"/>
      <c r="E946" s="90"/>
      <c r="F946" s="90"/>
      <c r="G946" s="90"/>
      <c r="H946" s="90"/>
    </row>
    <row r="947" spans="2:8" x14ac:dyDescent="0.3">
      <c r="B947" s="90"/>
      <c r="C947" s="90"/>
      <c r="D947" s="90"/>
      <c r="E947" s="90"/>
      <c r="F947" s="90"/>
      <c r="G947" s="90"/>
      <c r="H947" s="90"/>
    </row>
    <row r="948" spans="2:8" x14ac:dyDescent="0.3">
      <c r="B948" s="90"/>
      <c r="C948" s="90"/>
      <c r="D948" s="90"/>
      <c r="E948" s="90"/>
      <c r="F948" s="90"/>
      <c r="G948" s="90"/>
      <c r="H948" s="90"/>
    </row>
    <row r="949" spans="2:8" x14ac:dyDescent="0.3">
      <c r="B949" s="90"/>
      <c r="C949" s="90"/>
      <c r="D949" s="90"/>
      <c r="E949" s="90"/>
      <c r="F949" s="90"/>
      <c r="G949" s="90"/>
      <c r="H949" s="90"/>
    </row>
    <row r="950" spans="2:8" x14ac:dyDescent="0.3">
      <c r="B950" s="90"/>
      <c r="C950" s="90"/>
      <c r="D950" s="90"/>
      <c r="E950" s="90"/>
      <c r="F950" s="90"/>
      <c r="G950" s="90"/>
      <c r="H950" s="90"/>
    </row>
    <row r="951" spans="2:8" x14ac:dyDescent="0.3">
      <c r="B951" s="90"/>
      <c r="C951" s="90"/>
      <c r="D951" s="90"/>
      <c r="E951" s="90"/>
      <c r="F951" s="90"/>
      <c r="G951" s="90"/>
      <c r="H951" s="90"/>
    </row>
    <row r="952" spans="2:8" x14ac:dyDescent="0.3">
      <c r="B952" s="90"/>
      <c r="C952" s="90"/>
      <c r="D952" s="90"/>
      <c r="E952" s="90"/>
      <c r="F952" s="90"/>
      <c r="G952" s="90"/>
      <c r="H952" s="90"/>
    </row>
    <row r="953" spans="2:8" x14ac:dyDescent="0.3">
      <c r="B953" s="90"/>
      <c r="C953" s="90"/>
      <c r="D953" s="90"/>
      <c r="E953" s="90"/>
      <c r="F953" s="90"/>
      <c r="G953" s="90"/>
      <c r="H953" s="90"/>
    </row>
  </sheetData>
  <printOptions horizontalCentered="1" gridLines="1"/>
  <pageMargins left="0.7" right="0.7" top="0.75" bottom="0.75" header="0.3" footer="0.3"/>
  <pageSetup scale="79" fitToHeight="14" orientation="portrait" r:id="rId1"/>
  <headerFooter alignWithMargins="0">
    <oddHeader>&amp;L&amp;"Times New Roman,Regular"&amp;11CUECost - Air Pollution Control Systems Economics Spreadsheet</oddHeader>
    <oddFooter>&amp;L&amp;"Times New Roman,Regular"&amp;9&amp;A&amp;C&amp;"Times New Roman,Regular"&amp;11&amp;P&amp;R&amp;"Times New Roman,Regular"&amp;9&amp;D, &amp;T</oddFooter>
  </headerFooter>
  <rowBreaks count="1" manualBreakCount="1">
    <brk id="221" max="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0:O1067"/>
  <sheetViews>
    <sheetView topLeftCell="A260" zoomScale="75" workbookViewId="0">
      <selection activeCell="R276" sqref="R276"/>
    </sheetView>
  </sheetViews>
  <sheetFormatPr defaultColWidth="9.08984375" defaultRowHeight="13" x14ac:dyDescent="0.3"/>
  <cols>
    <col min="1" max="1" width="36.54296875" style="1" customWidth="1"/>
    <col min="2" max="2" width="10.08984375" style="1" customWidth="1"/>
    <col min="3" max="3" width="9.08984375" style="1"/>
    <col min="4" max="8" width="15.6328125" style="1" customWidth="1"/>
    <col min="9" max="9" width="9.08984375" style="1"/>
    <col min="10" max="10" width="10.6328125" style="1" customWidth="1"/>
    <col min="11" max="16384" width="9.08984375" style="1"/>
  </cols>
  <sheetData>
    <row r="20" spans="1:8" x14ac:dyDescent="0.3">
      <c r="A20" s="111"/>
      <c r="B20" s="111"/>
      <c r="C20" s="112"/>
      <c r="D20" s="112"/>
      <c r="E20" s="112"/>
      <c r="F20" s="112"/>
      <c r="G20" s="112"/>
      <c r="H20" s="112"/>
    </row>
    <row r="21" spans="1:8" ht="20.5" thickBot="1" x14ac:dyDescent="0.45">
      <c r="A21" s="109" t="s">
        <v>646</v>
      </c>
      <c r="C21" s="90"/>
      <c r="D21" s="116" t="s">
        <v>320</v>
      </c>
      <c r="E21" s="116" t="s">
        <v>518</v>
      </c>
      <c r="F21" s="116" t="s">
        <v>519</v>
      </c>
      <c r="G21" s="116" t="s">
        <v>520</v>
      </c>
      <c r="H21" s="116" t="s">
        <v>521</v>
      </c>
    </row>
    <row r="22" spans="1:8" x14ac:dyDescent="0.3">
      <c r="C22" s="90"/>
      <c r="D22" s="90"/>
      <c r="E22" s="90"/>
      <c r="F22" s="90"/>
      <c r="G22" s="90"/>
    </row>
    <row r="23" spans="1:8" ht="15.5" x14ac:dyDescent="0.35">
      <c r="A23" s="123" t="s">
        <v>647</v>
      </c>
      <c r="B23" s="90"/>
      <c r="C23" s="90"/>
      <c r="D23" s="90"/>
      <c r="E23" s="90"/>
      <c r="F23" s="90"/>
      <c r="G23" s="90"/>
      <c r="H23" s="90"/>
    </row>
    <row r="24" spans="1:8" x14ac:dyDescent="0.3">
      <c r="A24" s="113" t="s">
        <v>523</v>
      </c>
      <c r="B24" s="19" t="s">
        <v>51</v>
      </c>
      <c r="C24" s="90"/>
      <c r="D24" s="90">
        <f>'Input &amp; Calculation Summary'!C30</f>
        <v>300</v>
      </c>
      <c r="E24" s="90">
        <f>'Input &amp; Calculation Summary'!D30</f>
        <v>300</v>
      </c>
      <c r="F24" s="90">
        <f>'Input &amp; Calculation Summary'!E30</f>
        <v>300</v>
      </c>
      <c r="G24" s="90">
        <f>'Input &amp; Calculation Summary'!F30</f>
        <v>300</v>
      </c>
      <c r="H24" s="90">
        <f>'Input &amp; Calculation Summary'!G30</f>
        <v>300</v>
      </c>
    </row>
    <row r="25" spans="1:8" x14ac:dyDescent="0.3">
      <c r="A25" s="1" t="s">
        <v>524</v>
      </c>
      <c r="B25" s="90" t="s">
        <v>132</v>
      </c>
      <c r="C25" s="90"/>
      <c r="D25" s="90">
        <f>'Input &amp; Calculation Summary'!C33</f>
        <v>-12</v>
      </c>
      <c r="E25" s="90">
        <f>'Input &amp; Calculation Summary'!D33</f>
        <v>-12</v>
      </c>
      <c r="F25" s="90">
        <f>'Input &amp; Calculation Summary'!E33</f>
        <v>-12</v>
      </c>
      <c r="G25" s="90">
        <f>'Input &amp; Calculation Summary'!F33</f>
        <v>-12</v>
      </c>
      <c r="H25" s="90">
        <f>'Input &amp; Calculation Summary'!G33</f>
        <v>-12</v>
      </c>
    </row>
    <row r="26" spans="1:8" x14ac:dyDescent="0.3">
      <c r="A26" s="1" t="s">
        <v>525</v>
      </c>
      <c r="B26" s="90" t="s">
        <v>526</v>
      </c>
      <c r="C26" s="90"/>
      <c r="D26" s="93">
        <f>((D28/CO2_MolWt)+(D29/N2_MolWt)+(D30/SO2_MolWt)+(D31/O2_MolWt)+(D33/NO2_MolWt)+(D32/HCl_MolWt)+(D34/H2O_MolWt))*cubft_60/60</f>
        <v>205105.59024746579</v>
      </c>
      <c r="E26" s="93">
        <f>((E28/CO2_MolWt)+(E29/N2_MolWt)+(E30/SO2_MolWt)+(E31/O2_MolWt)+(E33/NO2_MolWt)+(E32/HCl_MolWt)+(E34/H2O_MolWt))*cubft_60/60</f>
        <v>732569.95056592673</v>
      </c>
      <c r="F26" s="93">
        <f>((F28/CO2_MolWt)+(F29/N2_MolWt)+(F30/SO2_MolWt)+(F31/O2_MolWt)+(F33/NO2_MolWt)+(F32/HCl_MolWt)+(F34/H2O_MolWt))*cubft_60/60</f>
        <v>385820.17396472127</v>
      </c>
      <c r="G26" s="93">
        <f>((G28/CO2_MolWt)+(G29/N2_MolWt)+(G30/SO2_MolWt)+(G31/O2_MolWt)+(G33/NO2_MolWt)+(G32/HCl_MolWt)+(G34/H2O_MolWt))*cubft_60/60</f>
        <v>107443.59274966927</v>
      </c>
      <c r="H26" s="93">
        <f>((H28/CO2_MolWt)+(H29/N2_MolWt)+(H30/SO2_MolWt)+(H31/O2_MolWt)+(H33/NO2_MolWt)+(H32/HCl_MolWt)+(H34/H2O_MolWt))*cubft_60/60</f>
        <v>107443.59274966927</v>
      </c>
    </row>
    <row r="27" spans="1:8" x14ac:dyDescent="0.3">
      <c r="A27" s="1" t="s">
        <v>525</v>
      </c>
      <c r="B27" s="90" t="s">
        <v>527</v>
      </c>
      <c r="C27" s="90"/>
      <c r="D27" s="108">
        <f>D26*((D24+460)/520)*(29.92/('Input &amp; Calculation Summary'!C32+(D25/inH2O_inHg)))</f>
        <v>314500.13882212539</v>
      </c>
      <c r="E27" s="108">
        <f>E26*((E24+460)/520)*(29.92/('Input &amp; Calculation Summary'!D32+(E25/inH2O_inHg)))</f>
        <v>1123291.4269763455</v>
      </c>
      <c r="F27" s="108">
        <f>F26*((F24+460)/520)*(29.92/('Input &amp; Calculation Summary'!E32+(F25/inH2O_inHg)))</f>
        <v>591600.15154087509</v>
      </c>
      <c r="G27" s="108">
        <f>G26*((G24+460)/520)*(29.92/('Input &amp; Calculation Summary'!F32+(G25/inH2O_inHg)))</f>
        <v>164749.40928986404</v>
      </c>
      <c r="H27" s="108">
        <f>H26*((H24+460)/520)*(29.92/('Input &amp; Calculation Summary'!G32+(H25/inH2O_inHg)))</f>
        <v>164749.40928986404</v>
      </c>
    </row>
    <row r="28" spans="1:8" x14ac:dyDescent="0.3">
      <c r="A28" s="1" t="s">
        <v>528</v>
      </c>
      <c r="B28" s="90" t="s">
        <v>327</v>
      </c>
      <c r="C28" s="90"/>
      <c r="D28" s="108">
        <f>Constants_CC!E467*Constants_CC!E491</f>
        <v>167773.16285284923</v>
      </c>
      <c r="E28" s="108">
        <f>Constants_CC!F467*Constants_CC!F491</f>
        <v>599172.98874379217</v>
      </c>
      <c r="F28" s="108">
        <f>Constants_CC!G467*Constants_CC!G491</f>
        <v>315564.44073839724</v>
      </c>
      <c r="G28" s="108">
        <f>Constants_CC!H467*Constants_CC!H491</f>
        <v>87878.70501575619</v>
      </c>
      <c r="H28" s="108">
        <f>Constants_CC!I467*Constants_CC!I491</f>
        <v>87878.70501575619</v>
      </c>
    </row>
    <row r="29" spans="1:8" x14ac:dyDescent="0.3">
      <c r="A29" s="1" t="s">
        <v>529</v>
      </c>
      <c r="B29" s="90" t="s">
        <v>327</v>
      </c>
      <c r="C29" s="90"/>
      <c r="D29" s="108">
        <f>Constants_CC!E468*Constants_CC!E491</f>
        <v>662514.46976216964</v>
      </c>
      <c r="E29" s="108">
        <f>Constants_CC!F468*Constants_CC!F491</f>
        <v>2366056.4549383563</v>
      </c>
      <c r="F29" s="108">
        <f>Constants_CC!G468*Constants_CC!G491</f>
        <v>1246123.0662675342</v>
      </c>
      <c r="G29" s="108">
        <f>Constants_CC!H468*Constants_CC!H491</f>
        <v>347021.61339095893</v>
      </c>
      <c r="H29" s="108">
        <f>Constants_CC!I468*Constants_CC!I491</f>
        <v>347021.61339095893</v>
      </c>
    </row>
    <row r="30" spans="1:8" x14ac:dyDescent="0.3">
      <c r="A30" s="1" t="s">
        <v>530</v>
      </c>
      <c r="B30" s="90" t="s">
        <v>327</v>
      </c>
      <c r="C30" s="90"/>
      <c r="D30" s="108">
        <f>Constants_CC!E471*Constants_CC!E491</f>
        <v>193.83</v>
      </c>
      <c r="E30" s="108">
        <f>Constants_CC!F471*Constants_CC!F491</f>
        <v>1407.2582372457464</v>
      </c>
      <c r="F30" s="108">
        <f>Constants_CC!G471*Constants_CC!G491</f>
        <v>741.15600494942635</v>
      </c>
      <c r="G30" s="108">
        <f>Constants_CC!H471*Constants_CC!H491</f>
        <v>206.3978747960428</v>
      </c>
      <c r="H30" s="108">
        <f>Constants_CC!I471*Constants_CC!I491</f>
        <v>206.3978747960428</v>
      </c>
    </row>
    <row r="31" spans="1:8" x14ac:dyDescent="0.3">
      <c r="A31" s="1" t="s">
        <v>531</v>
      </c>
      <c r="B31" s="90" t="s">
        <v>327</v>
      </c>
      <c r="C31" s="90"/>
      <c r="D31" s="108">
        <f>Constants_CC!E466*Constants_CC!E491</f>
        <v>52552.209491370908</v>
      </c>
      <c r="E31" s="108">
        <f>Constants_CC!F466*Constants_CC!F491</f>
        <v>187681.17552657705</v>
      </c>
      <c r="F31" s="108">
        <f>Constants_CC!G466*Constants_CC!G491</f>
        <v>98845.419110663919</v>
      </c>
      <c r="G31" s="108">
        <f>Constants_CC!H466*Constants_CC!H491</f>
        <v>27526.572410564637</v>
      </c>
      <c r="H31" s="108">
        <f>Constants_CC!I466*Constants_CC!I491</f>
        <v>27526.572410564637</v>
      </c>
    </row>
    <row r="32" spans="1:8" x14ac:dyDescent="0.3">
      <c r="A32" s="1" t="s">
        <v>532</v>
      </c>
      <c r="B32" s="90" t="s">
        <v>327</v>
      </c>
      <c r="C32" s="90"/>
      <c r="D32" s="108">
        <f>Constants_CC!E470*Constants_CC!E491</f>
        <v>0</v>
      </c>
      <c r="E32" s="108">
        <f>Constants_CC!F470*Constants_CC!F491</f>
        <v>0</v>
      </c>
      <c r="F32" s="108">
        <f>Constants_CC!G470*Constants_CC!G491</f>
        <v>0</v>
      </c>
      <c r="G32" s="108">
        <f>Constants_CC!H470*Constants_CC!H491</f>
        <v>0</v>
      </c>
      <c r="H32" s="108">
        <f>Constants_CC!I470*Constants_CC!I491</f>
        <v>0</v>
      </c>
    </row>
    <row r="33" spans="1:8" x14ac:dyDescent="0.3">
      <c r="A33" s="1" t="s">
        <v>533</v>
      </c>
      <c r="B33" s="90" t="s">
        <v>327</v>
      </c>
      <c r="C33" s="90"/>
      <c r="D33" s="108">
        <f>Constants_CC!E469*Constants_CC!E491</f>
        <v>149.92314802537967</v>
      </c>
      <c r="E33" s="108">
        <f>Constants_CC!F469*Constants_CC!F491</f>
        <v>535.42473156468338</v>
      </c>
      <c r="F33" s="108">
        <f>Constants_CC!G469*Constants_CC!G491</f>
        <v>281.99035862406657</v>
      </c>
      <c r="G33" s="108">
        <f>Constants_CC!H469*Constants_CC!H491</f>
        <v>78.528960629486903</v>
      </c>
      <c r="H33" s="108">
        <f>Constants_CC!I469*Constants_CC!I491</f>
        <v>78.528960629486903</v>
      </c>
    </row>
    <row r="34" spans="1:8" x14ac:dyDescent="0.3">
      <c r="A34" s="1" t="s">
        <v>534</v>
      </c>
      <c r="B34" s="90" t="s">
        <v>327</v>
      </c>
      <c r="C34" s="90"/>
      <c r="D34" s="108">
        <f>Constants_CC!E472*Constants_CC!E491</f>
        <v>59658.73835034934</v>
      </c>
      <c r="E34" s="108">
        <f>Constants_CC!F472*Constants_CC!F491</f>
        <v>213060.92079467318</v>
      </c>
      <c r="F34" s="108">
        <f>Constants_CC!G472*Constants_CC!G491</f>
        <v>112212.08495186119</v>
      </c>
      <c r="G34" s="108">
        <f>Constants_CC!H472*Constants_CC!H491</f>
        <v>31248.9350498854</v>
      </c>
      <c r="H34" s="108">
        <f>Constants_CC!I472*Constants_CC!I491</f>
        <v>31248.9350498854</v>
      </c>
    </row>
    <row r="35" spans="1:8" x14ac:dyDescent="0.3">
      <c r="A35" s="1" t="s">
        <v>60</v>
      </c>
      <c r="B35" s="90" t="s">
        <v>327</v>
      </c>
      <c r="C35" s="90"/>
      <c r="D35" s="108">
        <f>Constants_CC!E519*2000</f>
        <v>3865.57654</v>
      </c>
      <c r="E35" s="108">
        <f>Constants_CC!F519*2000</f>
        <v>13805.241609000001</v>
      </c>
      <c r="F35" s="108">
        <f>Constants_CC!G519*2000</f>
        <v>7270.7605807400005</v>
      </c>
      <c r="G35" s="108">
        <f>Constants_CC!H519*2000</f>
        <v>2024.7687693200005</v>
      </c>
      <c r="H35" s="108">
        <f>Constants_CC!I519*2000</f>
        <v>2024.7687693200005</v>
      </c>
    </row>
    <row r="36" spans="1:8" x14ac:dyDescent="0.3">
      <c r="A36" s="1" t="s">
        <v>535</v>
      </c>
      <c r="B36" s="90" t="s">
        <v>327</v>
      </c>
      <c r="C36" s="90"/>
      <c r="D36" s="108">
        <f>SUM(D28:D34)</f>
        <v>942842.33360476454</v>
      </c>
      <c r="E36" s="108">
        <f>SUM(E28:E34)</f>
        <v>3367914.2229722096</v>
      </c>
      <c r="F36" s="108">
        <f>SUM(F28:F34)</f>
        <v>1773768.1574320302</v>
      </c>
      <c r="G36" s="108">
        <f>SUM(G28:G34)</f>
        <v>493960.75270259072</v>
      </c>
      <c r="H36" s="108">
        <f>SUM(H28:H34)</f>
        <v>493960.75270259072</v>
      </c>
    </row>
    <row r="37" spans="1:8" x14ac:dyDescent="0.3">
      <c r="B37" s="90"/>
      <c r="C37" s="90"/>
      <c r="D37" s="90"/>
      <c r="E37" s="90"/>
      <c r="F37" s="90"/>
      <c r="G37" s="90"/>
      <c r="H37" s="90"/>
    </row>
    <row r="38" spans="1:8" ht="15.5" x14ac:dyDescent="0.35">
      <c r="A38" s="123" t="s">
        <v>648</v>
      </c>
      <c r="B38" s="90"/>
      <c r="C38" s="90"/>
      <c r="D38" s="90"/>
      <c r="E38" s="90"/>
      <c r="F38" s="90"/>
      <c r="G38" s="90"/>
      <c r="H38" s="90"/>
    </row>
    <row r="39" spans="1:8" x14ac:dyDescent="0.3">
      <c r="A39" s="113" t="s">
        <v>523</v>
      </c>
      <c r="B39" s="19" t="s">
        <v>51</v>
      </c>
      <c r="C39" s="90"/>
      <c r="D39" s="90">
        <f t="shared" ref="D39:H40" si="0">D24</f>
        <v>300</v>
      </c>
      <c r="E39" s="90">
        <f t="shared" si="0"/>
        <v>300</v>
      </c>
      <c r="F39" s="90">
        <f t="shared" si="0"/>
        <v>300</v>
      </c>
      <c r="G39" s="90">
        <f t="shared" si="0"/>
        <v>300</v>
      </c>
      <c r="H39" s="90">
        <f t="shared" si="0"/>
        <v>300</v>
      </c>
    </row>
    <row r="40" spans="1:8" x14ac:dyDescent="0.3">
      <c r="A40" s="1" t="s">
        <v>524</v>
      </c>
      <c r="B40" s="90" t="s">
        <v>132</v>
      </c>
      <c r="C40" s="90"/>
      <c r="D40" s="90">
        <f t="shared" si="0"/>
        <v>-12</v>
      </c>
      <c r="E40" s="90">
        <f t="shared" si="0"/>
        <v>-12</v>
      </c>
      <c r="F40" s="90">
        <f t="shared" si="0"/>
        <v>-12</v>
      </c>
      <c r="G40" s="90">
        <f t="shared" si="0"/>
        <v>-12</v>
      </c>
      <c r="H40" s="90">
        <f t="shared" si="0"/>
        <v>-12</v>
      </c>
    </row>
    <row r="41" spans="1:8" x14ac:dyDescent="0.3">
      <c r="A41" s="1" t="s">
        <v>525</v>
      </c>
      <c r="B41" s="90" t="s">
        <v>526</v>
      </c>
      <c r="C41" s="90"/>
      <c r="D41" s="93">
        <f>((D43/CO2_MolWt)+(D44/N2_MolWt)+(D45/SO2_MolWt)+(D46/O2_MolWt)+(D48/NO2_MolWt)+(D47/HCl_MolWt)+(D49/H2O_MolWt))*cubft_60/60</f>
        <v>205105.59024746579</v>
      </c>
      <c r="E41" s="93">
        <f>((E43/CO2_MolWt)+(E44/N2_MolWt)+(E45/SO2_MolWt)+(E46/O2_MolWt)+(E48/NO2_MolWt)+(E47/HCl_MolWt)+(E49/H2O_MolWt))*cubft_60/60</f>
        <v>732569.95056592673</v>
      </c>
      <c r="F41" s="93">
        <f>((F43/CO2_MolWt)+(F44/N2_MolWt)+(F45/SO2_MolWt)+(F46/O2_MolWt)+(F48/NO2_MolWt)+(F47/HCl_MolWt)+(F49/H2O_MolWt))*cubft_60/60</f>
        <v>385820.17396472127</v>
      </c>
      <c r="G41" s="93">
        <f>((G43/CO2_MolWt)+(G44/N2_MolWt)+(G45/SO2_MolWt)+(G46/O2_MolWt)+(G48/NO2_MolWt)+(G47/HCl_MolWt)+(G49/H2O_MolWt))*cubft_60/60</f>
        <v>107443.59274966927</v>
      </c>
      <c r="H41" s="93">
        <f>((H43/CO2_MolWt)+(H44/N2_MolWt)+(H45/SO2_MolWt)+(H46/O2_MolWt)+(H48/NO2_MolWt)+(H47/HCl_MolWt)+(H49/H2O_MolWt))*cubft_60/60</f>
        <v>107443.59274966927</v>
      </c>
    </row>
    <row r="42" spans="1:8" x14ac:dyDescent="0.3">
      <c r="A42" s="1" t="s">
        <v>525</v>
      </c>
      <c r="B42" s="90" t="s">
        <v>527</v>
      </c>
      <c r="C42" s="90"/>
      <c r="D42" s="108">
        <f>D41*((D39+460)/520)*(29.92/('Input &amp; Calculation Summary'!C32+(D40/inH2O_inHg)))</f>
        <v>314500.13882212539</v>
      </c>
      <c r="E42" s="108">
        <f>E41*((E39+460)/520)*(29.92/('Input &amp; Calculation Summary'!D32+(E40/inH2O_inHg)))</f>
        <v>1123291.4269763455</v>
      </c>
      <c r="F42" s="108">
        <f>F41*((F39+460)/520)*(29.92/('Input &amp; Calculation Summary'!E32+(F40/inH2O_inHg)))</f>
        <v>591600.15154087509</v>
      </c>
      <c r="G42" s="108">
        <f>G41*((G39+460)/520)*(29.92/('Input &amp; Calculation Summary'!F32+(G40/inH2O_inHg)))</f>
        <v>164749.40928986404</v>
      </c>
      <c r="H42" s="108">
        <f>H41*((H39+460)/520)*(29.92/('Input &amp; Calculation Summary'!G32+(H40/inH2O_inHg)))</f>
        <v>164749.40928986404</v>
      </c>
    </row>
    <row r="43" spans="1:8" x14ac:dyDescent="0.3">
      <c r="A43" s="1" t="s">
        <v>528</v>
      </c>
      <c r="B43" s="90" t="s">
        <v>327</v>
      </c>
      <c r="C43" s="90"/>
      <c r="D43" s="108">
        <f>D28/'Input &amp; Calculation Summary'!C129</f>
        <v>167773.16285284923</v>
      </c>
      <c r="E43" s="108">
        <f>E28/'Input &amp; Calculation Summary'!D129</f>
        <v>599172.98874379217</v>
      </c>
      <c r="F43" s="108">
        <f>F28/'Input &amp; Calculation Summary'!E129</f>
        <v>315564.44073839724</v>
      </c>
      <c r="G43" s="108">
        <f>G28/'Input &amp; Calculation Summary'!F129</f>
        <v>87878.70501575619</v>
      </c>
      <c r="H43" s="108">
        <f>H28/'Input &amp; Calculation Summary'!G129</f>
        <v>87878.70501575619</v>
      </c>
    </row>
    <row r="44" spans="1:8" x14ac:dyDescent="0.3">
      <c r="A44" s="1" t="s">
        <v>529</v>
      </c>
      <c r="B44" s="90" t="s">
        <v>327</v>
      </c>
      <c r="C44" s="90"/>
      <c r="D44" s="108">
        <f>D29/'Input &amp; Calculation Summary'!C129</f>
        <v>662514.46976216964</v>
      </c>
      <c r="E44" s="108">
        <f>E29/'Input &amp; Calculation Summary'!D129</f>
        <v>2366056.4549383563</v>
      </c>
      <c r="F44" s="108">
        <f>F29/'Input &amp; Calculation Summary'!E129</f>
        <v>1246123.0662675342</v>
      </c>
      <c r="G44" s="108">
        <f>G29/'Input &amp; Calculation Summary'!F129</f>
        <v>347021.61339095893</v>
      </c>
      <c r="H44" s="108">
        <f>H29/'Input &amp; Calculation Summary'!G129</f>
        <v>347021.61339095893</v>
      </c>
    </row>
    <row r="45" spans="1:8" x14ac:dyDescent="0.3">
      <c r="A45" s="1" t="s">
        <v>530</v>
      </c>
      <c r="B45" s="90" t="s">
        <v>327</v>
      </c>
      <c r="C45" s="90"/>
      <c r="D45" s="108">
        <f>D30/'Input &amp; Calculation Summary'!C129</f>
        <v>193.83</v>
      </c>
      <c r="E45" s="108">
        <f>E30/'Input &amp; Calculation Summary'!D129</f>
        <v>1407.2582372457464</v>
      </c>
      <c r="F45" s="108">
        <f>F30/'Input &amp; Calculation Summary'!E129</f>
        <v>741.15600494942635</v>
      </c>
      <c r="G45" s="108">
        <f>G30/'Input &amp; Calculation Summary'!F129</f>
        <v>206.3978747960428</v>
      </c>
      <c r="H45" s="108">
        <f>H30/'Input &amp; Calculation Summary'!G129</f>
        <v>206.3978747960428</v>
      </c>
    </row>
    <row r="46" spans="1:8" x14ac:dyDescent="0.3">
      <c r="A46" s="1" t="s">
        <v>531</v>
      </c>
      <c r="B46" s="90" t="s">
        <v>327</v>
      </c>
      <c r="C46" s="90"/>
      <c r="D46" s="108">
        <f>D31/'Input &amp; Calculation Summary'!C129</f>
        <v>52552.209491370908</v>
      </c>
      <c r="E46" s="108">
        <f>E31/'Input &amp; Calculation Summary'!D129</f>
        <v>187681.17552657705</v>
      </c>
      <c r="F46" s="108">
        <f>F31/'Input &amp; Calculation Summary'!E129</f>
        <v>98845.419110663919</v>
      </c>
      <c r="G46" s="108">
        <f>G31/'Input &amp; Calculation Summary'!F129</f>
        <v>27526.572410564637</v>
      </c>
      <c r="H46" s="108">
        <f>H31/'Input &amp; Calculation Summary'!G129</f>
        <v>27526.572410564637</v>
      </c>
    </row>
    <row r="47" spans="1:8" x14ac:dyDescent="0.3">
      <c r="A47" s="1" t="s">
        <v>532</v>
      </c>
      <c r="B47" s="90" t="s">
        <v>327</v>
      </c>
      <c r="C47" s="90"/>
      <c r="D47" s="108">
        <f>D32/'Input &amp; Calculation Summary'!C129</f>
        <v>0</v>
      </c>
      <c r="E47" s="108">
        <f>E32/'Input &amp; Calculation Summary'!D129</f>
        <v>0</v>
      </c>
      <c r="F47" s="108">
        <f>F32/'Input &amp; Calculation Summary'!E129</f>
        <v>0</v>
      </c>
      <c r="G47" s="108">
        <f>G32/'Input &amp; Calculation Summary'!F129</f>
        <v>0</v>
      </c>
      <c r="H47" s="108">
        <f>H32/'Input &amp; Calculation Summary'!G129</f>
        <v>0</v>
      </c>
    </row>
    <row r="48" spans="1:8" x14ac:dyDescent="0.3">
      <c r="A48" s="1" t="s">
        <v>533</v>
      </c>
      <c r="B48" s="90" t="s">
        <v>327</v>
      </c>
      <c r="C48" s="90"/>
      <c r="D48" s="108">
        <f>D33/'Input &amp; Calculation Summary'!C129</f>
        <v>149.92314802537967</v>
      </c>
      <c r="E48" s="108">
        <f>E33/'Input &amp; Calculation Summary'!D129</f>
        <v>535.42473156468338</v>
      </c>
      <c r="F48" s="108">
        <f>F33/'Input &amp; Calculation Summary'!E129</f>
        <v>281.99035862406657</v>
      </c>
      <c r="G48" s="108">
        <f>G33/'Input &amp; Calculation Summary'!F129</f>
        <v>78.528960629486903</v>
      </c>
      <c r="H48" s="108">
        <f>H33/'Input &amp; Calculation Summary'!G129</f>
        <v>78.528960629486903</v>
      </c>
    </row>
    <row r="49" spans="1:8" x14ac:dyDescent="0.3">
      <c r="A49" s="1" t="s">
        <v>534</v>
      </c>
      <c r="B49" s="90" t="s">
        <v>327</v>
      </c>
      <c r="C49" s="90"/>
      <c r="D49" s="108">
        <f>D34/'Input &amp; Calculation Summary'!C129</f>
        <v>59658.73835034934</v>
      </c>
      <c r="E49" s="108">
        <f>E34/'Input &amp; Calculation Summary'!D129</f>
        <v>213060.92079467318</v>
      </c>
      <c r="F49" s="108">
        <f>F34/'Input &amp; Calculation Summary'!E129</f>
        <v>112212.08495186119</v>
      </c>
      <c r="G49" s="108">
        <f>G34/'Input &amp; Calculation Summary'!F129</f>
        <v>31248.9350498854</v>
      </c>
      <c r="H49" s="108">
        <f>H34/'Input &amp; Calculation Summary'!G129</f>
        <v>31248.9350498854</v>
      </c>
    </row>
    <row r="50" spans="1:8" x14ac:dyDescent="0.3">
      <c r="A50" s="1" t="s">
        <v>60</v>
      </c>
      <c r="B50" s="90" t="s">
        <v>327</v>
      </c>
      <c r="C50" s="90"/>
      <c r="D50" s="108">
        <f>D35/'Input &amp; Calculation Summary'!C129</f>
        <v>3865.57654</v>
      </c>
      <c r="E50" s="108">
        <f>E35/'Input &amp; Calculation Summary'!D129</f>
        <v>13805.241609000001</v>
      </c>
      <c r="F50" s="108">
        <f>F35/'Input &amp; Calculation Summary'!E129</f>
        <v>7270.7605807400005</v>
      </c>
      <c r="G50" s="108">
        <f>G35/'Input &amp; Calculation Summary'!F129</f>
        <v>2024.7687693200005</v>
      </c>
      <c r="H50" s="108">
        <f>H35/'Input &amp; Calculation Summary'!G129</f>
        <v>2024.7687693200005</v>
      </c>
    </row>
    <row r="51" spans="1:8" x14ac:dyDescent="0.3">
      <c r="A51" s="1" t="s">
        <v>535</v>
      </c>
      <c r="B51" s="90" t="s">
        <v>327</v>
      </c>
      <c r="C51" s="90"/>
      <c r="D51" s="108">
        <f>SUM(D43:D49)</f>
        <v>942842.33360476454</v>
      </c>
      <c r="E51" s="108">
        <f>SUM(E43:E49)</f>
        <v>3367914.2229722096</v>
      </c>
      <c r="F51" s="108">
        <f>SUM(F43:F49)</f>
        <v>1773768.1574320302</v>
      </c>
      <c r="G51" s="108">
        <f>SUM(G43:G49)</f>
        <v>493960.75270259072</v>
      </c>
      <c r="H51" s="108">
        <f>SUM(H43:H49)</f>
        <v>493960.75270259072</v>
      </c>
    </row>
    <row r="52" spans="1:8" x14ac:dyDescent="0.3">
      <c r="B52" s="90"/>
      <c r="C52" s="90"/>
      <c r="D52" s="108"/>
      <c r="E52" s="108"/>
      <c r="F52" s="108"/>
      <c r="G52" s="108"/>
      <c r="H52" s="108"/>
    </row>
    <row r="53" spans="1:8" ht="15.5" x14ac:dyDescent="0.35">
      <c r="A53" s="123" t="s">
        <v>649</v>
      </c>
      <c r="B53" s="90"/>
      <c r="C53" s="90"/>
      <c r="D53" s="90"/>
      <c r="E53" s="90"/>
      <c r="F53" s="90"/>
      <c r="G53" s="90"/>
      <c r="H53" s="90"/>
    </row>
    <row r="54" spans="1:8" x14ac:dyDescent="0.3">
      <c r="A54" s="113" t="s">
        <v>523</v>
      </c>
      <c r="B54" s="19" t="s">
        <v>51</v>
      </c>
      <c r="C54" s="90"/>
      <c r="D54" s="90">
        <f>'Input &amp; Calculation Summary'!C123</f>
        <v>147</v>
      </c>
      <c r="E54" s="90">
        <f>'Input &amp; Calculation Summary'!D123</f>
        <v>147</v>
      </c>
      <c r="F54" s="90">
        <f>'Input &amp; Calculation Summary'!E123</f>
        <v>147</v>
      </c>
      <c r="G54" s="90">
        <f>'Input &amp; Calculation Summary'!F123</f>
        <v>147</v>
      </c>
      <c r="H54" s="90">
        <f>'Input &amp; Calculation Summary'!G123</f>
        <v>147</v>
      </c>
    </row>
    <row r="55" spans="1:8" x14ac:dyDescent="0.3">
      <c r="A55" s="1" t="s">
        <v>524</v>
      </c>
      <c r="B55" s="90" t="s">
        <v>132</v>
      </c>
      <c r="C55" s="90"/>
      <c r="D55" s="90">
        <f>D40-'Input &amp; Calculation Summary'!C133</f>
        <v>-17</v>
      </c>
      <c r="E55" s="90">
        <f>E40-'Input &amp; Calculation Summary'!D133</f>
        <v>-17</v>
      </c>
      <c r="F55" s="90">
        <f>F40-'Input &amp; Calculation Summary'!E133</f>
        <v>-17</v>
      </c>
      <c r="G55" s="90">
        <f>G40-'Input &amp; Calculation Summary'!F133</f>
        <v>-17</v>
      </c>
      <c r="H55" s="90">
        <f>H40-'Input &amp; Calculation Summary'!G133</f>
        <v>-17</v>
      </c>
    </row>
    <row r="56" spans="1:8" x14ac:dyDescent="0.3">
      <c r="A56" s="1" t="s">
        <v>525</v>
      </c>
      <c r="B56" s="90" t="s">
        <v>526</v>
      </c>
      <c r="C56" s="90"/>
      <c r="D56" s="108">
        <f>((D58/CO2_MolWt)+(D59/N2_MolWt)+(D60/SO2_MolWt)+(D61/O2_MolWt)+(D63/NO_MolWt)+(D64/H2O_MolWt))*(cubft_60/60)</f>
        <v>213716.31057624155</v>
      </c>
      <c r="E56" s="108">
        <f>((E58/CO2_MolWt)+(E59/N2_MolWt)+(E60/SO2_MolWt)+(E61/O2_MolWt)+(E63/NO_MolWt)+(E64/H2O_MolWt))*(cubft_60/60)</f>
        <v>763020.83945181186</v>
      </c>
      <c r="F56" s="108">
        <f>((F58/CO2_MolWt)+(F59/N2_MolWt)+(F60/SO2_MolWt)+(F61/O2_MolWt)+(F63/NO_MolWt)+(F64/H2O_MolWt))*(cubft_60/60)</f>
        <v>404279.7747626804</v>
      </c>
      <c r="G56" s="108">
        <f>((G58/CO2_MolWt)+(G59/N2_MolWt)+(G60/SO2_MolWt)+(G61/O2_MolWt)+(G63/NO_MolWt)+(G64/H2O_MolWt))*(cubft_60/60)</f>
        <v>116276.38480098346</v>
      </c>
      <c r="H56" s="108">
        <f>((H58/CO2_MolWt)+(H59/N2_MolWt)+(H60/SO2_MolWt)+(H61/O2_MolWt)+(H63/NO_MolWt)+(H64/H2O_MolWt))*(cubft_60/60)</f>
        <v>116276.38480098346</v>
      </c>
    </row>
    <row r="57" spans="1:8" x14ac:dyDescent="0.3">
      <c r="A57" s="1" t="s">
        <v>525</v>
      </c>
      <c r="B57" s="90" t="s">
        <v>527</v>
      </c>
      <c r="C57" s="90"/>
      <c r="D57" s="108">
        <f>D56*((D54+460)/520)*(29.92/('Input &amp; Calculation Summary'!C32+(D55/inH2O_inHg)))</f>
        <v>265145.92667991051</v>
      </c>
      <c r="E57" s="108">
        <f>E56*((E54+460)/520)*(29.92/('Input &amp; Calculation Summary'!D32+(E55/inH2O_inHg)))</f>
        <v>946637.47005103179</v>
      </c>
      <c r="F57" s="108">
        <f>F56*((F54+460)/520)*(29.92/('Input &amp; Calculation Summary'!E32+(F55/inH2O_inHg)))</f>
        <v>501567.40600833134</v>
      </c>
      <c r="G57" s="108">
        <f>G56*((G54+460)/520)*(29.92/('Input &amp; Calculation Summary'!F32+(G55/inH2O_inHg)))</f>
        <v>144257.63628391011</v>
      </c>
      <c r="H57" s="108">
        <f>H56*((H54+460)/520)*(29.92/('Input &amp; Calculation Summary'!G32+(H55/inH2O_inHg)))</f>
        <v>144257.63628391011</v>
      </c>
    </row>
    <row r="58" spans="1:8" x14ac:dyDescent="0.3">
      <c r="A58" s="1" t="s">
        <v>528</v>
      </c>
      <c r="B58" s="90" t="s">
        <v>327</v>
      </c>
      <c r="C58" s="90"/>
      <c r="D58" s="108">
        <f>D43*'Input &amp; Calculation Summary'!C129</f>
        <v>167773.16285284923</v>
      </c>
      <c r="E58" s="108">
        <f>E43*'Input &amp; Calculation Summary'!D129</f>
        <v>599172.98874379217</v>
      </c>
      <c r="F58" s="108">
        <f>F43*'Input &amp; Calculation Summary'!E129</f>
        <v>315564.44073839724</v>
      </c>
      <c r="G58" s="108">
        <f>G43*'Input &amp; Calculation Summary'!F129</f>
        <v>87878.70501575619</v>
      </c>
      <c r="H58" s="108">
        <f>H43*'Input &amp; Calculation Summary'!G129</f>
        <v>87878.70501575619</v>
      </c>
    </row>
    <row r="59" spans="1:8" x14ac:dyDescent="0.3">
      <c r="A59" s="1" t="s">
        <v>529</v>
      </c>
      <c r="B59" s="90" t="s">
        <v>327</v>
      </c>
      <c r="C59" s="90"/>
      <c r="D59" s="108">
        <f>D44*'Input &amp; Calculation Summary'!C129</f>
        <v>662514.46976216964</v>
      </c>
      <c r="E59" s="108">
        <f>E44*'Input &amp; Calculation Summary'!D129</f>
        <v>2366056.4549383563</v>
      </c>
      <c r="F59" s="108">
        <f>F44*'Input &amp; Calculation Summary'!E129</f>
        <v>1246123.0662675342</v>
      </c>
      <c r="G59" s="108">
        <f>G44*'Input &amp; Calculation Summary'!F129</f>
        <v>347021.61339095893</v>
      </c>
      <c r="H59" s="108">
        <f>H44*'Input &amp; Calculation Summary'!G129</f>
        <v>347021.61339095893</v>
      </c>
    </row>
    <row r="60" spans="1:8" x14ac:dyDescent="0.3">
      <c r="A60" s="1" t="s">
        <v>530</v>
      </c>
      <c r="B60" s="90" t="s">
        <v>327</v>
      </c>
      <c r="C60" s="90"/>
      <c r="D60" s="108">
        <f>(D45-D360-D371)*'Input &amp; Calculation Summary'!C129</f>
        <v>54.272399999999998</v>
      </c>
      <c r="E60" s="108">
        <f>(E45-E360-E371)*'Input &amp; Calculation Summary'!D129</f>
        <v>394.03230642880891</v>
      </c>
      <c r="F60" s="108">
        <f>(F45-F360-F371)*'Input &amp; Calculation Summary'!E129</f>
        <v>207.52368138583944</v>
      </c>
      <c r="G60" s="108">
        <f>(G45-G360-G371)*'Input &amp; Calculation Summary'!F129</f>
        <v>57.791404942891965</v>
      </c>
      <c r="H60" s="108">
        <f>(H45-H360-H371)*'Input &amp; Calculation Summary'!G129</f>
        <v>57.791404942891965</v>
      </c>
    </row>
    <row r="61" spans="1:8" x14ac:dyDescent="0.3">
      <c r="A61" s="1" t="s">
        <v>531</v>
      </c>
      <c r="B61" s="90" t="s">
        <v>327</v>
      </c>
      <c r="C61" s="90"/>
      <c r="D61" s="108">
        <f>(D46-D372)*'Input &amp; Calculation Summary'!C129</f>
        <v>52543.496018554237</v>
      </c>
      <c r="E61" s="108">
        <f>(E46-E372)*'Input &amp; Calculation Summary'!D129</f>
        <v>187617.9133566535</v>
      </c>
      <c r="F61" s="108">
        <f>(F46-F372)*'Input &amp; Calculation Summary'!E129</f>
        <v>98812.101034504187</v>
      </c>
      <c r="G61" s="108">
        <f>(G46-G372)*'Input &amp; Calculation Summary'!F129</f>
        <v>27517.29395897585</v>
      </c>
      <c r="H61" s="108">
        <f>(H46-H372)*'Input &amp; Calculation Summary'!G129</f>
        <v>27517.29395897585</v>
      </c>
    </row>
    <row r="62" spans="1:8" x14ac:dyDescent="0.3">
      <c r="A62" s="1" t="s">
        <v>532</v>
      </c>
      <c r="B62" s="90" t="s">
        <v>327</v>
      </c>
      <c r="C62" s="90"/>
      <c r="D62" s="90">
        <v>0</v>
      </c>
      <c r="E62" s="90">
        <v>0</v>
      </c>
      <c r="F62" s="90">
        <v>0</v>
      </c>
      <c r="G62" s="90">
        <v>0</v>
      </c>
      <c r="H62" s="90">
        <v>0</v>
      </c>
    </row>
    <row r="63" spans="1:8" x14ac:dyDescent="0.3">
      <c r="A63" s="1" t="s">
        <v>533</v>
      </c>
      <c r="B63" s="90" t="s">
        <v>327</v>
      </c>
      <c r="C63" s="90"/>
      <c r="D63" s="108">
        <f>D48*'Input &amp; Calculation Summary'!C129</f>
        <v>149.92314802537967</v>
      </c>
      <c r="E63" s="108">
        <f>E48*'Input &amp; Calculation Summary'!D129</f>
        <v>535.42473156468338</v>
      </c>
      <c r="F63" s="108">
        <f>F48*'Input &amp; Calculation Summary'!E129</f>
        <v>281.99035862406657</v>
      </c>
      <c r="G63" s="108">
        <f>G48*'Input &amp; Calculation Summary'!F129</f>
        <v>78.528960629486903</v>
      </c>
      <c r="H63" s="108">
        <f>H48*'Input &amp; Calculation Summary'!G129</f>
        <v>78.528960629486903</v>
      </c>
    </row>
    <row r="64" spans="1:8" x14ac:dyDescent="0.3">
      <c r="A64" s="1" t="s">
        <v>534</v>
      </c>
      <c r="B64" s="90" t="s">
        <v>327</v>
      </c>
      <c r="C64" s="90"/>
      <c r="D64" s="108">
        <f>(D49+D142-D153+D362-D373+(D47/HCl_MolWt*H2O_MolWt))*'Input &amp; Calculation Summary'!C129</f>
        <v>84188.893298554714</v>
      </c>
      <c r="E64" s="108">
        <f>(E49+E142-E153+E362-E373+(E47/HCl_MolWt*H2O_MolWt))*'Input &amp; Calculation Summary'!D129</f>
        <v>299972.50303613918</v>
      </c>
      <c r="F64" s="108">
        <f>(F49+F142-F153+F362-F373+(F47/HCl_MolWt*H2O_MolWt))*'Input &amp; Calculation Summary'!E129</f>
        <v>164882.05593236664</v>
      </c>
      <c r="G64" s="108">
        <f>(G49+G142-G153+G362-G373+(G47/HCl_MolWt*H2O_MolWt))*'Input &amp; Calculation Summary'!F129</f>
        <v>56429.161778633752</v>
      </c>
      <c r="H64" s="108">
        <f>(H49+H142-H153+H362-H373+(H47/HCl_MolWt*H2O_MolWt))*'Input &amp; Calculation Summary'!G129</f>
        <v>56429.161778633752</v>
      </c>
    </row>
    <row r="65" spans="1:8" x14ac:dyDescent="0.3">
      <c r="A65" s="1" t="s">
        <v>60</v>
      </c>
      <c r="B65" s="90" t="s">
        <v>327</v>
      </c>
      <c r="C65" s="90"/>
      <c r="D65" s="108">
        <f>(D404-D412)*'Input &amp; Calculation Summary'!C129</f>
        <v>8390.155317215269</v>
      </c>
      <c r="E65" s="108">
        <f>(E404-E412)*'Input &amp; Calculation Summary'!D129</f>
        <v>48080.896558998065</v>
      </c>
      <c r="F65" s="108">
        <f>(F404-F412)*'Input &amp; Calculation Summary'!E129</f>
        <v>25322.605521072321</v>
      </c>
      <c r="G65" s="108">
        <f>(G404-G412)*'Input &amp; Calculation Summary'!F129</f>
        <v>7051.8648286530488</v>
      </c>
      <c r="H65" s="108">
        <f>(H404-H412)*'Input &amp; Calculation Summary'!G129</f>
        <v>7051.8648286530488</v>
      </c>
    </row>
    <row r="66" spans="1:8" x14ac:dyDescent="0.3">
      <c r="A66" s="1" t="s">
        <v>535</v>
      </c>
      <c r="B66" s="90" t="s">
        <v>327</v>
      </c>
      <c r="C66" s="90"/>
      <c r="D66" s="108">
        <f>SUM(D58:D64)</f>
        <v>967224.21748015319</v>
      </c>
      <c r="E66" s="108">
        <f>SUM(E58:E64)</f>
        <v>3453749.3171129348</v>
      </c>
      <c r="F66" s="108">
        <f>SUM(F58:F64)</f>
        <v>1825871.178012812</v>
      </c>
      <c r="G66" s="108">
        <f>SUM(G58:G64)</f>
        <v>518983.09450989711</v>
      </c>
      <c r="H66" s="108">
        <f>SUM(H58:H64)</f>
        <v>518983.09450989711</v>
      </c>
    </row>
    <row r="67" spans="1:8" x14ac:dyDescent="0.3">
      <c r="B67" s="90"/>
      <c r="C67" s="90"/>
      <c r="D67" s="108"/>
      <c r="E67" s="108"/>
      <c r="F67" s="108"/>
      <c r="G67" s="108"/>
      <c r="H67" s="108"/>
    </row>
    <row r="68" spans="1:8" ht="15.5" x14ac:dyDescent="0.35">
      <c r="A68" s="123" t="s">
        <v>650</v>
      </c>
      <c r="B68" s="90"/>
      <c r="C68" s="90"/>
      <c r="D68" s="108"/>
      <c r="E68" s="108"/>
      <c r="F68" s="108"/>
      <c r="G68" s="108"/>
      <c r="H68" s="108"/>
    </row>
    <row r="69" spans="1:8" x14ac:dyDescent="0.3">
      <c r="A69" s="113" t="s">
        <v>523</v>
      </c>
      <c r="B69" s="19" t="s">
        <v>51</v>
      </c>
      <c r="C69" s="90"/>
      <c r="D69" s="108">
        <f>D54</f>
        <v>147</v>
      </c>
      <c r="E69" s="108">
        <f>E54</f>
        <v>147</v>
      </c>
      <c r="F69" s="108">
        <f>F54</f>
        <v>147</v>
      </c>
      <c r="G69" s="108">
        <f>G54</f>
        <v>147</v>
      </c>
      <c r="H69" s="108">
        <f>H54</f>
        <v>147</v>
      </c>
    </row>
    <row r="70" spans="1:8" x14ac:dyDescent="0.3">
      <c r="A70" s="1" t="s">
        <v>524</v>
      </c>
      <c r="B70" s="90" t="s">
        <v>132</v>
      </c>
      <c r="C70" s="90"/>
      <c r="D70" s="108">
        <f>D55-(IF('Input &amp; Calculation Summary'!C12=1,'Input &amp; Calculation Summary'!C166,'Input &amp; Calculation Summary'!C184))</f>
        <v>-23</v>
      </c>
      <c r="E70" s="108">
        <f>E55-(IF('Input &amp; Calculation Summary'!D12=1,'Input &amp; Calculation Summary'!D166,'Input &amp; Calculation Summary'!D184))</f>
        <v>-23</v>
      </c>
      <c r="F70" s="108">
        <f>F55-(IF('Input &amp; Calculation Summary'!E12=1,'Input &amp; Calculation Summary'!E166,'Input &amp; Calculation Summary'!E184))</f>
        <v>-23</v>
      </c>
      <c r="G70" s="108">
        <f>G55-(IF('Input &amp; Calculation Summary'!F12=1,'Input &amp; Calculation Summary'!F166,'Input &amp; Calculation Summary'!F184))</f>
        <v>-23</v>
      </c>
      <c r="H70" s="108">
        <f>H55-(IF('Input &amp; Calculation Summary'!G12=1,'Input &amp; Calculation Summary'!G166,'Input &amp; Calculation Summary'!G184))</f>
        <v>-23</v>
      </c>
    </row>
    <row r="71" spans="1:8" x14ac:dyDescent="0.3">
      <c r="A71" s="1" t="s">
        <v>525</v>
      </c>
      <c r="B71" s="90" t="s">
        <v>526</v>
      </c>
      <c r="C71" s="90"/>
      <c r="D71" s="108">
        <f>((D73/CO2_MolWt)+(D74/N2_MolWt)+(D75/SO2_MolWt)+(D76/O2_MolWt)+(D78/NO_MolWt)+(D79/H2O_MolWt))*(cubft_60/60)</f>
        <v>213652.57783781699</v>
      </c>
      <c r="E71" s="108">
        <f>((E73/CO2_MolWt)+(E74/N2_MolWt)+(E75/SO2_MolWt)+(E76/O2_MolWt)+(E78/NO_MolWt)+(E79/H2O_MolWt))*(cubft_60/60)</f>
        <v>762649.71592468186</v>
      </c>
      <c r="F71" s="108">
        <f>((F73/CO2_MolWt)+(F74/N2_MolWt)+(F75/SO2_MolWt)+(F76/O2_MolWt)+(F78/NO_MolWt)+(F79/H2O_MolWt))*(cubft_60/60)</f>
        <v>404084.31637172523</v>
      </c>
      <c r="G71" s="108">
        <f>((G73/CO2_MolWt)+(G74/N2_MolWt)+(G75/SO2_MolWt)+(G76/O2_MolWt)+(G78/NO_MolWt)+(G79/H2O_MolWt))*(cubft_60/60)</f>
        <v>116221.9533503377</v>
      </c>
      <c r="H71" s="108">
        <f>((H73/CO2_MolWt)+(H74/N2_MolWt)+(H75/SO2_MolWt)+(H76/O2_MolWt)+(H78/NO_MolWt)+(H79/H2O_MolWt))*(cubft_60/60)</f>
        <v>116221.9533503377</v>
      </c>
    </row>
    <row r="72" spans="1:8" x14ac:dyDescent="0.3">
      <c r="A72" s="1" t="s">
        <v>525</v>
      </c>
      <c r="B72" s="90" t="s">
        <v>527</v>
      </c>
      <c r="C72" s="90"/>
      <c r="D72" s="108">
        <f>D71*((D69+460)/520)*(29.92/('Input &amp; Calculation Summary'!C32+(D70/inH2O_inHg)))</f>
        <v>269282.28568491893</v>
      </c>
      <c r="E72" s="108">
        <f>E71*((E69+460)/520)*(29.92/('Input &amp; Calculation Summary'!D32+(E70/inH2O_inHg)))</f>
        <v>961224.34261966485</v>
      </c>
      <c r="F72" s="108">
        <f>F71*((F69+460)/520)*(29.92/('Input &amp; Calculation Summary'!E32+(F70/inH2O_inHg)))</f>
        <v>509297.61495602212</v>
      </c>
      <c r="G72" s="108">
        <f>G71*((G69+460)/520)*(29.92/('Input &amp; Calculation Summary'!F32+(G70/inH2O_inHg)))</f>
        <v>146483.19978943589</v>
      </c>
      <c r="H72" s="108">
        <f>H71*((H69+460)/520)*(29.92/('Input &amp; Calculation Summary'!G32+(H70/inH2O_inHg)))</f>
        <v>146483.19978943589</v>
      </c>
    </row>
    <row r="73" spans="1:8" x14ac:dyDescent="0.3">
      <c r="A73" s="1" t="s">
        <v>528</v>
      </c>
      <c r="B73" s="90" t="s">
        <v>327</v>
      </c>
      <c r="C73" s="90"/>
      <c r="D73" s="108">
        <f t="shared" ref="D73:H74" si="1">D58</f>
        <v>167773.16285284923</v>
      </c>
      <c r="E73" s="108">
        <f t="shared" si="1"/>
        <v>599172.98874379217</v>
      </c>
      <c r="F73" s="108">
        <f t="shared" si="1"/>
        <v>315564.44073839724</v>
      </c>
      <c r="G73" s="108">
        <f t="shared" si="1"/>
        <v>87878.70501575619</v>
      </c>
      <c r="H73" s="108">
        <f t="shared" si="1"/>
        <v>87878.70501575619</v>
      </c>
    </row>
    <row r="74" spans="1:8" x14ac:dyDescent="0.3">
      <c r="A74" s="1" t="s">
        <v>529</v>
      </c>
      <c r="B74" s="90" t="s">
        <v>327</v>
      </c>
      <c r="C74" s="90"/>
      <c r="D74" s="108">
        <f t="shared" si="1"/>
        <v>662514.46976216964</v>
      </c>
      <c r="E74" s="108">
        <f t="shared" si="1"/>
        <v>2366056.4549383563</v>
      </c>
      <c r="F74" s="108">
        <f t="shared" si="1"/>
        <v>1246123.0662675342</v>
      </c>
      <c r="G74" s="108">
        <f t="shared" si="1"/>
        <v>347021.61339095893</v>
      </c>
      <c r="H74" s="108">
        <f t="shared" si="1"/>
        <v>347021.61339095893</v>
      </c>
    </row>
    <row r="75" spans="1:8" x14ac:dyDescent="0.3">
      <c r="A75" s="1" t="s">
        <v>530</v>
      </c>
      <c r="B75" s="90" t="s">
        <v>327</v>
      </c>
      <c r="C75" s="90"/>
      <c r="D75" s="108">
        <f>D60-D382-D393</f>
        <v>19.382999999999996</v>
      </c>
      <c r="E75" s="108">
        <f>E60-E382-E393</f>
        <v>140.72582372457452</v>
      </c>
      <c r="F75" s="108">
        <f>F60-F382-F393</f>
        <v>74.115600494942711</v>
      </c>
      <c r="G75" s="108">
        <f>G60-G382-G393</f>
        <v>20.639787479604259</v>
      </c>
      <c r="H75" s="108">
        <f>H60-H382-H393</f>
        <v>20.639787479604259</v>
      </c>
    </row>
    <row r="76" spans="1:8" x14ac:dyDescent="0.3">
      <c r="A76" s="1" t="s">
        <v>531</v>
      </c>
      <c r="B76" s="90" t="s">
        <v>327</v>
      </c>
      <c r="C76" s="90"/>
      <c r="D76" s="108">
        <f>D61-D394</f>
        <v>52541.317650350065</v>
      </c>
      <c r="E76" s="108">
        <f>E61-E394</f>
        <v>187602.09781417262</v>
      </c>
      <c r="F76" s="108">
        <f>F61-F394</f>
        <v>98803.77151546425</v>
      </c>
      <c r="G76" s="108">
        <f>G61-G394</f>
        <v>27514.974346078652</v>
      </c>
      <c r="H76" s="108">
        <f>H61-H394</f>
        <v>27514.974346078652</v>
      </c>
    </row>
    <row r="77" spans="1:8" x14ac:dyDescent="0.3">
      <c r="A77" s="1" t="s">
        <v>532</v>
      </c>
      <c r="B77" s="90" t="s">
        <v>327</v>
      </c>
      <c r="C77" s="90"/>
      <c r="D77" s="108">
        <f t="shared" ref="D77:H78" si="2">D62</f>
        <v>0</v>
      </c>
      <c r="E77" s="108">
        <f t="shared" si="2"/>
        <v>0</v>
      </c>
      <c r="F77" s="108">
        <f t="shared" si="2"/>
        <v>0</v>
      </c>
      <c r="G77" s="108">
        <f t="shared" si="2"/>
        <v>0</v>
      </c>
      <c r="H77" s="108">
        <f t="shared" si="2"/>
        <v>0</v>
      </c>
    </row>
    <row r="78" spans="1:8" x14ac:dyDescent="0.3">
      <c r="A78" s="1" t="s">
        <v>533</v>
      </c>
      <c r="B78" s="90" t="s">
        <v>327</v>
      </c>
      <c r="C78" s="90"/>
      <c r="D78" s="108">
        <f t="shared" si="2"/>
        <v>149.92314802537967</v>
      </c>
      <c r="E78" s="108">
        <f t="shared" si="2"/>
        <v>535.42473156468338</v>
      </c>
      <c r="F78" s="108">
        <f t="shared" si="2"/>
        <v>281.99035862406657</v>
      </c>
      <c r="G78" s="108">
        <f t="shared" si="2"/>
        <v>78.528960629486903</v>
      </c>
      <c r="H78" s="108">
        <f t="shared" si="2"/>
        <v>78.528960629486903</v>
      </c>
    </row>
    <row r="79" spans="1:8" x14ac:dyDescent="0.3">
      <c r="A79" s="1" t="s">
        <v>534</v>
      </c>
      <c r="B79" s="90" t="s">
        <v>327</v>
      </c>
      <c r="C79" s="90"/>
      <c r="D79" s="108">
        <f>D64+D384-D395-(D65-D80+D396+D385-D383-D392)/0.98*0.02</f>
        <v>84018.464890307092</v>
      </c>
      <c r="E79" s="108">
        <f>E64+E384-E395-(E65-E80+E396+E385-E383-E392)/0.98*0.02</f>
        <v>298995.94053726725</v>
      </c>
      <c r="F79" s="108">
        <f>F64+F384-F395-(F65-F80+F396+F385-F383-F392)/0.98*0.02</f>
        <v>164367.73301629408</v>
      </c>
      <c r="G79" s="108">
        <f>G64+G384-G395-(G65-G80+G396+G385-G383-G392)/0.98*0.02</f>
        <v>56285.932612132536</v>
      </c>
      <c r="H79" s="108">
        <f>H64+H384-H395-(H65-H80+H396+H385-H383-H392)/0.98*0.02</f>
        <v>56285.932612132536</v>
      </c>
    </row>
    <row r="80" spans="1:8" x14ac:dyDescent="0.3">
      <c r="A80" s="1" t="s">
        <v>60</v>
      </c>
      <c r="B80" s="90" t="s">
        <v>327</v>
      </c>
      <c r="C80" s="90"/>
      <c r="D80" s="108">
        <f>'Input &amp; Calculation Summary'!C164*Constants_CC!E491</f>
        <v>14.91</v>
      </c>
      <c r="E80" s="108">
        <f>'Input &amp; Calculation Summary'!D164*Constants_CC!F491</f>
        <v>53.2485</v>
      </c>
      <c r="F80" s="108">
        <f>'Input &amp; Calculation Summary'!E164*Constants_CC!G491</f>
        <v>28.04421</v>
      </c>
      <c r="G80" s="108">
        <f>'Input &amp; Calculation Summary'!F164*Constants_CC!H491</f>
        <v>7.8097799999999999</v>
      </c>
      <c r="H80" s="108">
        <f>'Input &amp; Calculation Summary'!G164*Constants_CC!I491</f>
        <v>7.8097799999999999</v>
      </c>
    </row>
    <row r="81" spans="1:8" x14ac:dyDescent="0.3">
      <c r="A81" s="1" t="s">
        <v>535</v>
      </c>
      <c r="B81" s="90" t="s">
        <v>327</v>
      </c>
      <c r="C81" s="90"/>
      <c r="D81" s="108">
        <f>SUM(D73:D79)</f>
        <v>967016.7213037014</v>
      </c>
      <c r="E81" s="108">
        <f>SUM(E73:E79)</f>
        <v>3452503.6325888778</v>
      </c>
      <c r="F81" s="108">
        <f>SUM(F73:F79)</f>
        <v>1825215.1174968085</v>
      </c>
      <c r="G81" s="108">
        <f>SUM(G73:G79)</f>
        <v>518800.39411303535</v>
      </c>
      <c r="H81" s="108">
        <f>SUM(H73:H79)</f>
        <v>518800.39411303535</v>
      </c>
    </row>
    <row r="82" spans="1:8" x14ac:dyDescent="0.3">
      <c r="B82" s="90"/>
      <c r="C82" s="90"/>
      <c r="D82" s="108"/>
      <c r="E82" s="108"/>
      <c r="F82" s="108"/>
      <c r="G82" s="108"/>
      <c r="H82" s="108"/>
    </row>
    <row r="83" spans="1:8" ht="15.5" x14ac:dyDescent="0.35">
      <c r="A83" s="123" t="s">
        <v>651</v>
      </c>
      <c r="B83" s="90"/>
      <c r="C83" s="90"/>
      <c r="D83" s="108"/>
      <c r="E83" s="108"/>
      <c r="F83" s="108"/>
      <c r="G83" s="108"/>
      <c r="H83" s="108"/>
    </row>
    <row r="84" spans="1:8" x14ac:dyDescent="0.3">
      <c r="A84" s="113" t="s">
        <v>523</v>
      </c>
      <c r="B84" s="19" t="s">
        <v>51</v>
      </c>
      <c r="C84" s="90"/>
      <c r="D84" s="108">
        <f>D69+5</f>
        <v>152</v>
      </c>
      <c r="E84" s="108">
        <f>E69+5</f>
        <v>152</v>
      </c>
      <c r="F84" s="108">
        <f>F69+5</f>
        <v>152</v>
      </c>
      <c r="G84" s="108">
        <f>G69+5</f>
        <v>152</v>
      </c>
      <c r="H84" s="108">
        <f>H69+5</f>
        <v>152</v>
      </c>
    </row>
    <row r="85" spans="1:8" x14ac:dyDescent="0.3">
      <c r="A85" s="1" t="s">
        <v>524</v>
      </c>
      <c r="B85" s="90" t="s">
        <v>132</v>
      </c>
      <c r="C85" s="90"/>
      <c r="D85" s="108">
        <v>1</v>
      </c>
      <c r="E85" s="108">
        <v>1</v>
      </c>
      <c r="F85" s="108">
        <v>1</v>
      </c>
      <c r="G85" s="108">
        <v>1</v>
      </c>
      <c r="H85" s="108">
        <v>1</v>
      </c>
    </row>
    <row r="86" spans="1:8" x14ac:dyDescent="0.3">
      <c r="A86" s="1" t="s">
        <v>525</v>
      </c>
      <c r="B86" s="90" t="s">
        <v>526</v>
      </c>
      <c r="C86" s="90"/>
      <c r="D86" s="108">
        <f>((D88/CO2_MolWt)+(D89/N2_MolWt)+(D90/SO2_MolWt)+(D91/O2_MolWt)+(D93/NO_MolWt)+(D94/H2O_MolWt))*(cubft_60/60)</f>
        <v>213652.57783781699</v>
      </c>
      <c r="E86" s="108">
        <f>((E88/CO2_MolWt)+(E89/N2_MolWt)+(E90/SO2_MolWt)+(E91/O2_MolWt)+(E93/NO_MolWt)+(E94/H2O_MolWt))*(cubft_60/60)</f>
        <v>762649.71592468186</v>
      </c>
      <c r="F86" s="108">
        <f>((F88/CO2_MolWt)+(F89/N2_MolWt)+(F90/SO2_MolWt)+(F91/O2_MolWt)+(F93/NO_MolWt)+(F94/H2O_MolWt))*(cubft_60/60)</f>
        <v>404084.31637172523</v>
      </c>
      <c r="G86" s="108">
        <f>((G88/CO2_MolWt)+(G89/N2_MolWt)+(G90/SO2_MolWt)+(G91/O2_MolWt)+(G93/NO_MolWt)+(G94/H2O_MolWt))*(cubft_60/60)</f>
        <v>116221.9533503377</v>
      </c>
      <c r="H86" s="108">
        <f>((H88/CO2_MolWt)+(H89/N2_MolWt)+(H90/SO2_MolWt)+(H91/O2_MolWt)+(H93/NO_MolWt)+(H94/H2O_MolWt))*(cubft_60/60)</f>
        <v>116221.9533503377</v>
      </c>
    </row>
    <row r="87" spans="1:8" x14ac:dyDescent="0.3">
      <c r="A87" s="1" t="s">
        <v>525</v>
      </c>
      <c r="B87" s="90" t="s">
        <v>527</v>
      </c>
      <c r="C87" s="90"/>
      <c r="D87" s="108">
        <f>D86*((D84+460)/520)*(29.92/('Input &amp; Calculation Summary'!C32+(D85/inH2O_inHg)))</f>
        <v>255262.40310792258</v>
      </c>
      <c r="E87" s="108">
        <f>E86*((E84+460)/520)*(29.92/('Input &amp; Calculation Summary'!D32+(E85/inH2O_inHg)))</f>
        <v>911179.26676403871</v>
      </c>
      <c r="F87" s="108">
        <f>F86*((F84+460)/520)*(29.92/('Input &amp; Calculation Summary'!E32+(F85/inH2O_inHg)))</f>
        <v>482781.60132272128</v>
      </c>
      <c r="G87" s="108">
        <f>G86*((G84+460)/520)*(29.92/('Input &amp; Calculation Summary'!F32+(G85/inH2O_inHg)))</f>
        <v>138856.714982509</v>
      </c>
      <c r="H87" s="108">
        <f>H86*((H84+460)/520)*(29.92/('Input &amp; Calculation Summary'!G32+(H85/inH2O_inHg)))</f>
        <v>138856.714982509</v>
      </c>
    </row>
    <row r="88" spans="1:8" x14ac:dyDescent="0.3">
      <c r="A88" s="1" t="s">
        <v>528</v>
      </c>
      <c r="B88" s="90" t="s">
        <v>327</v>
      </c>
      <c r="C88" s="90"/>
      <c r="D88" s="108">
        <f>D73</f>
        <v>167773.16285284923</v>
      </c>
      <c r="E88" s="108">
        <f>E73</f>
        <v>599172.98874379217</v>
      </c>
      <c r="F88" s="108">
        <f>F73</f>
        <v>315564.44073839724</v>
      </c>
      <c r="G88" s="108">
        <f>G73</f>
        <v>87878.70501575619</v>
      </c>
      <c r="H88" s="108">
        <f>H73</f>
        <v>87878.70501575619</v>
      </c>
    </row>
    <row r="89" spans="1:8" x14ac:dyDescent="0.3">
      <c r="A89" s="1" t="s">
        <v>529</v>
      </c>
      <c r="B89" s="90" t="s">
        <v>327</v>
      </c>
      <c r="C89" s="90"/>
      <c r="D89" s="108">
        <f t="shared" ref="D89:H95" si="3">D74</f>
        <v>662514.46976216964</v>
      </c>
      <c r="E89" s="108">
        <f t="shared" si="3"/>
        <v>2366056.4549383563</v>
      </c>
      <c r="F89" s="108">
        <f t="shared" si="3"/>
        <v>1246123.0662675342</v>
      </c>
      <c r="G89" s="108">
        <f t="shared" si="3"/>
        <v>347021.61339095893</v>
      </c>
      <c r="H89" s="108">
        <f t="shared" si="3"/>
        <v>347021.61339095893</v>
      </c>
    </row>
    <row r="90" spans="1:8" x14ac:dyDescent="0.3">
      <c r="A90" s="1" t="s">
        <v>530</v>
      </c>
      <c r="B90" s="90" t="s">
        <v>327</v>
      </c>
      <c r="C90" s="90"/>
      <c r="D90" s="108">
        <f t="shared" si="3"/>
        <v>19.382999999999996</v>
      </c>
      <c r="E90" s="108">
        <f t="shared" si="3"/>
        <v>140.72582372457452</v>
      </c>
      <c r="F90" s="108">
        <f t="shared" si="3"/>
        <v>74.115600494942711</v>
      </c>
      <c r="G90" s="108">
        <f t="shared" si="3"/>
        <v>20.639787479604259</v>
      </c>
      <c r="H90" s="108">
        <f t="shared" si="3"/>
        <v>20.639787479604259</v>
      </c>
    </row>
    <row r="91" spans="1:8" x14ac:dyDescent="0.3">
      <c r="A91" s="1" t="s">
        <v>531</v>
      </c>
      <c r="B91" s="90" t="s">
        <v>327</v>
      </c>
      <c r="C91" s="90"/>
      <c r="D91" s="108">
        <f t="shared" si="3"/>
        <v>52541.317650350065</v>
      </c>
      <c r="E91" s="108">
        <f t="shared" si="3"/>
        <v>187602.09781417262</v>
      </c>
      <c r="F91" s="108">
        <f t="shared" si="3"/>
        <v>98803.77151546425</v>
      </c>
      <c r="G91" s="108">
        <f t="shared" si="3"/>
        <v>27514.974346078652</v>
      </c>
      <c r="H91" s="108">
        <f t="shared" si="3"/>
        <v>27514.974346078652</v>
      </c>
    </row>
    <row r="92" spans="1:8" x14ac:dyDescent="0.3">
      <c r="A92" s="1" t="s">
        <v>532</v>
      </c>
      <c r="B92" s="90" t="s">
        <v>327</v>
      </c>
      <c r="C92" s="90"/>
      <c r="D92" s="108">
        <f t="shared" si="3"/>
        <v>0</v>
      </c>
      <c r="E92" s="108">
        <f t="shared" si="3"/>
        <v>0</v>
      </c>
      <c r="F92" s="108">
        <f t="shared" si="3"/>
        <v>0</v>
      </c>
      <c r="G92" s="108">
        <f t="shared" si="3"/>
        <v>0</v>
      </c>
      <c r="H92" s="108">
        <f t="shared" si="3"/>
        <v>0</v>
      </c>
    </row>
    <row r="93" spans="1:8" x14ac:dyDescent="0.3">
      <c r="A93" s="1" t="s">
        <v>533</v>
      </c>
      <c r="B93" s="90" t="s">
        <v>327</v>
      </c>
      <c r="C93" s="90"/>
      <c r="D93" s="108">
        <f t="shared" si="3"/>
        <v>149.92314802537967</v>
      </c>
      <c r="E93" s="108">
        <f t="shared" si="3"/>
        <v>535.42473156468338</v>
      </c>
      <c r="F93" s="108">
        <f t="shared" si="3"/>
        <v>281.99035862406657</v>
      </c>
      <c r="G93" s="108">
        <f t="shared" si="3"/>
        <v>78.528960629486903</v>
      </c>
      <c r="H93" s="108">
        <f t="shared" si="3"/>
        <v>78.528960629486903</v>
      </c>
    </row>
    <row r="94" spans="1:8" x14ac:dyDescent="0.3">
      <c r="A94" s="1" t="s">
        <v>534</v>
      </c>
      <c r="B94" s="90" t="s">
        <v>327</v>
      </c>
      <c r="C94" s="90"/>
      <c r="D94" s="108">
        <f t="shared" si="3"/>
        <v>84018.464890307092</v>
      </c>
      <c r="E94" s="108">
        <f t="shared" si="3"/>
        <v>298995.94053726725</v>
      </c>
      <c r="F94" s="108">
        <f t="shared" si="3"/>
        <v>164367.73301629408</v>
      </c>
      <c r="G94" s="108">
        <f t="shared" si="3"/>
        <v>56285.932612132536</v>
      </c>
      <c r="H94" s="108">
        <f t="shared" si="3"/>
        <v>56285.932612132536</v>
      </c>
    </row>
    <row r="95" spans="1:8" x14ac:dyDescent="0.3">
      <c r="A95" s="1" t="s">
        <v>60</v>
      </c>
      <c r="B95" s="90" t="s">
        <v>327</v>
      </c>
      <c r="C95" s="90"/>
      <c r="D95" s="108">
        <f t="shared" si="3"/>
        <v>14.91</v>
      </c>
      <c r="E95" s="108">
        <f t="shared" si="3"/>
        <v>53.2485</v>
      </c>
      <c r="F95" s="108">
        <f t="shared" si="3"/>
        <v>28.04421</v>
      </c>
      <c r="G95" s="108">
        <f t="shared" si="3"/>
        <v>7.8097799999999999</v>
      </c>
      <c r="H95" s="108">
        <f t="shared" si="3"/>
        <v>7.8097799999999999</v>
      </c>
    </row>
    <row r="96" spans="1:8" x14ac:dyDescent="0.3">
      <c r="A96" s="1" t="s">
        <v>535</v>
      </c>
      <c r="B96" s="90" t="s">
        <v>327</v>
      </c>
      <c r="C96" s="90"/>
      <c r="D96" s="108">
        <f>SUM(D88:D94)</f>
        <v>967016.7213037014</v>
      </c>
      <c r="E96" s="108">
        <f>SUM(E88:E94)</f>
        <v>3452503.6325888778</v>
      </c>
      <c r="F96" s="108">
        <f>SUM(F88:F94)</f>
        <v>1825215.1174968085</v>
      </c>
      <c r="G96" s="108">
        <f>SUM(G88:G94)</f>
        <v>518800.39411303535</v>
      </c>
      <c r="H96" s="108">
        <f>SUM(H88:H94)</f>
        <v>518800.39411303535</v>
      </c>
    </row>
    <row r="97" spans="1:8" x14ac:dyDescent="0.3">
      <c r="B97" s="90"/>
      <c r="C97" s="90"/>
      <c r="D97" s="108"/>
      <c r="E97" s="108"/>
      <c r="F97" s="108"/>
      <c r="G97" s="108"/>
      <c r="H97" s="108"/>
    </row>
    <row r="98" spans="1:8" ht="15.5" x14ac:dyDescent="0.35">
      <c r="A98" s="123" t="s">
        <v>652</v>
      </c>
      <c r="B98" s="90"/>
      <c r="C98" s="90"/>
      <c r="D98" s="108"/>
      <c r="E98" s="108"/>
      <c r="F98" s="108"/>
      <c r="G98" s="108"/>
      <c r="H98" s="108"/>
    </row>
    <row r="99" spans="1:8" x14ac:dyDescent="0.3">
      <c r="A99" s="113" t="s">
        <v>523</v>
      </c>
      <c r="B99" s="19" t="s">
        <v>51</v>
      </c>
      <c r="C99" s="90"/>
      <c r="D99" s="108">
        <v>60</v>
      </c>
      <c r="E99" s="108">
        <v>60</v>
      </c>
      <c r="F99" s="108">
        <v>60</v>
      </c>
      <c r="G99" s="108">
        <v>60</v>
      </c>
      <c r="H99" s="108">
        <v>60</v>
      </c>
    </row>
    <row r="100" spans="1:8" x14ac:dyDescent="0.3">
      <c r="A100" s="1" t="s">
        <v>563</v>
      </c>
      <c r="B100" s="90" t="s">
        <v>564</v>
      </c>
      <c r="C100" s="90"/>
      <c r="D100" s="94">
        <v>1</v>
      </c>
      <c r="E100" s="94">
        <v>1</v>
      </c>
      <c r="F100" s="94">
        <v>1</v>
      </c>
      <c r="G100" s="94">
        <v>1</v>
      </c>
      <c r="H100" s="94">
        <v>1</v>
      </c>
    </row>
    <row r="101" spans="1:8" x14ac:dyDescent="0.3">
      <c r="A101" s="1" t="s">
        <v>565</v>
      </c>
      <c r="B101" s="90" t="s">
        <v>327</v>
      </c>
      <c r="C101" s="90"/>
      <c r="D101" s="108">
        <f>D102/(Constants_CC!$D$79/100)*((100-Constants_CC!$D$79)/100)</f>
        <v>17.313798625277521</v>
      </c>
      <c r="E101" s="108">
        <f>E102/(Constants_CC!$D$79/100)*((100-Constants_CC!$D$79)/100)</f>
        <v>125.70286195860223</v>
      </c>
      <c r="F101" s="108">
        <f>F102/(Constants_CC!$D$79/100)*((100-Constants_CC!$D$79)/100)</f>
        <v>66.203507298197152</v>
      </c>
      <c r="G101" s="108">
        <f>G102/(Constants_CC!$D$79/100)*((100-Constants_CC!$D$79)/100)</f>
        <v>18.43641975392833</v>
      </c>
      <c r="H101" s="108">
        <f>H102/(Constants_CC!$D$79/100)*((100-Constants_CC!$D$79)/100)</f>
        <v>18.43641975392833</v>
      </c>
    </row>
    <row r="102" spans="1:8" x14ac:dyDescent="0.3">
      <c r="A102" s="1" t="s">
        <v>653</v>
      </c>
      <c r="B102" s="90" t="s">
        <v>327</v>
      </c>
      <c r="C102" s="90"/>
      <c r="D102" s="108">
        <f>D30*(CaO_MolWt/SO2_MolWt)*'Input &amp; Calculation Summary'!C124</f>
        <v>155.82418762749768</v>
      </c>
      <c r="E102" s="108">
        <f>E30*(CaO_MolWt/SO2_MolWt)*'Input &amp; Calculation Summary'!D124</f>
        <v>1131.32575762742</v>
      </c>
      <c r="F102" s="108">
        <f>F30*(CaO_MolWt/SO2_MolWt)*'Input &amp; Calculation Summary'!E124</f>
        <v>595.83156568377444</v>
      </c>
      <c r="G102" s="108">
        <f>G30*(CaO_MolWt/SO2_MolWt)*'Input &amp; Calculation Summary'!F124</f>
        <v>165.92777778535495</v>
      </c>
      <c r="H102" s="108">
        <f>H30*(CaO_MolWt/SO2_MolWt)*'Input &amp; Calculation Summary'!G124</f>
        <v>165.92777778535495</v>
      </c>
    </row>
    <row r="103" spans="1:8" x14ac:dyDescent="0.3">
      <c r="A103" s="1" t="s">
        <v>555</v>
      </c>
      <c r="B103" s="90" t="s">
        <v>327</v>
      </c>
      <c r="C103" s="90"/>
      <c r="D103" s="108">
        <f>D101+D102</f>
        <v>173.13798625277519</v>
      </c>
      <c r="E103" s="108">
        <f>E101+E102</f>
        <v>1257.0286195860222</v>
      </c>
      <c r="F103" s="108">
        <f>F101+F102</f>
        <v>662.03507298197155</v>
      </c>
      <c r="G103" s="108">
        <f>G101+G102</f>
        <v>184.36419753928328</v>
      </c>
      <c r="H103" s="108">
        <f>H101+H102</f>
        <v>184.36419753928328</v>
      </c>
    </row>
    <row r="104" spans="1:8" x14ac:dyDescent="0.3">
      <c r="B104" s="90"/>
      <c r="C104" s="90"/>
      <c r="D104" s="108"/>
      <c r="E104" s="108"/>
      <c r="F104" s="108"/>
      <c r="G104" s="108"/>
      <c r="H104" s="108"/>
    </row>
    <row r="105" spans="1:8" ht="15.5" x14ac:dyDescent="0.35">
      <c r="A105" s="123" t="s">
        <v>654</v>
      </c>
      <c r="B105" s="90"/>
      <c r="C105" s="90"/>
      <c r="D105" s="108"/>
      <c r="E105" s="108"/>
      <c r="F105" s="108"/>
      <c r="G105" s="108"/>
      <c r="H105" s="108"/>
    </row>
    <row r="106" spans="1:8" x14ac:dyDescent="0.3">
      <c r="A106" s="113" t="s">
        <v>523</v>
      </c>
      <c r="B106" s="19" t="s">
        <v>51</v>
      </c>
      <c r="C106" s="90"/>
      <c r="D106" s="108">
        <v>60</v>
      </c>
      <c r="E106" s="108">
        <v>60</v>
      </c>
      <c r="F106" s="108">
        <v>60</v>
      </c>
      <c r="G106" s="108">
        <v>60</v>
      </c>
      <c r="H106" s="108">
        <v>60</v>
      </c>
    </row>
    <row r="107" spans="1:8" x14ac:dyDescent="0.3">
      <c r="A107" s="1" t="s">
        <v>525</v>
      </c>
      <c r="B107" s="90" t="s">
        <v>568</v>
      </c>
      <c r="C107" s="90"/>
      <c r="D107" s="108">
        <f>D110/(8.34*(1+D108))/60</f>
        <v>1.1407844932306059</v>
      </c>
      <c r="E107" s="108">
        <f>E110/(8.34*(1+E108))/60</f>
        <v>8.2824040397306131</v>
      </c>
      <c r="F107" s="108">
        <f>F110/(8.34*(1+F108))/60</f>
        <v>4.3620661275914552</v>
      </c>
      <c r="G107" s="108">
        <f>G110/(8.34*(1+G108))/60</f>
        <v>1.2147525924938232</v>
      </c>
      <c r="H107" s="108">
        <f>H110/(8.34*(1+H108))/60</f>
        <v>1.2147525924938232</v>
      </c>
    </row>
    <row r="108" spans="1:8" x14ac:dyDescent="0.3">
      <c r="A108" s="1" t="s">
        <v>563</v>
      </c>
      <c r="B108" s="90" t="s">
        <v>564</v>
      </c>
      <c r="C108" s="90"/>
      <c r="D108" s="94">
        <v>0</v>
      </c>
      <c r="E108" s="94">
        <v>0</v>
      </c>
      <c r="F108" s="94">
        <v>0</v>
      </c>
      <c r="G108" s="94">
        <v>0</v>
      </c>
      <c r="H108" s="94">
        <v>0</v>
      </c>
    </row>
    <row r="109" spans="1:8" x14ac:dyDescent="0.3">
      <c r="A109" s="1" t="s">
        <v>534</v>
      </c>
      <c r="B109" s="90" t="s">
        <v>327</v>
      </c>
      <c r="C109" s="90"/>
      <c r="D109" s="108">
        <f>D118+D102/CaO_MolWt*H2O_MolWt</f>
        <v>570.84856041259525</v>
      </c>
      <c r="E109" s="108">
        <f>E118+E102/CaO_MolWt*H2O_MolWt</f>
        <v>4144.5149814811984</v>
      </c>
      <c r="F109" s="108">
        <f>F118+F102/CaO_MolWt*H2O_MolWt</f>
        <v>2182.7778902467639</v>
      </c>
      <c r="G109" s="108">
        <f>G118+G102/CaO_MolWt*H2O_MolWt</f>
        <v>607.86219728390904</v>
      </c>
      <c r="H109" s="108">
        <f>H118+H102/CaO_MolWt*H2O_MolWt</f>
        <v>607.86219728390904</v>
      </c>
    </row>
    <row r="110" spans="1:8" x14ac:dyDescent="0.3">
      <c r="A110" s="1" t="s">
        <v>555</v>
      </c>
      <c r="B110" s="90" t="s">
        <v>327</v>
      </c>
      <c r="C110" s="90"/>
      <c r="D110" s="108">
        <f>D109</f>
        <v>570.84856041259525</v>
      </c>
      <c r="E110" s="108">
        <f>E109</f>
        <v>4144.5149814811984</v>
      </c>
      <c r="F110" s="108">
        <f>F109</f>
        <v>2182.7778902467639</v>
      </c>
      <c r="G110" s="108">
        <f>G109</f>
        <v>607.86219728390904</v>
      </c>
      <c r="H110" s="108">
        <f>H109</f>
        <v>607.86219728390904</v>
      </c>
    </row>
    <row r="111" spans="1:8" x14ac:dyDescent="0.3">
      <c r="B111" s="90"/>
      <c r="C111" s="90"/>
      <c r="D111" s="108"/>
      <c r="E111" s="108"/>
      <c r="F111" s="108"/>
      <c r="G111" s="108"/>
      <c r="H111" s="108"/>
    </row>
    <row r="112" spans="1:8" ht="15.5" x14ac:dyDescent="0.35">
      <c r="A112" s="123" t="s">
        <v>655</v>
      </c>
      <c r="B112" s="90"/>
      <c r="C112" s="90"/>
      <c r="D112" s="108"/>
      <c r="E112" s="108"/>
      <c r="F112" s="108"/>
      <c r="G112" s="108"/>
      <c r="H112" s="108"/>
    </row>
    <row r="113" spans="1:8" x14ac:dyDescent="0.3">
      <c r="A113" s="113" t="s">
        <v>523</v>
      </c>
      <c r="B113" s="19" t="s">
        <v>51</v>
      </c>
      <c r="C113" s="90"/>
      <c r="D113" s="108">
        <v>110</v>
      </c>
      <c r="E113" s="108">
        <v>110</v>
      </c>
      <c r="F113" s="108">
        <v>110</v>
      </c>
      <c r="G113" s="108">
        <v>110</v>
      </c>
      <c r="H113" s="108">
        <v>110</v>
      </c>
    </row>
    <row r="114" spans="1:8" x14ac:dyDescent="0.3">
      <c r="A114" s="1" t="s">
        <v>525</v>
      </c>
      <c r="B114" s="90" t="s">
        <v>568</v>
      </c>
      <c r="C114" s="90"/>
      <c r="D114" s="108">
        <f>D119/(8.34*(1+D115))/60</f>
        <v>1.1436795725265443</v>
      </c>
      <c r="E114" s="108">
        <f>E119/(8.34*(1+E115))/60</f>
        <v>8.3034230986311375</v>
      </c>
      <c r="F114" s="108">
        <f>F119/(8.34*(1+F115))/60</f>
        <v>4.3731361652790648</v>
      </c>
      <c r="G114" s="108">
        <f>G119/(8.34*(1+G115))/60</f>
        <v>1.2178353877992334</v>
      </c>
      <c r="H114" s="108">
        <f>H119/(8.34*(1+H115))/60</f>
        <v>1.2178353877992334</v>
      </c>
    </row>
    <row r="115" spans="1:8" x14ac:dyDescent="0.3">
      <c r="A115" s="1" t="s">
        <v>563</v>
      </c>
      <c r="B115" s="90" t="s">
        <v>564</v>
      </c>
      <c r="C115" s="90"/>
      <c r="D115" s="94">
        <v>0.3</v>
      </c>
      <c r="E115" s="94">
        <v>0.3</v>
      </c>
      <c r="F115" s="94">
        <v>0.3</v>
      </c>
      <c r="G115" s="94">
        <v>0.3</v>
      </c>
      <c r="H115" s="94">
        <v>0.3</v>
      </c>
    </row>
    <row r="116" spans="1:8" x14ac:dyDescent="0.3">
      <c r="A116" s="1" t="s">
        <v>656</v>
      </c>
      <c r="B116" s="90" t="s">
        <v>327</v>
      </c>
      <c r="C116" s="90"/>
      <c r="D116" s="108">
        <f>D102/CaO_MolWt*Ca_OH_2_MolWt</f>
        <v>205.88213203071277</v>
      </c>
      <c r="E116" s="108">
        <f>E102/CaO_MolWt*Ca_OH_2_MolWt</f>
        <v>1494.7599762778559</v>
      </c>
      <c r="F116" s="108">
        <f>F102/CaO_MolWt*Ca_OH_2_MolWt</f>
        <v>787.24025417300402</v>
      </c>
      <c r="G116" s="108">
        <f>G102/CaO_MolWt*Ca_OH_2_MolWt</f>
        <v>219.23146318741891</v>
      </c>
      <c r="H116" s="108">
        <f>H102/CaO_MolWt*Ca_OH_2_MolWt</f>
        <v>219.23146318741891</v>
      </c>
    </row>
    <row r="117" spans="1:8" x14ac:dyDescent="0.3">
      <c r="A117" s="1" t="s">
        <v>565</v>
      </c>
      <c r="B117" s="90" t="s">
        <v>327</v>
      </c>
      <c r="C117" s="90"/>
      <c r="D117" s="108">
        <f>D101</f>
        <v>17.313798625277521</v>
      </c>
      <c r="E117" s="108">
        <f>E101</f>
        <v>125.70286195860223</v>
      </c>
      <c r="F117" s="108">
        <f>F101</f>
        <v>66.203507298197152</v>
      </c>
      <c r="G117" s="108">
        <f>G101</f>
        <v>18.43641975392833</v>
      </c>
      <c r="H117" s="108">
        <f>H101</f>
        <v>18.43641975392833</v>
      </c>
    </row>
    <row r="118" spans="1:8" x14ac:dyDescent="0.3">
      <c r="A118" s="1" t="s">
        <v>534</v>
      </c>
      <c r="B118" s="90" t="s">
        <v>327</v>
      </c>
      <c r="C118" s="90"/>
      <c r="D118" s="108">
        <f>(D116+D117)/D115*(1-D115)</f>
        <v>520.79050486397728</v>
      </c>
      <c r="E118" s="108">
        <f>(E116+E117)/E115*(1-E115)</f>
        <v>3781.079955885069</v>
      </c>
      <c r="F118" s="108">
        <f>(F116+F117)/F115*(1-F115)</f>
        <v>1991.3687767661361</v>
      </c>
      <c r="G118" s="108">
        <f>(G116+G117)/G115*(1-G115)</f>
        <v>554.55839352981013</v>
      </c>
      <c r="H118" s="108">
        <f>(H116+H117)/H115*(1-H115)</f>
        <v>554.55839352981013</v>
      </c>
    </row>
    <row r="119" spans="1:8" x14ac:dyDescent="0.3">
      <c r="A119" s="1" t="s">
        <v>555</v>
      </c>
      <c r="B119" s="90" t="s">
        <v>327</v>
      </c>
      <c r="C119" s="90"/>
      <c r="D119" s="108">
        <f>SUM(D116:D118)</f>
        <v>743.98643551996759</v>
      </c>
      <c r="E119" s="108">
        <f>SUM(E116:E118)</f>
        <v>5401.5427941215275</v>
      </c>
      <c r="F119" s="108">
        <f>SUM(F116:F118)</f>
        <v>2844.8125382373373</v>
      </c>
      <c r="G119" s="108">
        <f>SUM(G116:G118)</f>
        <v>792.22627647115735</v>
      </c>
      <c r="H119" s="108">
        <f>SUM(H116:H118)</f>
        <v>792.22627647115735</v>
      </c>
    </row>
    <row r="120" spans="1:8" x14ac:dyDescent="0.3">
      <c r="B120" s="90"/>
      <c r="C120" s="90"/>
      <c r="D120" s="108"/>
      <c r="E120" s="108"/>
      <c r="F120" s="108"/>
      <c r="G120" s="108"/>
      <c r="H120" s="108"/>
    </row>
    <row r="121" spans="1:8" ht="15.5" x14ac:dyDescent="0.35">
      <c r="A121" s="123" t="s">
        <v>657</v>
      </c>
      <c r="B121" s="90"/>
      <c r="C121" s="90"/>
      <c r="D121" s="108"/>
      <c r="E121" s="108"/>
      <c r="F121" s="108"/>
      <c r="G121" s="108"/>
      <c r="H121" s="108"/>
    </row>
    <row r="122" spans="1:8" x14ac:dyDescent="0.3">
      <c r="A122" s="113" t="s">
        <v>523</v>
      </c>
      <c r="B122" s="19" t="s">
        <v>51</v>
      </c>
      <c r="C122" s="90"/>
      <c r="D122" s="108">
        <v>110</v>
      </c>
      <c r="E122" s="108">
        <v>110</v>
      </c>
      <c r="F122" s="108">
        <v>110</v>
      </c>
      <c r="G122" s="108">
        <v>110</v>
      </c>
      <c r="H122" s="108">
        <v>110</v>
      </c>
    </row>
    <row r="123" spans="1:8" x14ac:dyDescent="0.3">
      <c r="A123" s="1" t="s">
        <v>525</v>
      </c>
      <c r="B123" s="90" t="s">
        <v>568</v>
      </c>
      <c r="C123" s="90"/>
      <c r="D123" s="108">
        <f>D131/(8.34*(1+D124))/60</f>
        <v>22.758671136087806</v>
      </c>
      <c r="E123" s="108">
        <f>E131/(8.34*(1+E124))/60</f>
        <v>165.83619050394299</v>
      </c>
      <c r="F123" s="108">
        <f>F131/(8.34*(1+F124))/60</f>
        <v>87.340454244839563</v>
      </c>
      <c r="G123" s="108">
        <f>G131/(8.34*(1+G124))/60</f>
        <v>24.322688943425579</v>
      </c>
      <c r="H123" s="108">
        <f>H131/(8.34*(1+H124))/60</f>
        <v>24.322688943425579</v>
      </c>
    </row>
    <row r="124" spans="1:8" x14ac:dyDescent="0.3">
      <c r="A124" s="1" t="s">
        <v>563</v>
      </c>
      <c r="B124" s="90" t="s">
        <v>564</v>
      </c>
      <c r="C124" s="90"/>
      <c r="D124" s="94">
        <f>1-D130/D131</f>
        <v>0.35240405217635817</v>
      </c>
      <c r="E124" s="94">
        <f>1-E130/E131</f>
        <v>0.35688698056116375</v>
      </c>
      <c r="F124" s="94">
        <f>1-F130/F131</f>
        <v>0.35688782852922341</v>
      </c>
      <c r="G124" s="94">
        <f>1-G130/G131</f>
        <v>0.3568893766226392</v>
      </c>
      <c r="H124" s="94">
        <f>1-H130/H131</f>
        <v>0.3568893766226392</v>
      </c>
    </row>
    <row r="125" spans="1:8" x14ac:dyDescent="0.3">
      <c r="A125" s="1" t="s">
        <v>571</v>
      </c>
      <c r="B125" s="90" t="s">
        <v>327</v>
      </c>
      <c r="C125" s="90"/>
      <c r="D125" s="108">
        <f>D190/'Input &amp; Calculation Summary'!C$129</f>
        <v>308.97700580205077</v>
      </c>
      <c r="E125" s="108">
        <f>E190/'Input &amp; Calculation Summary'!D$129</f>
        <v>4192.2523007098434</v>
      </c>
      <c r="F125" s="108">
        <f>F190/'Input &amp; Calculation Summary'!E$129</f>
        <v>2208.1254037424274</v>
      </c>
      <c r="G125" s="108">
        <f>G190/'Input &amp; Calculation Summary'!F$129</f>
        <v>615.02565932425796</v>
      </c>
      <c r="H125" s="108">
        <f>H190/'Input &amp; Calculation Summary'!G$129</f>
        <v>615.02565932425796</v>
      </c>
    </row>
    <row r="126" spans="1:8" x14ac:dyDescent="0.3">
      <c r="A126" s="1" t="s">
        <v>572</v>
      </c>
      <c r="B126" s="90" t="s">
        <v>327</v>
      </c>
      <c r="C126" s="90"/>
      <c r="D126" s="108">
        <f>D191/'Input &amp; Calculation Summary'!C$129</f>
        <v>137.30113027846562</v>
      </c>
      <c r="E126" s="108">
        <f>E191/'Input &amp; Calculation Summary'!D$129</f>
        <v>1862.9249701148442</v>
      </c>
      <c r="F126" s="108">
        <f>F191/'Input &amp; Calculation Summary'!E$129</f>
        <v>981.23196237024365</v>
      </c>
      <c r="G126" s="108">
        <f>G191/'Input &amp; Calculation Summary'!F$129</f>
        <v>273.30097900417519</v>
      </c>
      <c r="H126" s="108">
        <f>H191/'Input &amp; Calculation Summary'!G$129</f>
        <v>273.30097900417519</v>
      </c>
    </row>
    <row r="127" spans="1:8" x14ac:dyDescent="0.3">
      <c r="A127" s="1" t="s">
        <v>658</v>
      </c>
      <c r="B127" s="90" t="s">
        <v>327</v>
      </c>
      <c r="C127" s="90"/>
      <c r="D127" s="108">
        <f>(D192+D117)/'Input &amp; Calculation Summary'!C$129</f>
        <v>4651.9093978533065</v>
      </c>
      <c r="E127" s="108">
        <f>(E192+E117)/'Input &amp; Calculation Summary'!D$129</f>
        <v>30929.166224959561</v>
      </c>
      <c r="F127" s="108">
        <f>(F192+F117)/'Input &amp; Calculation Summary'!E$129</f>
        <v>16289.212210072865</v>
      </c>
      <c r="G127" s="108">
        <f>(G192+G117)/'Input &amp; Calculation Summary'!F$129</f>
        <v>4536.1607270236636</v>
      </c>
      <c r="H127" s="108">
        <f>(H192+H117)/'Input &amp; Calculation Summary'!G$129</f>
        <v>4536.1607270236636</v>
      </c>
    </row>
    <row r="128" spans="1:8" x14ac:dyDescent="0.3">
      <c r="A128" s="1" t="s">
        <v>656</v>
      </c>
      <c r="B128" s="90" t="s">
        <v>327</v>
      </c>
      <c r="C128" s="90"/>
      <c r="D128" s="108">
        <f>(D193+D116)/'Input &amp; Calculation Summary'!C$129</f>
        <v>215.2651925537586</v>
      </c>
      <c r="E128" s="108">
        <f>(E193+E116)/'Input &amp; Calculation Summary'!D$129</f>
        <v>1592.7607582812657</v>
      </c>
      <c r="F128" s="108">
        <f>(F193+F116)/'Input &amp; Calculation Summary'!E$129</f>
        <v>838.70533095563133</v>
      </c>
      <c r="G128" s="108">
        <f>(G193+G116)/'Input &amp; Calculation Summary'!F$129</f>
        <v>233.48792524417965</v>
      </c>
      <c r="H128" s="108">
        <f>(H193+H116)/'Input &amp; Calculation Summary'!G$129</f>
        <v>233.48792524417965</v>
      </c>
    </row>
    <row r="129" spans="1:8" x14ac:dyDescent="0.3">
      <c r="A129" s="1" t="s">
        <v>573</v>
      </c>
      <c r="B129" s="90" t="s">
        <v>327</v>
      </c>
      <c r="C129" s="90"/>
      <c r="D129" s="108">
        <f>D194/'Input &amp; Calculation Summary'!C$129</f>
        <v>114.19382017068396</v>
      </c>
      <c r="E129" s="108">
        <f>E194/'Input &amp; Calculation Summary'!D$129</f>
        <v>1608.5454481034114</v>
      </c>
      <c r="F129" s="108">
        <f>F194/'Input &amp; Calculation Summary'!E$129</f>
        <v>847.24546251642187</v>
      </c>
      <c r="G129" s="108">
        <f>G194/'Input &amp; Calculation Summary'!F$129</f>
        <v>235.98152863987772</v>
      </c>
      <c r="H129" s="108">
        <f>H194/'Input &amp; Calculation Summary'!G$129</f>
        <v>235.98152863987772</v>
      </c>
    </row>
    <row r="130" spans="1:8" x14ac:dyDescent="0.3">
      <c r="A130" s="1" t="s">
        <v>534</v>
      </c>
      <c r="B130" s="90" t="s">
        <v>327</v>
      </c>
      <c r="C130" s="90"/>
      <c r="D130" s="108">
        <f>(D195+D118)/'Input &amp; Calculation Summary'!C$129</f>
        <v>9974.1245542655051</v>
      </c>
      <c r="E130" s="108">
        <f>(E195+E118)/'Input &amp; Calculation Summary'!D$129</f>
        <v>72414.842585281891</v>
      </c>
      <c r="F130" s="108">
        <f>(F195+F118)/'Input &amp; Calculation Summary'!E$129</f>
        <v>38138.483761581796</v>
      </c>
      <c r="G130" s="108">
        <f>(G195+G118)/'Input &amp; Calculation Summary'!F$129</f>
        <v>10620.84357917468</v>
      </c>
      <c r="H130" s="108">
        <f>(H195+H118)/'Input &amp; Calculation Summary'!G$129</f>
        <v>10620.84357917468</v>
      </c>
    </row>
    <row r="131" spans="1:8" x14ac:dyDescent="0.3">
      <c r="A131" s="1" t="s">
        <v>555</v>
      </c>
      <c r="B131" s="90" t="s">
        <v>327</v>
      </c>
      <c r="C131" s="90"/>
      <c r="D131" s="108">
        <f>SUM(D125:D130)</f>
        <v>15401.771100923772</v>
      </c>
      <c r="E131" s="108">
        <f>SUM(E125:E130)</f>
        <v>112600.49228745082</v>
      </c>
      <c r="F131" s="108">
        <f>SUM(F125:F130)</f>
        <v>59303.004131239388</v>
      </c>
      <c r="G131" s="108">
        <f>SUM(G125:G130)</f>
        <v>16514.800398410836</v>
      </c>
      <c r="H131" s="108">
        <f>SUM(H125:H130)</f>
        <v>16514.800398410836</v>
      </c>
    </row>
    <row r="132" spans="1:8" x14ac:dyDescent="0.3">
      <c r="B132" s="90"/>
      <c r="C132" s="90"/>
      <c r="D132" s="108"/>
      <c r="E132" s="108"/>
      <c r="F132" s="108"/>
      <c r="G132" s="108"/>
      <c r="H132" s="108"/>
    </row>
    <row r="133" spans="1:8" ht="15.5" x14ac:dyDescent="0.35">
      <c r="A133" s="123" t="s">
        <v>659</v>
      </c>
      <c r="B133" s="90"/>
      <c r="C133" s="90"/>
      <c r="D133" s="108"/>
      <c r="E133" s="108"/>
      <c r="F133" s="108"/>
      <c r="G133" s="108"/>
      <c r="H133" s="108"/>
    </row>
    <row r="134" spans="1:8" x14ac:dyDescent="0.3">
      <c r="A134" s="113" t="s">
        <v>523</v>
      </c>
      <c r="B134" s="19" t="s">
        <v>51</v>
      </c>
      <c r="C134" s="90"/>
      <c r="D134" s="108">
        <v>104</v>
      </c>
      <c r="E134" s="108">
        <v>104</v>
      </c>
      <c r="F134" s="108">
        <v>104</v>
      </c>
      <c r="G134" s="108">
        <v>104</v>
      </c>
      <c r="H134" s="108">
        <v>104</v>
      </c>
    </row>
    <row r="135" spans="1:8" x14ac:dyDescent="0.3">
      <c r="A135" s="1" t="s">
        <v>525</v>
      </c>
      <c r="B135" s="90" t="s">
        <v>568</v>
      </c>
      <c r="C135" s="90"/>
      <c r="D135" s="108">
        <f>D143/(8.34*(1+D136))/60</f>
        <v>50.712369429767918</v>
      </c>
      <c r="E135" s="108">
        <f>E143/(8.34*(1+E136))/60</f>
        <v>193.11427747266086</v>
      </c>
      <c r="F135" s="108">
        <f>F143/(8.34*(1+F136))/60</f>
        <v>114.75197863283006</v>
      </c>
      <c r="G135" s="108">
        <f>G143/(8.34*(1+G136))/60</f>
        <v>52.219052023203297</v>
      </c>
      <c r="H135" s="108">
        <f>H143/(8.34*(1+H136))/60</f>
        <v>52.219052023203297</v>
      </c>
    </row>
    <row r="136" spans="1:8" x14ac:dyDescent="0.3">
      <c r="A136" s="1" t="s">
        <v>563</v>
      </c>
      <c r="B136" s="90" t="s">
        <v>564</v>
      </c>
      <c r="C136" s="90"/>
      <c r="D136" s="94">
        <f>1-D142/D143</f>
        <v>0.18109104612887095</v>
      </c>
      <c r="E136" s="94">
        <f>1-E142/E143</f>
        <v>0.31599785122839197</v>
      </c>
      <c r="F136" s="94">
        <f>1-F142/F143</f>
        <v>0.28649812802168639</v>
      </c>
      <c r="G136" s="94">
        <f>1-G142/G143</f>
        <v>0.18960804967337097</v>
      </c>
      <c r="H136" s="94">
        <f>1-H142/H143</f>
        <v>0.18960804967337097</v>
      </c>
    </row>
    <row r="137" spans="1:8" x14ac:dyDescent="0.3">
      <c r="A137" s="1" t="s">
        <v>571</v>
      </c>
      <c r="B137" s="90" t="s">
        <v>327</v>
      </c>
      <c r="C137" s="90"/>
      <c r="D137" s="108">
        <f>D125</f>
        <v>308.97700580205077</v>
      </c>
      <c r="E137" s="108">
        <f>E125</f>
        <v>4192.2523007098434</v>
      </c>
      <c r="F137" s="108">
        <f>F125</f>
        <v>2208.1254037424274</v>
      </c>
      <c r="G137" s="108">
        <f>G125</f>
        <v>615.02565932425796</v>
      </c>
      <c r="H137" s="108">
        <f>H125</f>
        <v>615.02565932425796</v>
      </c>
    </row>
    <row r="138" spans="1:8" x14ac:dyDescent="0.3">
      <c r="A138" s="1" t="s">
        <v>572</v>
      </c>
      <c r="B138" s="90" t="s">
        <v>327</v>
      </c>
      <c r="C138" s="90"/>
      <c r="D138" s="108">
        <f t="shared" ref="D138:H141" si="4">D126</f>
        <v>137.30113027846562</v>
      </c>
      <c r="E138" s="108">
        <f t="shared" si="4"/>
        <v>1862.9249701148442</v>
      </c>
      <c r="F138" s="108">
        <f t="shared" si="4"/>
        <v>981.23196237024365</v>
      </c>
      <c r="G138" s="108">
        <f t="shared" si="4"/>
        <v>273.30097900417519</v>
      </c>
      <c r="H138" s="108">
        <f t="shared" si="4"/>
        <v>273.30097900417519</v>
      </c>
    </row>
    <row r="139" spans="1:8" x14ac:dyDescent="0.3">
      <c r="A139" s="1" t="s">
        <v>658</v>
      </c>
      <c r="B139" s="90" t="s">
        <v>327</v>
      </c>
      <c r="C139" s="90"/>
      <c r="D139" s="108">
        <f t="shared" si="4"/>
        <v>4651.9093978533065</v>
      </c>
      <c r="E139" s="108">
        <f t="shared" si="4"/>
        <v>30929.166224959561</v>
      </c>
      <c r="F139" s="108">
        <f t="shared" si="4"/>
        <v>16289.212210072865</v>
      </c>
      <c r="G139" s="108">
        <f t="shared" si="4"/>
        <v>4536.1607270236636</v>
      </c>
      <c r="H139" s="108">
        <f t="shared" si="4"/>
        <v>4536.1607270236636</v>
      </c>
    </row>
    <row r="140" spans="1:8" x14ac:dyDescent="0.3">
      <c r="A140" s="1" t="s">
        <v>656</v>
      </c>
      <c r="B140" s="90" t="s">
        <v>327</v>
      </c>
      <c r="C140" s="90"/>
      <c r="D140" s="108">
        <f t="shared" si="4"/>
        <v>215.2651925537586</v>
      </c>
      <c r="E140" s="108">
        <f t="shared" si="4"/>
        <v>1592.7607582812657</v>
      </c>
      <c r="F140" s="108">
        <f t="shared" si="4"/>
        <v>838.70533095563133</v>
      </c>
      <c r="G140" s="108">
        <f t="shared" si="4"/>
        <v>233.48792524417965</v>
      </c>
      <c r="H140" s="108">
        <f t="shared" si="4"/>
        <v>233.48792524417965</v>
      </c>
    </row>
    <row r="141" spans="1:8" x14ac:dyDescent="0.3">
      <c r="A141" s="1" t="s">
        <v>573</v>
      </c>
      <c r="B141" s="90" t="s">
        <v>327</v>
      </c>
      <c r="C141" s="90"/>
      <c r="D141" s="108">
        <f t="shared" si="4"/>
        <v>114.19382017068396</v>
      </c>
      <c r="E141" s="108">
        <f t="shared" si="4"/>
        <v>1608.5454481034114</v>
      </c>
      <c r="F141" s="108">
        <f t="shared" si="4"/>
        <v>847.24546251642187</v>
      </c>
      <c r="G141" s="108">
        <f t="shared" si="4"/>
        <v>235.98152863987772</v>
      </c>
      <c r="H141" s="108">
        <f t="shared" si="4"/>
        <v>235.98152863987772</v>
      </c>
    </row>
    <row r="142" spans="1:8" x14ac:dyDescent="0.3">
      <c r="A142" s="1" t="s">
        <v>534</v>
      </c>
      <c r="B142" s="90" t="s">
        <v>327</v>
      </c>
      <c r="C142" s="90"/>
      <c r="D142" s="108">
        <f>D130+(1.4251*(D39-D54)-188.9)*1000/2</f>
        <v>24544.274554265503</v>
      </c>
      <c r="E142" s="108">
        <f>E130+(1.4251*(E39-E54)-188.9)*1000/2</f>
        <v>86984.992585281885</v>
      </c>
      <c r="F142" s="108">
        <f>F130+(1.4251*(F39-F54)-188.9)*1000/2</f>
        <v>52708.63376158179</v>
      </c>
      <c r="G142" s="108">
        <f>G130+(1.4251*(G39-G54)-188.9)*1000/2</f>
        <v>25190.993579174676</v>
      </c>
      <c r="H142" s="108">
        <f>H130+(1.4251*(H39-H54)-188.9)*1000/2</f>
        <v>25190.993579174676</v>
      </c>
    </row>
    <row r="143" spans="1:8" x14ac:dyDescent="0.3">
      <c r="A143" s="1" t="s">
        <v>555</v>
      </c>
      <c r="B143" s="90" t="s">
        <v>327</v>
      </c>
      <c r="C143" s="90"/>
      <c r="D143" s="108">
        <f>SUM(D137:D142)</f>
        <v>29971.92110092377</v>
      </c>
      <c r="E143" s="108">
        <f>SUM(E137:E142)</f>
        <v>127170.64228745081</v>
      </c>
      <c r="F143" s="108">
        <f>SUM(F137:F142)</f>
        <v>73873.154131239382</v>
      </c>
      <c r="G143" s="108">
        <f>SUM(G137:G142)</f>
        <v>31084.950398410831</v>
      </c>
      <c r="H143" s="108">
        <f>SUM(H137:H142)</f>
        <v>31084.950398410831</v>
      </c>
    </row>
    <row r="144" spans="1:8" x14ac:dyDescent="0.3">
      <c r="B144" s="90"/>
      <c r="C144" s="90"/>
      <c r="D144" s="108"/>
      <c r="E144" s="108"/>
      <c r="F144" s="108"/>
      <c r="G144" s="108"/>
      <c r="H144" s="108"/>
    </row>
    <row r="145" spans="1:8" ht="15.5" x14ac:dyDescent="0.35">
      <c r="A145" s="123" t="s">
        <v>660</v>
      </c>
      <c r="B145" s="90"/>
      <c r="C145" s="90"/>
      <c r="D145" s="108"/>
      <c r="E145" s="108"/>
      <c r="F145" s="108"/>
      <c r="G145" s="108"/>
      <c r="H145" s="108"/>
    </row>
    <row r="146" spans="1:8" x14ac:dyDescent="0.3">
      <c r="A146" s="113" t="s">
        <v>523</v>
      </c>
      <c r="B146" s="19" t="s">
        <v>51</v>
      </c>
      <c r="C146" s="90"/>
      <c r="D146" s="108">
        <v>150</v>
      </c>
      <c r="E146" s="108">
        <v>150</v>
      </c>
      <c r="F146" s="108">
        <v>150</v>
      </c>
      <c r="G146" s="108">
        <v>150</v>
      </c>
      <c r="H146" s="108">
        <v>150</v>
      </c>
    </row>
    <row r="147" spans="1:8" x14ac:dyDescent="0.3">
      <c r="A147" s="1" t="s">
        <v>563</v>
      </c>
      <c r="B147" s="90" t="s">
        <v>564</v>
      </c>
      <c r="C147" s="90"/>
      <c r="D147" s="94">
        <f>1-0.02</f>
        <v>0.98</v>
      </c>
      <c r="E147" s="94">
        <f>1-0.02</f>
        <v>0.98</v>
      </c>
      <c r="F147" s="94">
        <f>1-0.02</f>
        <v>0.98</v>
      </c>
      <c r="G147" s="94">
        <f>1-0.02</f>
        <v>0.98</v>
      </c>
      <c r="H147" s="94">
        <f>1-0.02</f>
        <v>0.98</v>
      </c>
    </row>
    <row r="148" spans="1:8" x14ac:dyDescent="0.3">
      <c r="A148" s="1" t="s">
        <v>571</v>
      </c>
      <c r="B148" s="90" t="s">
        <v>327</v>
      </c>
      <c r="C148" s="90"/>
      <c r="D148" s="108">
        <f>D407*'Input &amp; Calculation Summary'!C129</f>
        <v>51.99977214143604</v>
      </c>
      <c r="E148" s="108">
        <f>E407*'Input &amp; Calculation Summary'!D129</f>
        <v>572.44556464351695</v>
      </c>
      <c r="F148" s="108">
        <f>F407*'Input &amp; Calculation Summary'!E129</f>
        <v>301.51789325236007</v>
      </c>
      <c r="G148" s="108">
        <f>G407*'Input &amp; Calculation Summary'!F129</f>
        <v>83.982207636257044</v>
      </c>
      <c r="H148" s="108">
        <f>H407*'Input &amp; Calculation Summary'!G129</f>
        <v>83.982207636257044</v>
      </c>
    </row>
    <row r="149" spans="1:8" x14ac:dyDescent="0.3">
      <c r="A149" s="1" t="s">
        <v>572</v>
      </c>
      <c r="B149" s="90" t="s">
        <v>327</v>
      </c>
      <c r="C149" s="90"/>
      <c r="D149" s="108">
        <f>D408*'Input &amp; Calculation Summary'!C129</f>
        <v>23.10731010778165</v>
      </c>
      <c r="E149" s="108">
        <f>E408*'Input &amp; Calculation Summary'!D129</f>
        <v>254.37952201143264</v>
      </c>
      <c r="F149" s="108">
        <f>F408*'Input &amp; Calculation Summary'!E129</f>
        <v>133.98649985382181</v>
      </c>
      <c r="G149" s="108">
        <f>G408*'Input &amp; Calculation Summary'!F129</f>
        <v>37.31945036429746</v>
      </c>
      <c r="H149" s="108">
        <f>H408*'Input &amp; Calculation Summary'!G129</f>
        <v>37.31945036429746</v>
      </c>
    </row>
    <row r="150" spans="1:8" x14ac:dyDescent="0.3">
      <c r="A150" s="1" t="s">
        <v>658</v>
      </c>
      <c r="B150" s="90" t="s">
        <v>327</v>
      </c>
      <c r="C150" s="90"/>
      <c r="D150" s="108">
        <f>D409*'Input &amp; Calculation Summary'!C129-(D32/HCl_MolWt*CaCl2_MolWt/2)</f>
        <v>851.74832695146313</v>
      </c>
      <c r="E150" s="108">
        <f>E409*'Input &amp; Calculation Summary'!D129-(E32/HCl_MolWt*CaCl2_MolWt/2)</f>
        <v>4473.4394694169305</v>
      </c>
      <c r="F150" s="108">
        <f>F409*'Input &amp; Calculation Summary'!E129-(F32/HCl_MolWt*CaCl2_MolWt/2)</f>
        <v>2355.9898634922965</v>
      </c>
      <c r="G150" s="108">
        <f>G409*'Input &amp; Calculation Summary'!F129-(G32/HCl_MolWt*CaCl2_MolWt/2)</f>
        <v>656.08746620223542</v>
      </c>
      <c r="H150" s="108">
        <f>H409*'Input &amp; Calculation Summary'!G129-(H32/HCl_MolWt*CaCl2_MolWt/2)</f>
        <v>656.08746620223542</v>
      </c>
    </row>
    <row r="151" spans="1:8" x14ac:dyDescent="0.3">
      <c r="A151" s="1" t="s">
        <v>656</v>
      </c>
      <c r="B151" s="90" t="s">
        <v>327</v>
      </c>
      <c r="C151" s="90"/>
      <c r="D151" s="108">
        <f>D410*'Input &amp; Calculation Summary'!C129</f>
        <v>5.384070489904861</v>
      </c>
      <c r="E151" s="108">
        <f>E410*'Input &amp; Calculation Summary'!D129</f>
        <v>42.057283816794033</v>
      </c>
      <c r="F151" s="108">
        <f>F410*'Input &amp; Calculation Summary'!E129</f>
        <v>22.128579076223957</v>
      </c>
      <c r="G151" s="108">
        <f>G410*'Input &amp; Calculation Summary'!F129</f>
        <v>6.1514123142154977</v>
      </c>
      <c r="H151" s="108">
        <f>H410*'Input &amp; Calculation Summary'!G129</f>
        <v>6.1514123142154977</v>
      </c>
    </row>
    <row r="152" spans="1:8" x14ac:dyDescent="0.3">
      <c r="A152" s="1" t="s">
        <v>573</v>
      </c>
      <c r="B152" s="90" t="s">
        <v>327</v>
      </c>
      <c r="C152" s="90"/>
      <c r="D152" s="108">
        <f>D32/HCl_MolWt*CaCl2_MolWt/2</f>
        <v>0</v>
      </c>
      <c r="E152" s="108">
        <f>E32/HCl_MolWt*CaCl2_MolWt/2</f>
        <v>0</v>
      </c>
      <c r="F152" s="108">
        <f>F32/HCl_MolWt*CaCl2_MolWt/2</f>
        <v>0</v>
      </c>
      <c r="G152" s="108">
        <f>G32/HCl_MolWt*CaCl2_MolWt/2</f>
        <v>0</v>
      </c>
      <c r="H152" s="108">
        <f>H32/HCl_MolWt*CaCl2_MolWt/2</f>
        <v>0</v>
      </c>
    </row>
    <row r="153" spans="1:8" x14ac:dyDescent="0.3">
      <c r="A153" s="1" t="s">
        <v>534</v>
      </c>
      <c r="B153" s="90" t="s">
        <v>327</v>
      </c>
      <c r="C153" s="90"/>
      <c r="D153" s="108">
        <f>D411*'Input &amp; Calculation Summary'!C129</f>
        <v>19.025295503889502</v>
      </c>
      <c r="E153" s="108">
        <f>E411*'Input &amp; Calculation Summary'!D129</f>
        <v>109.02697632425865</v>
      </c>
      <c r="F153" s="108">
        <f>F411*'Input &amp; Calculation Summary'!E129</f>
        <v>57.420874197442913</v>
      </c>
      <c r="G153" s="108">
        <f>G411*'Input &amp; Calculation Summary'!F129</f>
        <v>15.990623194224602</v>
      </c>
      <c r="H153" s="108">
        <f>H411*'Input &amp; Calculation Summary'!G129</f>
        <v>15.990623194224602</v>
      </c>
    </row>
    <row r="154" spans="1:8" x14ac:dyDescent="0.3">
      <c r="A154" s="1" t="s">
        <v>555</v>
      </c>
      <c r="B154" s="90" t="s">
        <v>327</v>
      </c>
      <c r="C154" s="90"/>
      <c r="D154" s="108">
        <f>SUM(D148:D153)</f>
        <v>951.26477519447519</v>
      </c>
      <c r="E154" s="108">
        <f>SUM(E148:E153)</f>
        <v>5451.3488162129324</v>
      </c>
      <c r="F154" s="108">
        <f>SUM(F148:F153)</f>
        <v>2871.0437098721454</v>
      </c>
      <c r="G154" s="108">
        <f>SUM(G148:G153)</f>
        <v>799.53115971122998</v>
      </c>
      <c r="H154" s="108">
        <f>SUM(H148:H153)</f>
        <v>799.53115971122998</v>
      </c>
    </row>
    <row r="155" spans="1:8" x14ac:dyDescent="0.3">
      <c r="B155" s="90"/>
      <c r="C155" s="90"/>
      <c r="D155" s="108"/>
      <c r="E155" s="108"/>
      <c r="F155" s="108"/>
      <c r="G155" s="108"/>
      <c r="H155" s="108"/>
    </row>
    <row r="156" spans="1:8" ht="15.5" x14ac:dyDescent="0.35">
      <c r="A156" s="123" t="s">
        <v>661</v>
      </c>
      <c r="B156" s="90"/>
      <c r="C156" s="90"/>
      <c r="D156" s="108"/>
      <c r="E156" s="108"/>
      <c r="F156" s="108"/>
      <c r="G156" s="108"/>
      <c r="H156" s="108"/>
    </row>
    <row r="157" spans="1:8" x14ac:dyDescent="0.3">
      <c r="A157" s="1" t="s">
        <v>662</v>
      </c>
      <c r="B157" s="90" t="s">
        <v>45</v>
      </c>
      <c r="C157" s="90"/>
      <c r="D157" s="98">
        <f>(D65-D80)/D65</f>
        <v>0.99822291728385448</v>
      </c>
      <c r="E157" s="98">
        <f>(E65-E80)/E65</f>
        <v>0.9988925227312544</v>
      </c>
      <c r="F157" s="98">
        <f>(F65-F80)/F65</f>
        <v>0.9988925227312544</v>
      </c>
      <c r="G157" s="98">
        <f>(G65-G80)/G65</f>
        <v>0.9988925227312544</v>
      </c>
      <c r="H157" s="98">
        <f>(H65-H80)/H65</f>
        <v>0.9988925227312544</v>
      </c>
    </row>
    <row r="158" spans="1:8" x14ac:dyDescent="0.3">
      <c r="A158" s="113" t="s">
        <v>523</v>
      </c>
      <c r="B158" s="19" t="s">
        <v>51</v>
      </c>
      <c r="C158" s="90"/>
      <c r="D158" s="108">
        <v>150</v>
      </c>
      <c r="E158" s="108">
        <v>150</v>
      </c>
      <c r="F158" s="108">
        <v>150</v>
      </c>
      <c r="G158" s="108">
        <v>150</v>
      </c>
      <c r="H158" s="108">
        <v>150</v>
      </c>
    </row>
    <row r="159" spans="1:8" x14ac:dyDescent="0.3">
      <c r="A159" s="1" t="s">
        <v>563</v>
      </c>
      <c r="B159" s="90" t="s">
        <v>564</v>
      </c>
      <c r="C159" s="90"/>
      <c r="D159" s="94">
        <f>1-0.02</f>
        <v>0.98</v>
      </c>
      <c r="E159" s="94">
        <f>1-0.02</f>
        <v>0.98</v>
      </c>
      <c r="F159" s="94">
        <f>1-0.02</f>
        <v>0.98</v>
      </c>
      <c r="G159" s="94">
        <f>1-0.02</f>
        <v>0.98</v>
      </c>
      <c r="H159" s="94">
        <f>1-0.02</f>
        <v>0.98</v>
      </c>
    </row>
    <row r="160" spans="1:8" x14ac:dyDescent="0.3">
      <c r="A160" s="1" t="s">
        <v>571</v>
      </c>
      <c r="B160" s="90" t="s">
        <v>327</v>
      </c>
      <c r="C160" s="90"/>
      <c r="D160" s="108">
        <f>D$166*D423/D428</f>
        <v>256.97723366061473</v>
      </c>
      <c r="E160" s="108">
        <f>E$166*E423/E428</f>
        <v>3619.8067360663267</v>
      </c>
      <c r="F160" s="108">
        <f>F$166*F423/F428</f>
        <v>1906.6075104900672</v>
      </c>
      <c r="G160" s="108">
        <f>G$166*G423/G428</f>
        <v>531.04345168800091</v>
      </c>
      <c r="H160" s="108">
        <f>H$166*H423/H428</f>
        <v>531.04345168800091</v>
      </c>
    </row>
    <row r="161" spans="1:8" x14ac:dyDescent="0.3">
      <c r="A161" s="1" t="s">
        <v>572</v>
      </c>
      <c r="B161" s="90" t="s">
        <v>327</v>
      </c>
      <c r="C161" s="90"/>
      <c r="D161" s="108">
        <f>D$166*D424/D428</f>
        <v>114.19382017068396</v>
      </c>
      <c r="E161" s="108">
        <f>E$166*E424/E428</f>
        <v>1608.5454481034114</v>
      </c>
      <c r="F161" s="108">
        <f>F$166*F424/F428</f>
        <v>847.24546251642187</v>
      </c>
      <c r="G161" s="108">
        <f>G$166*G424/G428</f>
        <v>235.98152863987772</v>
      </c>
      <c r="H161" s="108">
        <f>H$166*H424/H428</f>
        <v>235.98152863987772</v>
      </c>
    </row>
    <row r="162" spans="1:8" x14ac:dyDescent="0.3">
      <c r="A162" s="1" t="s">
        <v>658</v>
      </c>
      <c r="B162" s="90" t="s">
        <v>327</v>
      </c>
      <c r="C162" s="90"/>
      <c r="D162" s="108">
        <f>D$166*D425/D428</f>
        <v>3782.8472722765659</v>
      </c>
      <c r="E162" s="108">
        <f>E$166*E425/E428</f>
        <v>26330.023893584028</v>
      </c>
      <c r="F162" s="108">
        <f>F$166*F425/F428</f>
        <v>13867.018839282371</v>
      </c>
      <c r="G162" s="108">
        <f>G$166*G425/G428</f>
        <v>3861.6368410675</v>
      </c>
      <c r="H162" s="108">
        <f>H$166*H425/H428</f>
        <v>3861.6368410675</v>
      </c>
    </row>
    <row r="163" spans="1:8" x14ac:dyDescent="0.3">
      <c r="A163" s="1" t="s">
        <v>656</v>
      </c>
      <c r="B163" s="90" t="s">
        <v>327</v>
      </c>
      <c r="C163" s="90"/>
      <c r="D163" s="108">
        <f>D$166*D426/D428</f>
        <v>3.998990033140966</v>
      </c>
      <c r="E163" s="108">
        <f>E$166*E426/E428</f>
        <v>55.94349818661572</v>
      </c>
      <c r="F163" s="108">
        <f>F$166*F426/F428</f>
        <v>29.33649770640336</v>
      </c>
      <c r="G163" s="108">
        <f>G$166*G426/G428</f>
        <v>8.1050497425452424</v>
      </c>
      <c r="H163" s="108">
        <f>H$166*H426/H428</f>
        <v>8.1050497425452424</v>
      </c>
    </row>
    <row r="164" spans="1:8" x14ac:dyDescent="0.3">
      <c r="A164" s="1" t="s">
        <v>573</v>
      </c>
      <c r="B164" s="90" t="s">
        <v>327</v>
      </c>
      <c r="C164" s="90"/>
      <c r="D164" s="108">
        <f>D$166*D424/D428</f>
        <v>114.19382017068396</v>
      </c>
      <c r="E164" s="108">
        <f>E$166*E424/E428</f>
        <v>1608.5454481034114</v>
      </c>
      <c r="F164" s="108">
        <f>F$166*F424/F428</f>
        <v>847.24546251642187</v>
      </c>
      <c r="G164" s="108">
        <f>G$166*G424/G428</f>
        <v>235.98152863987772</v>
      </c>
      <c r="H164" s="108">
        <f>H$166*H424/H428</f>
        <v>235.98152863987772</v>
      </c>
    </row>
    <row r="165" spans="1:8" x14ac:dyDescent="0.3">
      <c r="A165" s="1" t="s">
        <v>534</v>
      </c>
      <c r="B165" s="90" t="s">
        <v>327</v>
      </c>
      <c r="C165" s="90"/>
      <c r="D165" s="108">
        <f>D$166*D427/D428</f>
        <v>84.857496247775615</v>
      </c>
      <c r="E165" s="108">
        <f>E$166*E427/E428</f>
        <v>645.19019542735464</v>
      </c>
      <c r="F165" s="108">
        <f>F$166*F427/F428</f>
        <v>339.80016959174009</v>
      </c>
      <c r="G165" s="108">
        <f>G$166*G427/G428</f>
        <v>94.627895329345364</v>
      </c>
      <c r="H165" s="108">
        <f>H$166*H427/H428</f>
        <v>94.627895329345364</v>
      </c>
    </row>
    <row r="166" spans="1:8" x14ac:dyDescent="0.3">
      <c r="A166" s="1" t="s">
        <v>555</v>
      </c>
      <c r="B166" s="90" t="s">
        <v>327</v>
      </c>
      <c r="C166" s="90"/>
      <c r="D166" s="108">
        <f>('Input &amp; Calculation Summary'!C126*D103)-D154</f>
        <v>4242.8748123887808</v>
      </c>
      <c r="E166" s="108">
        <f>('Input &amp; Calculation Summary'!D126*E103)-E154</f>
        <v>32259.509771367735</v>
      </c>
      <c r="F166" s="108">
        <f>('Input &amp; Calculation Summary'!E126*F103)-F154</f>
        <v>16990.008479587003</v>
      </c>
      <c r="G166" s="108">
        <f>('Input &amp; Calculation Summary'!F126*G103)-G154</f>
        <v>4731.3947664672687</v>
      </c>
      <c r="H166" s="108">
        <f>('Input &amp; Calculation Summary'!G126*H103)-H154</f>
        <v>4731.3947664672687</v>
      </c>
    </row>
    <row r="167" spans="1:8" x14ac:dyDescent="0.3">
      <c r="B167" s="90"/>
      <c r="C167" s="90"/>
      <c r="D167" s="108"/>
      <c r="E167" s="108"/>
      <c r="F167" s="108"/>
      <c r="G167" s="108"/>
      <c r="H167" s="108"/>
    </row>
    <row r="168" spans="1:8" ht="15.5" x14ac:dyDescent="0.35">
      <c r="A168" s="123" t="s">
        <v>663</v>
      </c>
      <c r="B168" s="90"/>
      <c r="C168" s="90"/>
      <c r="D168" s="108"/>
      <c r="E168" s="108"/>
      <c r="F168" s="108"/>
      <c r="G168" s="108"/>
      <c r="H168" s="108"/>
    </row>
    <row r="169" spans="1:8" x14ac:dyDescent="0.3">
      <c r="A169" s="113" t="s">
        <v>523</v>
      </c>
      <c r="B169" s="19" t="s">
        <v>51</v>
      </c>
      <c r="C169" s="90"/>
      <c r="D169" s="108">
        <v>150</v>
      </c>
      <c r="E169" s="108">
        <v>150</v>
      </c>
      <c r="F169" s="108">
        <v>150</v>
      </c>
      <c r="G169" s="108">
        <v>150</v>
      </c>
      <c r="H169" s="108">
        <v>150</v>
      </c>
    </row>
    <row r="170" spans="1:8" x14ac:dyDescent="0.3">
      <c r="A170" s="1" t="s">
        <v>563</v>
      </c>
      <c r="B170" s="90" t="s">
        <v>564</v>
      </c>
      <c r="C170" s="90"/>
      <c r="D170" s="94">
        <f>1-0.02</f>
        <v>0.98</v>
      </c>
      <c r="E170" s="94">
        <f>1-0.02</f>
        <v>0.98</v>
      </c>
      <c r="F170" s="94">
        <f>1-0.02</f>
        <v>0.98</v>
      </c>
      <c r="G170" s="94">
        <f>1-0.02</f>
        <v>0.98</v>
      </c>
      <c r="H170" s="94">
        <f>1-0.02</f>
        <v>0.98</v>
      </c>
    </row>
    <row r="171" spans="1:8" x14ac:dyDescent="0.3">
      <c r="A171" s="1" t="s">
        <v>571</v>
      </c>
      <c r="B171" s="90" t="s">
        <v>327</v>
      </c>
      <c r="C171" s="90"/>
      <c r="D171" s="108">
        <f>D148+D160</f>
        <v>308.97700580205077</v>
      </c>
      <c r="E171" s="108">
        <f>E148+E160</f>
        <v>4192.2523007098434</v>
      </c>
      <c r="F171" s="108">
        <f>F148+F160</f>
        <v>2208.1254037424274</v>
      </c>
      <c r="G171" s="108">
        <f>G148+G160</f>
        <v>615.02565932425796</v>
      </c>
      <c r="H171" s="108">
        <f>H148+H160</f>
        <v>615.02565932425796</v>
      </c>
    </row>
    <row r="172" spans="1:8" x14ac:dyDescent="0.3">
      <c r="A172" s="1" t="s">
        <v>572</v>
      </c>
      <c r="B172" s="90" t="s">
        <v>327</v>
      </c>
      <c r="C172" s="90"/>
      <c r="D172" s="108">
        <f t="shared" ref="D172:H176" si="5">D149+D161</f>
        <v>137.30113027846562</v>
      </c>
      <c r="E172" s="108">
        <f t="shared" si="5"/>
        <v>1862.9249701148442</v>
      </c>
      <c r="F172" s="108">
        <f t="shared" si="5"/>
        <v>981.23196237024365</v>
      </c>
      <c r="G172" s="108">
        <f t="shared" si="5"/>
        <v>273.30097900417519</v>
      </c>
      <c r="H172" s="108">
        <f t="shared" si="5"/>
        <v>273.30097900417519</v>
      </c>
    </row>
    <row r="173" spans="1:8" x14ac:dyDescent="0.3">
      <c r="A173" s="1" t="s">
        <v>658</v>
      </c>
      <c r="B173" s="90" t="s">
        <v>327</v>
      </c>
      <c r="C173" s="90"/>
      <c r="D173" s="108">
        <f t="shared" si="5"/>
        <v>4634.5955992280287</v>
      </c>
      <c r="E173" s="108">
        <f t="shared" si="5"/>
        <v>30803.463363000959</v>
      </c>
      <c r="F173" s="108">
        <f t="shared" si="5"/>
        <v>16223.008702774667</v>
      </c>
      <c r="G173" s="108">
        <f t="shared" si="5"/>
        <v>4517.7243072697356</v>
      </c>
      <c r="H173" s="108">
        <f t="shared" si="5"/>
        <v>4517.7243072697356</v>
      </c>
    </row>
    <row r="174" spans="1:8" x14ac:dyDescent="0.3">
      <c r="A174" s="1" t="s">
        <v>656</v>
      </c>
      <c r="B174" s="90" t="s">
        <v>327</v>
      </c>
      <c r="C174" s="90"/>
      <c r="D174" s="108">
        <f t="shared" si="5"/>
        <v>9.3830605230458275</v>
      </c>
      <c r="E174" s="108">
        <f t="shared" si="5"/>
        <v>98.000782003409753</v>
      </c>
      <c r="F174" s="108">
        <f t="shared" si="5"/>
        <v>51.465076782627321</v>
      </c>
      <c r="G174" s="108">
        <f t="shared" si="5"/>
        <v>14.256462056760739</v>
      </c>
      <c r="H174" s="108">
        <f t="shared" si="5"/>
        <v>14.256462056760739</v>
      </c>
    </row>
    <row r="175" spans="1:8" x14ac:dyDescent="0.3">
      <c r="A175" s="1" t="s">
        <v>573</v>
      </c>
      <c r="B175" s="90" t="s">
        <v>327</v>
      </c>
      <c r="C175" s="90"/>
      <c r="D175" s="108">
        <f t="shared" si="5"/>
        <v>114.19382017068396</v>
      </c>
      <c r="E175" s="108">
        <f t="shared" si="5"/>
        <v>1608.5454481034114</v>
      </c>
      <c r="F175" s="108">
        <f t="shared" si="5"/>
        <v>847.24546251642187</v>
      </c>
      <c r="G175" s="108">
        <f t="shared" si="5"/>
        <v>235.98152863987772</v>
      </c>
      <c r="H175" s="108">
        <f t="shared" si="5"/>
        <v>235.98152863987772</v>
      </c>
    </row>
    <row r="176" spans="1:8" x14ac:dyDescent="0.3">
      <c r="A176" s="1" t="s">
        <v>534</v>
      </c>
      <c r="B176" s="90" t="s">
        <v>327</v>
      </c>
      <c r="C176" s="90"/>
      <c r="D176" s="108">
        <f t="shared" si="5"/>
        <v>103.88279175166511</v>
      </c>
      <c r="E176" s="108">
        <f t="shared" si="5"/>
        <v>754.21717175161325</v>
      </c>
      <c r="F176" s="108">
        <f t="shared" si="5"/>
        <v>397.221043789183</v>
      </c>
      <c r="G176" s="108">
        <f t="shared" si="5"/>
        <v>110.61851852356996</v>
      </c>
      <c r="H176" s="108">
        <f t="shared" si="5"/>
        <v>110.61851852356996</v>
      </c>
    </row>
    <row r="177" spans="1:8" x14ac:dyDescent="0.3">
      <c r="A177" s="1" t="s">
        <v>555</v>
      </c>
      <c r="B177" s="90" t="s">
        <v>327</v>
      </c>
      <c r="C177" s="90"/>
      <c r="D177" s="108">
        <f>SUM(D171:D176)</f>
        <v>5308.3334077539412</v>
      </c>
      <c r="E177" s="108">
        <f>SUM(E171:E176)</f>
        <v>39319.404035684078</v>
      </c>
      <c r="F177" s="108">
        <f>SUM(F171:F176)</f>
        <v>20708.297651975572</v>
      </c>
      <c r="G177" s="108">
        <f>SUM(G171:G176)</f>
        <v>5766.9074548183771</v>
      </c>
      <c r="H177" s="108">
        <f>SUM(H171:H176)</f>
        <v>5766.9074548183771</v>
      </c>
    </row>
    <row r="178" spans="1:8" x14ac:dyDescent="0.3">
      <c r="B178" s="90"/>
      <c r="C178" s="90"/>
      <c r="D178" s="108"/>
      <c r="E178" s="108"/>
      <c r="F178" s="108"/>
      <c r="G178" s="108"/>
      <c r="H178" s="108"/>
    </row>
    <row r="179" spans="1:8" ht="15.5" x14ac:dyDescent="0.35">
      <c r="A179" s="123" t="s">
        <v>664</v>
      </c>
      <c r="B179" s="90"/>
      <c r="C179" s="90"/>
      <c r="D179" s="108"/>
      <c r="E179" s="108"/>
      <c r="F179" s="108"/>
      <c r="G179" s="108"/>
      <c r="H179" s="108"/>
    </row>
    <row r="180" spans="1:8" x14ac:dyDescent="0.3">
      <c r="A180" s="113" t="s">
        <v>523</v>
      </c>
      <c r="B180" s="19" t="s">
        <v>51</v>
      </c>
      <c r="C180" s="90"/>
      <c r="D180" s="108">
        <v>60</v>
      </c>
      <c r="E180" s="108">
        <v>60</v>
      </c>
      <c r="F180" s="108">
        <v>60</v>
      </c>
      <c r="G180" s="108">
        <v>60</v>
      </c>
      <c r="H180" s="108">
        <v>60</v>
      </c>
    </row>
    <row r="181" spans="1:8" x14ac:dyDescent="0.3">
      <c r="A181" s="1" t="s">
        <v>525</v>
      </c>
      <c r="B181" s="90" t="s">
        <v>568</v>
      </c>
      <c r="C181" s="90"/>
      <c r="D181" s="108">
        <f>D184/8.34/60</f>
        <v>18.683955351018913</v>
      </c>
      <c r="E181" s="108">
        <f>E184/8.34/60</f>
        <v>135.65057045892326</v>
      </c>
      <c r="F181" s="108">
        <f>F184/8.34/60</f>
        <v>71.442633775032917</v>
      </c>
      <c r="G181" s="108">
        <f>G184/8.34/60</f>
        <v>19.895417000642087</v>
      </c>
      <c r="H181" s="108">
        <f>H184/8.34/60</f>
        <v>19.895417000642087</v>
      </c>
    </row>
    <row r="182" spans="1:8" x14ac:dyDescent="0.3">
      <c r="A182" s="1" t="s">
        <v>563</v>
      </c>
      <c r="B182" s="90" t="s">
        <v>564</v>
      </c>
      <c r="C182" s="90"/>
      <c r="D182" s="94">
        <v>0</v>
      </c>
      <c r="E182" s="94">
        <v>0</v>
      </c>
      <c r="F182" s="94">
        <v>0</v>
      </c>
      <c r="G182" s="94">
        <v>0</v>
      </c>
      <c r="H182" s="94">
        <v>0</v>
      </c>
    </row>
    <row r="183" spans="1:8" x14ac:dyDescent="0.3">
      <c r="A183" s="1" t="s">
        <v>534</v>
      </c>
      <c r="B183" s="90" t="s">
        <v>327</v>
      </c>
      <c r="C183" s="90"/>
      <c r="D183" s="108">
        <f>D195-D176</f>
        <v>9349.4512576498637</v>
      </c>
      <c r="E183" s="108">
        <f>E195-E176</f>
        <v>67879.545457645203</v>
      </c>
      <c r="F183" s="108">
        <f>F195-F176</f>
        <v>35749.893941026472</v>
      </c>
      <c r="G183" s="108">
        <f>G195-G176</f>
        <v>9955.6666671212988</v>
      </c>
      <c r="H183" s="108">
        <f>H195-H176</f>
        <v>9955.6666671212988</v>
      </c>
    </row>
    <row r="184" spans="1:8" x14ac:dyDescent="0.3">
      <c r="A184" s="1" t="s">
        <v>555</v>
      </c>
      <c r="B184" s="90" t="s">
        <v>327</v>
      </c>
      <c r="C184" s="90"/>
      <c r="D184" s="108">
        <f>D183</f>
        <v>9349.4512576498637</v>
      </c>
      <c r="E184" s="108">
        <f>E183</f>
        <v>67879.545457645203</v>
      </c>
      <c r="F184" s="108">
        <f>F183</f>
        <v>35749.893941026472</v>
      </c>
      <c r="G184" s="108">
        <f>G183</f>
        <v>9955.6666671212988</v>
      </c>
      <c r="H184" s="108">
        <f>H183</f>
        <v>9955.6666671212988</v>
      </c>
    </row>
    <row r="185" spans="1:8" x14ac:dyDescent="0.3">
      <c r="B185" s="90"/>
      <c r="C185" s="90"/>
      <c r="D185" s="108"/>
      <c r="E185" s="108"/>
      <c r="F185" s="108"/>
      <c r="G185" s="108"/>
      <c r="H185" s="108"/>
    </row>
    <row r="186" spans="1:8" ht="15.5" x14ac:dyDescent="0.35">
      <c r="A186" s="123" t="s">
        <v>665</v>
      </c>
      <c r="B186" s="90"/>
      <c r="C186" s="90"/>
      <c r="D186" s="108"/>
      <c r="E186" s="108"/>
      <c r="F186" s="108"/>
      <c r="G186" s="108"/>
      <c r="H186" s="108"/>
    </row>
    <row r="187" spans="1:8" x14ac:dyDescent="0.3">
      <c r="A187" s="113" t="s">
        <v>523</v>
      </c>
      <c r="B187" s="19" t="s">
        <v>51</v>
      </c>
      <c r="C187" s="90"/>
      <c r="D187" s="108">
        <v>110</v>
      </c>
      <c r="E187" s="108">
        <v>110</v>
      </c>
      <c r="F187" s="108">
        <v>110</v>
      </c>
      <c r="G187" s="108">
        <v>110</v>
      </c>
      <c r="H187" s="108">
        <v>110</v>
      </c>
    </row>
    <row r="188" spans="1:8" x14ac:dyDescent="0.3">
      <c r="A188" s="1" t="s">
        <v>525</v>
      </c>
      <c r="B188" s="90" t="s">
        <v>568</v>
      </c>
      <c r="C188" s="90"/>
      <c r="D188" s="108">
        <f>D196/(8.34*(1+D189))/60</f>
        <v>21.697878238747972</v>
      </c>
      <c r="E188" s="108">
        <f>E196/(8.34*(1+E189))/60</f>
        <v>158.68630946106711</v>
      </c>
      <c r="F188" s="108">
        <f>F196/(8.34*(1+F189))/60</f>
        <v>83.574905398647076</v>
      </c>
      <c r="G188" s="108">
        <f>G196/(8.34*(1+G189))/60</f>
        <v>23.274083136364503</v>
      </c>
      <c r="H188" s="108">
        <f>H196/(8.34*(1+H189))/60</f>
        <v>23.274083136364503</v>
      </c>
    </row>
    <row r="189" spans="1:8" x14ac:dyDescent="0.3">
      <c r="A189" s="1" t="s">
        <v>563</v>
      </c>
      <c r="B189" s="90" t="s">
        <v>564</v>
      </c>
      <c r="C189" s="90"/>
      <c r="D189" s="94">
        <f>'Input &amp; Calculation Summary'!C128</f>
        <v>0.35</v>
      </c>
      <c r="E189" s="94">
        <f>'Input &amp; Calculation Summary'!D128</f>
        <v>0.35</v>
      </c>
      <c r="F189" s="94">
        <f>'Input &amp; Calculation Summary'!E128</f>
        <v>0.35</v>
      </c>
      <c r="G189" s="94">
        <f>'Input &amp; Calculation Summary'!F128</f>
        <v>0.35</v>
      </c>
      <c r="H189" s="94">
        <f>'Input &amp; Calculation Summary'!G128</f>
        <v>0.35</v>
      </c>
    </row>
    <row r="190" spans="1:8" x14ac:dyDescent="0.3">
      <c r="A190" s="1" t="s">
        <v>571</v>
      </c>
      <c r="B190" s="90" t="s">
        <v>327</v>
      </c>
      <c r="C190" s="90"/>
      <c r="D190" s="108">
        <f>D171</f>
        <v>308.97700580205077</v>
      </c>
      <c r="E190" s="108">
        <f>E171</f>
        <v>4192.2523007098434</v>
      </c>
      <c r="F190" s="108">
        <f>F171</f>
        <v>2208.1254037424274</v>
      </c>
      <c r="G190" s="108">
        <f>G171</f>
        <v>615.02565932425796</v>
      </c>
      <c r="H190" s="108">
        <f>H171</f>
        <v>615.02565932425796</v>
      </c>
    </row>
    <row r="191" spans="1:8" x14ac:dyDescent="0.3">
      <c r="A191" s="1" t="s">
        <v>572</v>
      </c>
      <c r="B191" s="90" t="s">
        <v>327</v>
      </c>
      <c r="C191" s="90"/>
      <c r="D191" s="108">
        <f t="shared" ref="D191:H194" si="6">D172</f>
        <v>137.30113027846562</v>
      </c>
      <c r="E191" s="108">
        <f t="shared" si="6"/>
        <v>1862.9249701148442</v>
      </c>
      <c r="F191" s="108">
        <f t="shared" si="6"/>
        <v>981.23196237024365</v>
      </c>
      <c r="G191" s="108">
        <f t="shared" si="6"/>
        <v>273.30097900417519</v>
      </c>
      <c r="H191" s="108">
        <f t="shared" si="6"/>
        <v>273.30097900417519</v>
      </c>
    </row>
    <row r="192" spans="1:8" x14ac:dyDescent="0.3">
      <c r="A192" s="1" t="s">
        <v>658</v>
      </c>
      <c r="B192" s="90" t="s">
        <v>327</v>
      </c>
      <c r="C192" s="90"/>
      <c r="D192" s="108">
        <f t="shared" si="6"/>
        <v>4634.5955992280287</v>
      </c>
      <c r="E192" s="108">
        <f t="shared" si="6"/>
        <v>30803.463363000959</v>
      </c>
      <c r="F192" s="108">
        <f t="shared" si="6"/>
        <v>16223.008702774667</v>
      </c>
      <c r="G192" s="108">
        <f t="shared" si="6"/>
        <v>4517.7243072697356</v>
      </c>
      <c r="H192" s="108">
        <f t="shared" si="6"/>
        <v>4517.7243072697356</v>
      </c>
    </row>
    <row r="193" spans="1:8" x14ac:dyDescent="0.3">
      <c r="A193" s="1" t="s">
        <v>656</v>
      </c>
      <c r="B193" s="90" t="s">
        <v>327</v>
      </c>
      <c r="C193" s="90"/>
      <c r="D193" s="108">
        <f t="shared" si="6"/>
        <v>9.3830605230458275</v>
      </c>
      <c r="E193" s="108">
        <f t="shared" si="6"/>
        <v>98.000782003409753</v>
      </c>
      <c r="F193" s="108">
        <f t="shared" si="6"/>
        <v>51.465076782627321</v>
      </c>
      <c r="G193" s="108">
        <f t="shared" si="6"/>
        <v>14.256462056760739</v>
      </c>
      <c r="H193" s="108">
        <f t="shared" si="6"/>
        <v>14.256462056760739</v>
      </c>
    </row>
    <row r="194" spans="1:8" x14ac:dyDescent="0.3">
      <c r="A194" s="1" t="s">
        <v>573</v>
      </c>
      <c r="B194" s="90" t="s">
        <v>327</v>
      </c>
      <c r="C194" s="90"/>
      <c r="D194" s="108">
        <f t="shared" si="6"/>
        <v>114.19382017068396</v>
      </c>
      <c r="E194" s="108">
        <f t="shared" si="6"/>
        <v>1608.5454481034114</v>
      </c>
      <c r="F194" s="108">
        <f t="shared" si="6"/>
        <v>847.24546251642187</v>
      </c>
      <c r="G194" s="108">
        <f t="shared" si="6"/>
        <v>235.98152863987772</v>
      </c>
      <c r="H194" s="108">
        <f t="shared" si="6"/>
        <v>235.98152863987772</v>
      </c>
    </row>
    <row r="195" spans="1:8" x14ac:dyDescent="0.3">
      <c r="A195" s="1" t="s">
        <v>534</v>
      </c>
      <c r="B195" s="90" t="s">
        <v>327</v>
      </c>
      <c r="C195" s="90"/>
      <c r="D195" s="108">
        <f>SUM(D190:D193)/D189*(1-D189)</f>
        <v>9453.3340494015283</v>
      </c>
      <c r="E195" s="108">
        <f>SUM(E190:E193)/E189*(1-E189)</f>
        <v>68633.762629396821</v>
      </c>
      <c r="F195" s="108">
        <f>SUM(F190:F193)/F189*(1-F189)</f>
        <v>36147.114984815656</v>
      </c>
      <c r="G195" s="108">
        <f>SUM(G190:G193)/G189*(1-G189)</f>
        <v>10066.285185644869</v>
      </c>
      <c r="H195" s="108">
        <f>SUM(H190:H193)/H189*(1-H189)</f>
        <v>10066.285185644869</v>
      </c>
    </row>
    <row r="196" spans="1:8" x14ac:dyDescent="0.3">
      <c r="A196" s="1" t="s">
        <v>555</v>
      </c>
      <c r="B196" s="90" t="s">
        <v>327</v>
      </c>
      <c r="C196" s="90"/>
      <c r="D196" s="108">
        <f>SUM(D190:D195)</f>
        <v>14657.784665403804</v>
      </c>
      <c r="E196" s="108">
        <f>SUM(E190:E195)</f>
        <v>107198.94949332929</v>
      </c>
      <c r="F196" s="108">
        <f>SUM(F190:F195)</f>
        <v>56458.191593002048</v>
      </c>
      <c r="G196" s="108">
        <f>SUM(G190:G195)</f>
        <v>15722.574121939677</v>
      </c>
      <c r="H196" s="108">
        <f>SUM(H190:H195)</f>
        <v>15722.574121939677</v>
      </c>
    </row>
    <row r="197" spans="1:8" x14ac:dyDescent="0.3">
      <c r="B197" s="90"/>
      <c r="C197" s="90"/>
      <c r="D197" s="108"/>
      <c r="E197" s="108"/>
      <c r="F197" s="108"/>
      <c r="G197" s="108"/>
      <c r="H197" s="108"/>
    </row>
    <row r="198" spans="1:8" ht="15.5" x14ac:dyDescent="0.35">
      <c r="A198" s="123" t="s">
        <v>666</v>
      </c>
      <c r="B198" s="90"/>
      <c r="C198" s="90"/>
      <c r="D198" s="108"/>
      <c r="E198" s="108"/>
      <c r="F198" s="108"/>
      <c r="G198" s="108"/>
      <c r="H198" s="108"/>
    </row>
    <row r="199" spans="1:8" x14ac:dyDescent="0.3">
      <c r="A199" s="113" t="s">
        <v>523</v>
      </c>
      <c r="B199" s="19" t="s">
        <v>51</v>
      </c>
      <c r="C199" s="90"/>
      <c r="D199" s="108">
        <v>100</v>
      </c>
      <c r="E199" s="108">
        <v>100</v>
      </c>
      <c r="F199" s="108">
        <v>100</v>
      </c>
      <c r="G199" s="108">
        <v>100</v>
      </c>
      <c r="H199" s="108">
        <v>100</v>
      </c>
    </row>
    <row r="200" spans="1:8" x14ac:dyDescent="0.3">
      <c r="A200" s="1" t="s">
        <v>563</v>
      </c>
      <c r="B200" s="90" t="s">
        <v>564</v>
      </c>
      <c r="C200" s="90"/>
      <c r="D200" s="94">
        <f>D159</f>
        <v>0.98</v>
      </c>
      <c r="E200" s="94">
        <f>E159</f>
        <v>0.98</v>
      </c>
      <c r="F200" s="94">
        <f>F159</f>
        <v>0.98</v>
      </c>
      <c r="G200" s="94">
        <f>G159</f>
        <v>0.98</v>
      </c>
      <c r="H200" s="94">
        <f>H159</f>
        <v>0.98</v>
      </c>
    </row>
    <row r="201" spans="1:8" x14ac:dyDescent="0.3">
      <c r="A201" s="1" t="s">
        <v>571</v>
      </c>
      <c r="B201" s="90" t="s">
        <v>327</v>
      </c>
      <c r="C201" s="90"/>
      <c r="D201" s="108">
        <f t="shared" ref="D201:H202" si="7">D423-D160</f>
        <v>262.84778393413023</v>
      </c>
      <c r="E201" s="108">
        <f t="shared" si="7"/>
        <v>1909.0707626011276</v>
      </c>
      <c r="F201" s="108">
        <f t="shared" si="7"/>
        <v>1005.5367370214269</v>
      </c>
      <c r="G201" s="108">
        <f t="shared" si="7"/>
        <v>280.07007036791424</v>
      </c>
      <c r="H201" s="108">
        <f t="shared" si="7"/>
        <v>280.07007036791424</v>
      </c>
    </row>
    <row r="202" spans="1:8" x14ac:dyDescent="0.3">
      <c r="A202" s="1" t="s">
        <v>572</v>
      </c>
      <c r="B202" s="90" t="s">
        <v>327</v>
      </c>
      <c r="C202" s="90"/>
      <c r="D202" s="108">
        <f t="shared" si="7"/>
        <v>116.8025359416777</v>
      </c>
      <c r="E202" s="108">
        <f t="shared" si="7"/>
        <v>848.34006597447365</v>
      </c>
      <c r="F202" s="108">
        <f t="shared" si="7"/>
        <v>446.83367350000321</v>
      </c>
      <c r="G202" s="108">
        <f t="shared" si="7"/>
        <v>124.4556601189926</v>
      </c>
      <c r="H202" s="108">
        <f t="shared" si="7"/>
        <v>124.4556601189926</v>
      </c>
    </row>
    <row r="203" spans="1:8" x14ac:dyDescent="0.3">
      <c r="A203" s="1" t="s">
        <v>658</v>
      </c>
      <c r="B203" s="90" t="s">
        <v>327</v>
      </c>
      <c r="C203" s="90"/>
      <c r="D203" s="108">
        <f>D425-D162-(D32/HCl_MolWt*CaCl2_MolWt/2)</f>
        <v>3869.2650252136195</v>
      </c>
      <c r="E203" s="108">
        <f>E425-E162-(E32/HCl_MolWt*CaCl2_MolWt/2)</f>
        <v>13886.343238438942</v>
      </c>
      <c r="F203" s="108">
        <f>F425-F162-(F32/HCl_MolWt*CaCl2_MolWt/2)</f>
        <v>7313.4070851753804</v>
      </c>
      <c r="G203" s="108">
        <f>G425-G162-(G32/HCl_MolWt*CaCl2_MolWt/2)</f>
        <v>2036.6109371564676</v>
      </c>
      <c r="H203" s="108">
        <f>H425-H162-(H32/HCl_MolWt*CaCl2_MolWt/2)</f>
        <v>2036.6109371564676</v>
      </c>
    </row>
    <row r="204" spans="1:8" x14ac:dyDescent="0.3">
      <c r="A204" s="1" t="s">
        <v>656</v>
      </c>
      <c r="B204" s="90" t="s">
        <v>327</v>
      </c>
      <c r="C204" s="90"/>
      <c r="D204" s="108">
        <f>D426-D163</f>
        <v>4.0903454878574177</v>
      </c>
      <c r="E204" s="108">
        <f>E426-E163</f>
        <v>29.504364330168038</v>
      </c>
      <c r="F204" s="108">
        <f>F426-F163</f>
        <v>15.471944811415913</v>
      </c>
      <c r="G204" s="108">
        <f>G426-G163</f>
        <v>4.2745689538485312</v>
      </c>
      <c r="H204" s="108">
        <f>H426-H163</f>
        <v>4.2745689538485312</v>
      </c>
    </row>
    <row r="205" spans="1:8" x14ac:dyDescent="0.3">
      <c r="A205" s="1" t="s">
        <v>573</v>
      </c>
      <c r="B205" s="90" t="s">
        <v>327</v>
      </c>
      <c r="C205" s="90"/>
      <c r="D205" s="108">
        <f>D152*2</f>
        <v>0</v>
      </c>
      <c r="E205" s="108">
        <f>E152*2</f>
        <v>0</v>
      </c>
      <c r="F205" s="108">
        <f>F152*2</f>
        <v>0</v>
      </c>
      <c r="G205" s="108">
        <f>G152*2</f>
        <v>0</v>
      </c>
      <c r="H205" s="108">
        <f>H152*2</f>
        <v>0</v>
      </c>
    </row>
    <row r="206" spans="1:8" x14ac:dyDescent="0.3">
      <c r="A206" s="1" t="s">
        <v>534</v>
      </c>
      <c r="B206" s="90" t="s">
        <v>327</v>
      </c>
      <c r="C206" s="90"/>
      <c r="D206" s="108">
        <f>D427-D165</f>
        <v>86.796034501577267</v>
      </c>
      <c r="E206" s="108">
        <f>E427-E165</f>
        <v>340.27058023152472</v>
      </c>
      <c r="F206" s="108">
        <f>F427-F165</f>
        <v>179.20917225527</v>
      </c>
      <c r="G206" s="108">
        <f>G427-G165</f>
        <v>49.906351767290261</v>
      </c>
      <c r="H206" s="108">
        <f>H427-H165</f>
        <v>49.906351767290261</v>
      </c>
    </row>
    <row r="207" spans="1:8" x14ac:dyDescent="0.3">
      <c r="A207" s="1" t="s">
        <v>555</v>
      </c>
      <c r="B207" s="90" t="s">
        <v>327</v>
      </c>
      <c r="C207" s="90"/>
      <c r="D207" s="108">
        <f>SUM(D201:D206)</f>
        <v>4339.8017250788616</v>
      </c>
      <c r="E207" s="108">
        <f>SUM(E201:E206)</f>
        <v>17013.529011576236</v>
      </c>
      <c r="F207" s="108">
        <f>SUM(F201:F206)</f>
        <v>8960.4586127634957</v>
      </c>
      <c r="G207" s="108">
        <f>SUM(G201:G206)</f>
        <v>2495.3175883645135</v>
      </c>
      <c r="H207" s="108">
        <f>SUM(H201:H206)</f>
        <v>2495.3175883645135</v>
      </c>
    </row>
    <row r="208" spans="1:8" x14ac:dyDescent="0.3">
      <c r="B208" s="90"/>
      <c r="C208" s="90"/>
      <c r="D208" s="108"/>
      <c r="E208" s="108"/>
      <c r="F208" s="108"/>
      <c r="G208" s="108"/>
      <c r="H208" s="108"/>
    </row>
    <row r="209" spans="1:8" ht="15.5" x14ac:dyDescent="0.35">
      <c r="A209" s="123" t="s">
        <v>667</v>
      </c>
      <c r="B209" s="90"/>
      <c r="C209" s="90"/>
      <c r="D209" s="108"/>
      <c r="E209" s="108"/>
      <c r="F209" s="108"/>
      <c r="G209" s="108"/>
      <c r="H209" s="108"/>
    </row>
    <row r="210" spans="1:8" x14ac:dyDescent="0.3">
      <c r="A210" s="113" t="s">
        <v>523</v>
      </c>
      <c r="B210" s="19" t="s">
        <v>51</v>
      </c>
      <c r="C210" s="90"/>
      <c r="D210" s="108">
        <v>100</v>
      </c>
      <c r="E210" s="108">
        <v>100</v>
      </c>
      <c r="F210" s="108">
        <v>100</v>
      </c>
      <c r="G210" s="108">
        <v>100</v>
      </c>
      <c r="H210" s="108">
        <v>100</v>
      </c>
    </row>
    <row r="211" spans="1:8" x14ac:dyDescent="0.3">
      <c r="A211" s="1" t="s">
        <v>563</v>
      </c>
      <c r="B211" s="90" t="s">
        <v>564</v>
      </c>
      <c r="C211" s="90"/>
      <c r="D211" s="94">
        <v>0.8</v>
      </c>
      <c r="E211" s="94">
        <v>0.8</v>
      </c>
      <c r="F211" s="94">
        <v>0.8</v>
      </c>
      <c r="G211" s="94">
        <v>0.8</v>
      </c>
      <c r="H211" s="94">
        <v>0.8</v>
      </c>
    </row>
    <row r="212" spans="1:8" x14ac:dyDescent="0.3">
      <c r="A212" s="1" t="s">
        <v>571</v>
      </c>
      <c r="B212" s="90" t="s">
        <v>327</v>
      </c>
      <c r="C212" s="90"/>
      <c r="D212" s="108">
        <f>D201</f>
        <v>262.84778393413023</v>
      </c>
      <c r="E212" s="108">
        <f>E201</f>
        <v>1909.0707626011276</v>
      </c>
      <c r="F212" s="108">
        <f>F201</f>
        <v>1005.5367370214269</v>
      </c>
      <c r="G212" s="108">
        <f>G201</f>
        <v>280.07007036791424</v>
      </c>
      <c r="H212" s="108">
        <f>H201</f>
        <v>280.07007036791424</v>
      </c>
    </row>
    <row r="213" spans="1:8" x14ac:dyDescent="0.3">
      <c r="A213" s="1" t="s">
        <v>572</v>
      </c>
      <c r="B213" s="90" t="s">
        <v>327</v>
      </c>
      <c r="C213" s="90"/>
      <c r="D213" s="108">
        <f t="shared" ref="D213:H216" si="8">D202</f>
        <v>116.8025359416777</v>
      </c>
      <c r="E213" s="108">
        <f t="shared" si="8"/>
        <v>848.34006597447365</v>
      </c>
      <c r="F213" s="108">
        <f t="shared" si="8"/>
        <v>446.83367350000321</v>
      </c>
      <c r="G213" s="108">
        <f t="shared" si="8"/>
        <v>124.4556601189926</v>
      </c>
      <c r="H213" s="108">
        <f t="shared" si="8"/>
        <v>124.4556601189926</v>
      </c>
    </row>
    <row r="214" spans="1:8" x14ac:dyDescent="0.3">
      <c r="A214" s="1" t="s">
        <v>658</v>
      </c>
      <c r="B214" s="90" t="s">
        <v>327</v>
      </c>
      <c r="C214" s="90"/>
      <c r="D214" s="108">
        <f t="shared" si="8"/>
        <v>3869.2650252136195</v>
      </c>
      <c r="E214" s="108">
        <f t="shared" si="8"/>
        <v>13886.343238438942</v>
      </c>
      <c r="F214" s="108">
        <f t="shared" si="8"/>
        <v>7313.4070851753804</v>
      </c>
      <c r="G214" s="108">
        <f t="shared" si="8"/>
        <v>2036.6109371564676</v>
      </c>
      <c r="H214" s="108">
        <f t="shared" si="8"/>
        <v>2036.6109371564676</v>
      </c>
    </row>
    <row r="215" spans="1:8" x14ac:dyDescent="0.3">
      <c r="A215" s="1" t="s">
        <v>656</v>
      </c>
      <c r="B215" s="90" t="s">
        <v>327</v>
      </c>
      <c r="C215" s="90"/>
      <c r="D215" s="108">
        <f t="shared" si="8"/>
        <v>4.0903454878574177</v>
      </c>
      <c r="E215" s="108">
        <f t="shared" si="8"/>
        <v>29.504364330168038</v>
      </c>
      <c r="F215" s="108">
        <f t="shared" si="8"/>
        <v>15.471944811415913</v>
      </c>
      <c r="G215" s="108">
        <f t="shared" si="8"/>
        <v>4.2745689538485312</v>
      </c>
      <c r="H215" s="108">
        <f t="shared" si="8"/>
        <v>4.2745689538485312</v>
      </c>
    </row>
    <row r="216" spans="1:8" x14ac:dyDescent="0.3">
      <c r="A216" s="1" t="s">
        <v>573</v>
      </c>
      <c r="B216" s="90" t="s">
        <v>327</v>
      </c>
      <c r="C216" s="90"/>
      <c r="D216" s="108">
        <f t="shared" si="8"/>
        <v>0</v>
      </c>
      <c r="E216" s="108">
        <f t="shared" si="8"/>
        <v>0</v>
      </c>
      <c r="F216" s="108">
        <f t="shared" si="8"/>
        <v>0</v>
      </c>
      <c r="G216" s="108">
        <f t="shared" si="8"/>
        <v>0</v>
      </c>
      <c r="H216" s="108">
        <f t="shared" si="8"/>
        <v>0</v>
      </c>
    </row>
    <row r="217" spans="1:8" x14ac:dyDescent="0.3">
      <c r="A217" s="1" t="s">
        <v>534</v>
      </c>
      <c r="B217" s="90" t="s">
        <v>327</v>
      </c>
      <c r="C217" s="90"/>
      <c r="D217" s="108">
        <f>SUM(D212:D216)/D211*(1-D211)</f>
        <v>1063.2514226443209</v>
      </c>
      <c r="E217" s="108">
        <f>SUM(E212:E216)/E211*(1-E211)</f>
        <v>4168.314607836176</v>
      </c>
      <c r="F217" s="108">
        <f>SUM(F212:F216)/F211*(1-F211)</f>
        <v>2195.3123601270559</v>
      </c>
      <c r="G217" s="108">
        <f>SUM(G212:G216)/G211*(1-G211)</f>
        <v>611.3528091493057</v>
      </c>
      <c r="H217" s="108">
        <f>SUM(H212:H216)/H211*(1-H211)</f>
        <v>611.3528091493057</v>
      </c>
    </row>
    <row r="218" spans="1:8" x14ac:dyDescent="0.3">
      <c r="A218" s="1" t="s">
        <v>555</v>
      </c>
      <c r="B218" s="90" t="s">
        <v>327</v>
      </c>
      <c r="C218" s="90"/>
      <c r="D218" s="108">
        <f>SUM(D212:D217)</f>
        <v>5316.2571132216053</v>
      </c>
      <c r="E218" s="108">
        <f>SUM(E212:E217)</f>
        <v>20841.573039180887</v>
      </c>
      <c r="F218" s="108">
        <f>SUM(F212:F217)</f>
        <v>10976.561800635282</v>
      </c>
      <c r="G218" s="108">
        <f>SUM(G212:G217)</f>
        <v>3056.7640457465291</v>
      </c>
      <c r="H218" s="108">
        <f>SUM(H212:H217)</f>
        <v>3056.7640457465291</v>
      </c>
    </row>
    <row r="219" spans="1:8" x14ac:dyDescent="0.3">
      <c r="B219" s="90"/>
      <c r="C219" s="90"/>
      <c r="D219" s="108"/>
      <c r="E219" s="108"/>
      <c r="F219" s="108"/>
      <c r="G219" s="108"/>
      <c r="H219" s="108"/>
    </row>
    <row r="220" spans="1:8" x14ac:dyDescent="0.3">
      <c r="B220" s="90"/>
      <c r="C220" s="90"/>
      <c r="D220" s="90"/>
      <c r="E220" s="90"/>
      <c r="F220" s="90"/>
      <c r="G220" s="90"/>
      <c r="H220" s="90"/>
    </row>
    <row r="221" spans="1:8" x14ac:dyDescent="0.3">
      <c r="A221" s="111"/>
      <c r="B221" s="111"/>
      <c r="C221" s="112"/>
      <c r="D221" s="112"/>
      <c r="E221" s="112"/>
      <c r="F221" s="112"/>
      <c r="G221" s="112"/>
      <c r="H221" s="112"/>
    </row>
    <row r="222" spans="1:8" ht="20.5" thickBot="1" x14ac:dyDescent="0.45">
      <c r="A222" s="109" t="s">
        <v>668</v>
      </c>
      <c r="C222" s="90"/>
      <c r="D222" s="155" t="s">
        <v>320</v>
      </c>
      <c r="E222" s="155" t="s">
        <v>518</v>
      </c>
      <c r="F222" s="155" t="s">
        <v>519</v>
      </c>
      <c r="G222" s="155" t="s">
        <v>520</v>
      </c>
      <c r="H222" s="155" t="s">
        <v>521</v>
      </c>
    </row>
    <row r="223" spans="1:8" ht="13.5" x14ac:dyDescent="0.35">
      <c r="A223" s="232" t="s">
        <v>338</v>
      </c>
      <c r="C223" s="115"/>
      <c r="D223" s="231">
        <f>'Input &amp; Calculation Summary'!C46</f>
        <v>2015</v>
      </c>
      <c r="E223" s="231">
        <f>'Input &amp; Calculation Summary'!D46</f>
        <v>2015</v>
      </c>
      <c r="F223" s="231">
        <f>'Input &amp; Calculation Summary'!E46</f>
        <v>2015</v>
      </c>
      <c r="G223" s="231">
        <f>'Input &amp; Calculation Summary'!F46</f>
        <v>2015</v>
      </c>
      <c r="H223" s="231">
        <f>'Input &amp; Calculation Summary'!G46</f>
        <v>2015</v>
      </c>
    </row>
    <row r="224" spans="1:8" x14ac:dyDescent="0.3">
      <c r="C224" s="233" t="s">
        <v>576</v>
      </c>
    </row>
    <row r="225" spans="1:15" ht="14" x14ac:dyDescent="0.3">
      <c r="A225" s="156" t="s">
        <v>577</v>
      </c>
      <c r="B225" s="90" t="s">
        <v>303</v>
      </c>
      <c r="C225" s="19" t="s">
        <v>591</v>
      </c>
      <c r="D225" s="101">
        <f>((170023*D103/1000+3764611)+(72338*(D114^0.3195)))*(IF('Input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5768432.0186670041</v>
      </c>
      <c r="E225" s="101">
        <f>((170023*E103/1000+3764611)+(72338*(E114^0.3195)))*(IF('Input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6142653.1813910333</v>
      </c>
      <c r="F225" s="101">
        <f>((170023*F103/1000+3764611)+(72338*(F114^0.3195)))*(IF('Input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5952565.6947833356</v>
      </c>
      <c r="G225" s="101">
        <f>((170023*G103/1000+3764611)+(72338*(G114^0.3195)))*(IF('Input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5773559.5891982056</v>
      </c>
      <c r="H225" s="101">
        <f>((170023*H103/1000+3764611)+(72338*(H114^0.3195)))*(IF('Input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5773559.5891982056</v>
      </c>
    </row>
    <row r="226" spans="1:15" ht="14" x14ac:dyDescent="0.3">
      <c r="A226" s="157" t="s">
        <v>583</v>
      </c>
      <c r="B226" s="90" t="s">
        <v>303</v>
      </c>
      <c r="C226" s="90" t="s">
        <v>669</v>
      </c>
      <c r="D226" s="101">
        <f>(581877809*(Constants_CC!E324/100)^3-3653117*(Constants_CC!E324/100)^2+693335*(Constants_CC!E324/100)+214198)*'Input &amp; Calculation Summary'!C129+(677421*(Constants_CC!E324/100)^-0.0966)*(IF('Input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1986228.374918283</v>
      </c>
      <c r="E226" s="101">
        <f>(581877809*(Constants_CC!F324/100)^3-3653117*(Constants_CC!F324/100)^2+693335*(Constants_CC!F324/100)+214198)*'Input &amp; Calculation Summary'!D129+(677421*(Constants_CC!F324/100)^-0.0966)*(IF('Input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1986228.374918283</v>
      </c>
      <c r="F226" s="101">
        <f>(581877809*(Constants_CC!G324/100)^3-3653117*(Constants_CC!G324/100)^2+693335*(Constants_CC!G324/100)+214198)*'Input &amp; Calculation Summary'!E129+(677421*(Constants_CC!G324/100)^-0.0966)*(IF('Input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1986228.374918283</v>
      </c>
      <c r="G226" s="101">
        <f>(581877809*(Constants_CC!H324/100)^3-3653117*(Constants_CC!H324/100)^2+693335*(Constants_CC!H324/100)+214198)*'Input &amp; Calculation Summary'!F129+(677421*(Constants_CC!H324/100)^-0.0966)*(IF('Input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1986228.374918283</v>
      </c>
      <c r="H226" s="101">
        <f>(581877809*(Constants_CC!I324/100)^3-3653117*(Constants_CC!I324/100)^2+693335*(Constants_CC!I324/100)+214198)*'Input &amp; Calculation Summary'!G129+(677421*(Constants_CC!I324/100)^-0.0966)*(IF('Input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1986228.374918283</v>
      </c>
    </row>
    <row r="227" spans="1:15" ht="14.5" thickBot="1" x14ac:dyDescent="0.35">
      <c r="A227" s="157" t="s">
        <v>670</v>
      </c>
      <c r="B227" s="90" t="s">
        <v>303</v>
      </c>
      <c r="C227" s="90" t="s">
        <v>586</v>
      </c>
      <c r="D227" s="101">
        <f>(IF('Input &amp; Calculation Summary'!C131=1,(-4.85*(D42/1000)^2+12538*(D42/1000)+1080990),(-3.57*(D42/1000)^2+9246*(D42/1000)+791896))*'Input &amp; Calculation Summary'!C129)*(IF('Input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6774551.1507062688</v>
      </c>
      <c r="E227" s="101">
        <f>(IF('Input &amp; Calculation Summary'!D131=1,(-4.85*(E42/1000)^2+12538*(E42/1000)+1080990),(-3.57*(E42/1000)^2+9246*(E42/1000)+791896))*'Input &amp; Calculation Summary'!D129)*(IF('Input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13483826.726747552</v>
      </c>
      <c r="F227" s="101">
        <f>(IF('Input &amp; Calculation Summary'!E131=1,(-4.85*(F42/1000)^2+12538*(F42/1000)+1080990),(-3.57*(F42/1000)^2+9246*(F42/1000)+791896))*'Input &amp; Calculation Summary'!E129)*(IF('Input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10138424.196310319</v>
      </c>
      <c r="G227" s="101">
        <f>(IF('Input &amp; Calculation Summary'!F131=1,(-4.85*(G42/1000)^2+12538*(G42/1000)+1080990),(-3.57*(G42/1000)^2+9246*(G42/1000)+791896))*'Input &amp; Calculation Summary'!F129)*(IF('Input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4494492.3952654162</v>
      </c>
      <c r="H227" s="101">
        <f>(IF('Input &amp; Calculation Summary'!G131=1,(-4.85*(H42/1000)^2+12538*(H42/1000)+1080990),(-3.57*(H42/1000)^2+9246*(H42/1000)+791896))*'Input &amp; Calculation Summary'!G129)*(IF('Input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4494492.3952654162</v>
      </c>
      <c r="K227"/>
      <c r="L227"/>
      <c r="M227"/>
      <c r="N227"/>
      <c r="O227"/>
    </row>
    <row r="228" spans="1:15" ht="15" thickTop="1" x14ac:dyDescent="0.35">
      <c r="A228" s="157" t="s">
        <v>590</v>
      </c>
      <c r="B228" s="90" t="s">
        <v>303</v>
      </c>
      <c r="C228" s="90" t="s">
        <v>586</v>
      </c>
      <c r="D228" s="101">
        <f>((1721.8*(D27/1000)^0.683)+(1326.2*(D57/1000)^0.7131))*'Input &amp; Calculation Summary'!C129+(15338*(D27/1000)^0.5)+(47680*(D57/1000)^0.5576)+(4840.4*(D72/1000)^0.5)+(2695.9*(D87/1000)^0.5)*(IF('Input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1644748.4252467982</v>
      </c>
      <c r="E228" s="101">
        <f>((1721.8*(E27/1000)^0.683)+(1326.2*(E57/1000)^0.7131))*'Input &amp; Calculation Summary'!D129+(15338*(E27/1000)^0.5)+(47680*(E57/1000)^0.5576)+(4840.4*(E72/1000)^0.5)+(2695.9*(E87/1000)^0.5)*(IF('Input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3346868.6278070742</v>
      </c>
      <c r="F228" s="101">
        <f>((1721.8*(F27/1000)^0.683)+(1326.2*(F57/1000)^0.7131))*'Input &amp; Calculation Summary'!E129+(15338*(F27/1000)^0.5)+(47680*(F57/1000)^0.5576)+(4840.4*(F72/1000)^0.5)+(2695.9*(F87/1000)^0.5)*(IF('Input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2344722.81398628</v>
      </c>
      <c r="G228" s="101">
        <f>((1721.8*(G27/1000)^0.683)+(1326.2*(G57/1000)^0.7131))*'Input &amp; Calculation Summary'!F129+(15338*(G27/1000)^0.5)+(47680*(G57/1000)^0.5576)+(4840.4*(G72/1000)^0.5)+(2695.9*(G87/1000)^0.5)*(IF('Input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1167561.6909589586</v>
      </c>
      <c r="H228" s="101">
        <f>((1721.8*(H27/1000)^0.683)+(1326.2*(H57/1000)^0.7131))*'Input &amp; Calculation Summary'!G129+(15338*(H27/1000)^0.5)+(47680*(H57/1000)^0.5576)+(4840.4*(H72/1000)^0.5)+(2695.9*(H87/1000)^0.5)*(IF('Input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1167561.6909589586</v>
      </c>
      <c r="K228" s="164"/>
      <c r="L228" s="165"/>
      <c r="M228" s="165" t="s">
        <v>593</v>
      </c>
      <c r="N228" s="165"/>
      <c r="O228" s="166"/>
    </row>
    <row r="229" spans="1:15" ht="14" x14ac:dyDescent="0.3">
      <c r="A229" s="157" t="s">
        <v>592</v>
      </c>
      <c r="B229" s="90" t="s">
        <v>303</v>
      </c>
      <c r="C229" s="90" t="s">
        <v>527</v>
      </c>
      <c r="D229" s="101">
        <f>((91.24*((K229)^0.6842))*K230)*(IF('Input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706203.72137767554</v>
      </c>
      <c r="E229" s="101">
        <f>((91.24*((L229)^0.6842))*L230)*(IF('Input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1686671.6159833518</v>
      </c>
      <c r="F229" s="101">
        <f>((91.24*((M229)^0.6842))*M230)*(IF('Input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1092173.9984562716</v>
      </c>
      <c r="G229" s="101">
        <f>((91.24*((N229)^0.6842))*N230)*(IF('Input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465600.95290956646</v>
      </c>
      <c r="H229" s="101">
        <f>((91.24*((O229)^0.6842))*O230)*(IF('Input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465600.95290956646</v>
      </c>
      <c r="K229" s="226">
        <f>IF((D72*(1-D70)/(6356*0.8))&lt;=10000,D72,IF((D72/2*(1-D70)/(6356*0.8))&lt;=10000,D72/2,IF((D72/3*(1-D70)/(6356*0.8))&lt;=10000,D72/3,IF((D72/4*(1-D70)/(6356*0.8))&lt;=10000,D72/4,D72/5))))</f>
        <v>269282.28568491893</v>
      </c>
      <c r="L229" s="163">
        <f>IF((E72*(1-E70)/(6356*0.8))&lt;=10000,E72,IF((E72/2*(1-E70)/(6356*0.8))&lt;=10000,E72/2,IF((E72/3*(1-E70)/(6356*0.8))&lt;=10000,E72/3,IF((E72/4*(1-E70)/(6356*0.8))&lt;=10000,E72/4,E72/5))))</f>
        <v>961224.34261966485</v>
      </c>
      <c r="M229" s="163">
        <f>IF((F72*(1-F70)/(6356*0.8))&lt;=10000,F72,IF((F72/2*(1-F70)/(6356*0.8))&lt;=10000,F72/2,IF((F72/3*(1-F70)/(6356*0.8))&lt;=10000,F72/3,IF((F72/4*(1-F70)/(6356*0.8))&lt;=10000,F72/4,F72/5))))</f>
        <v>509297.61495602212</v>
      </c>
      <c r="N229" s="163">
        <f>IF((G72*(1-G70)/(6356*0.8))&lt;=10000,G72,IF((G72/2*(1-G70)/(6356*0.8))&lt;=10000,G72/2,IF((G72/3*(1-G70)/(6356*0.8))&lt;=10000,G72/3,IF((G72/4*(1-G70)/(6356*0.8))&lt;=10000,G72/4,G72/5))))</f>
        <v>146483.19978943589</v>
      </c>
      <c r="O229" s="227">
        <f>IF((H72*(1-H70)/(6356*0.8))&lt;=10000,H72,IF((H72/2*(1-H70)/(6356*0.8))&lt;=10000,H72/2,IF((H72/3*(1-H70)/(6356*0.8))&lt;=10000,H72/3,IF((H72/4*(1-H70)/(6356*0.8))&lt;=10000,H72/4,H72/5))))</f>
        <v>146483.19978943589</v>
      </c>
    </row>
    <row r="230" spans="1:15" ht="14.5" thickBot="1" x14ac:dyDescent="0.35">
      <c r="A230" s="157" t="s">
        <v>594</v>
      </c>
      <c r="B230" s="90" t="s">
        <v>303</v>
      </c>
      <c r="C230" s="90" t="s">
        <v>584</v>
      </c>
      <c r="D230" s="101">
        <f>(2051841884*(Constants_CC!E324/100)^2-1443163*(Constants_CC!E324/100)+1026479)*(IF('Input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1551268.9311179135</v>
      </c>
      <c r="E230" s="101">
        <f>(2051841884*(Constants_CC!F324/100)^2-1443163*(Constants_CC!F324/100)+1026479)*(IF('Input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1551268.9311179135</v>
      </c>
      <c r="F230" s="101">
        <f>(2051841884*(Constants_CC!G324/100)^2-1443163*(Constants_CC!G324/100)+1026479)*(IF('Input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1551268.9311179135</v>
      </c>
      <c r="G230" s="101">
        <f>(2051841884*(Constants_CC!H324/100)^2-1443163*(Constants_CC!H324/100)+1026479)*(IF('Input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1551268.9311179135</v>
      </c>
      <c r="H230" s="101">
        <f>(2051841884*(Constants_CC!I324/100)^2-1443163*(Constants_CC!I324/100)+1026479)*(IF('Input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1551268.9311179135</v>
      </c>
      <c r="K230" s="228">
        <f>D72/K229</f>
        <v>1</v>
      </c>
      <c r="L230" s="229">
        <f>E72/L229</f>
        <v>1</v>
      </c>
      <c r="M230" s="229">
        <f>F72/M229</f>
        <v>1</v>
      </c>
      <c r="N230" s="229">
        <f>G72/N229</f>
        <v>1</v>
      </c>
      <c r="O230" s="230">
        <f>H72/O229</f>
        <v>1</v>
      </c>
    </row>
    <row r="231" spans="1:15" ht="14.5" thickTop="1" x14ac:dyDescent="0.3">
      <c r="A231" s="157" t="s">
        <v>597</v>
      </c>
      <c r="B231" s="90" t="s">
        <v>303</v>
      </c>
      <c r="C231" s="90" t="s">
        <v>39</v>
      </c>
      <c r="D231" s="101">
        <f>(-1.211*'Input &amp; Calculation Summary'!C25^2+2704.2*'Input &amp; Calculation Summary'!C25+1354716.2)*(IF('Input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2583567.7527835052</v>
      </c>
      <c r="E231" s="101">
        <f>(-1.211*'Input &amp; Calculation Summary'!D25^2+2704.2*'Input &amp; Calculation Summary'!D25+1354716.2)*(IF('Input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2583567.7527835052</v>
      </c>
      <c r="F231" s="101">
        <f>(-1.211*'Input &amp; Calculation Summary'!E25^2+2704.2*'Input &amp; Calculation Summary'!E25+1354716.2)*(IF('Input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2326703.6654164949</v>
      </c>
      <c r="G231" s="101">
        <f>(-1.211*'Input &amp; Calculation Summary'!F25^2+2704.2*'Input &amp; Calculation Summary'!F25+1354716.2)*(IF('Input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2107317.629171134</v>
      </c>
      <c r="H231" s="101">
        <f>(-1.211*'Input &amp; Calculation Summary'!G25^2+2704.2*'Input &amp; Calculation Summary'!G25+1354716.2)*(IF('Input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2107317.629171134</v>
      </c>
    </row>
    <row r="232" spans="1:15" ht="14" x14ac:dyDescent="0.3">
      <c r="A232" s="157" t="s">
        <v>598</v>
      </c>
      <c r="B232" s="90" t="s">
        <v>303</v>
      </c>
      <c r="C232" s="90" t="s">
        <v>527</v>
      </c>
      <c r="D232" s="162">
        <f>IF('Input &amp; Calculation Summary'!C85=1,40208*D87^0.3339,23370*D87^0.3908)*(IF('Input &amp; Calculation Summary'!C46&lt;1998,VLOOKUP('Input &amp; Calculation Summary'!C46,Constants_CC!$B$285:$C$303,2)/388,(IF('Input &amp; Calculation Summary'!C59="Yes",'Input &amp; Calculation Summary'!C60/388,(1+'Input &amp; Calculation Summary'!C61)^(D223-1998)))))</f>
        <v>3829146.128835394</v>
      </c>
      <c r="E232" s="162">
        <f>IF('Input &amp; Calculation Summary'!D85=1,40208*E87^0.3339,23370*E87^0.3908)*(IF('Input &amp; Calculation Summary'!D46&lt;1998,VLOOKUP('Input &amp; Calculation Summary'!D46,Constants_CC!$B$285:$C$303,2)/388,(IF('Input &amp; Calculation Summary'!D59="Yes",'Input &amp; Calculation Summary'!D60/388,(1+'Input &amp; Calculation Summary'!D61)^(E223-1998)))))</f>
        <v>5856265.3757721074</v>
      </c>
      <c r="F232" s="162">
        <f>IF('Input &amp; Calculation Summary'!E85=1,40208*F87^0.3339,23370*F87^0.3908)*(IF('Input &amp; Calculation Summary'!E46&lt;1998,VLOOKUP('Input &amp; Calculation Summary'!E46,Constants_CC!$B$285:$C$303,2)/388,(IF('Input &amp; Calculation Summary'!E59="Yes",'Input &amp; Calculation Summary'!E60/388,(1+'Input &amp; Calculation Summary'!E61)^(F223-1998)))))</f>
        <v>4737109.1573965251</v>
      </c>
      <c r="G232" s="162">
        <f>IF('Input &amp; Calculation Summary'!F85=1,40208*G87^0.3339,23370*G87^0.3908)*(IF('Input &amp; Calculation Summary'!F46&lt;1998,VLOOKUP('Input &amp; Calculation Summary'!F46,Constants_CC!$B$285:$C$303,2)/388,(IF('Input &amp; Calculation Summary'!F59="Yes",'Input &amp; Calculation Summary'!F60/388,(1+'Input &amp; Calculation Summary'!F61)^(G223-1998)))))</f>
        <v>3124727.2399116186</v>
      </c>
      <c r="H232" s="162">
        <f>IF('Input &amp; Calculation Summary'!G85=1,40208*H87^0.3339,23370*H87^0.3908)*(IF('Input &amp; Calculation Summary'!G46&lt;1998,VLOOKUP('Input &amp; Calculation Summary'!G46,Constants_CC!$B$285:$C$303,2)/388,(IF('Input &amp; Calculation Summary'!G59="Yes",'Input &amp; Calculation Summary'!G60/388,(1+'Input &amp; Calculation Summary'!G61)^(H223-1998)))))</f>
        <v>3124727.2399116186</v>
      </c>
    </row>
    <row r="233" spans="1:15" ht="14" x14ac:dyDescent="0.3">
      <c r="A233" s="159" t="s">
        <v>599</v>
      </c>
      <c r="B233" s="90" t="s">
        <v>303</v>
      </c>
      <c r="C233" s="90"/>
      <c r="D233" s="101">
        <f>SUM(D225:D232)</f>
        <v>24844146.503652841</v>
      </c>
      <c r="E233" s="101">
        <f>SUM(E225:E232)</f>
        <v>36637350.586520821</v>
      </c>
      <c r="F233" s="101">
        <f>SUM(F225:F232)</f>
        <v>30129196.832385425</v>
      </c>
      <c r="G233" s="101">
        <f>SUM(G225:G232)</f>
        <v>20670756.803451095</v>
      </c>
      <c r="H233" s="101">
        <f>SUM(H225:H232)</f>
        <v>20670756.803451095</v>
      </c>
    </row>
    <row r="234" spans="1:15" x14ac:dyDescent="0.3">
      <c r="A234" s="160" t="s">
        <v>671</v>
      </c>
      <c r="B234" s="90"/>
      <c r="C234" s="90"/>
      <c r="D234" s="101"/>
      <c r="E234" s="101"/>
      <c r="F234" s="101"/>
      <c r="G234" s="101"/>
      <c r="H234" s="101"/>
    </row>
    <row r="235" spans="1:15" x14ac:dyDescent="0.3">
      <c r="B235" s="90"/>
      <c r="C235" s="90"/>
      <c r="D235" s="90"/>
      <c r="E235" s="90"/>
      <c r="F235" s="90"/>
      <c r="G235" s="90"/>
      <c r="H235" s="90"/>
    </row>
    <row r="236" spans="1:15" ht="15.5" x14ac:dyDescent="0.35">
      <c r="A236" s="110" t="s">
        <v>601</v>
      </c>
      <c r="B236" s="90"/>
      <c r="C236" s="90"/>
      <c r="D236" s="90"/>
      <c r="E236" s="90"/>
      <c r="F236" s="90"/>
      <c r="G236" s="90"/>
      <c r="H236" s="90"/>
    </row>
    <row r="237" spans="1:15" ht="14" x14ac:dyDescent="0.3">
      <c r="A237" s="156" t="s">
        <v>577</v>
      </c>
      <c r="B237" s="90" t="s">
        <v>303</v>
      </c>
      <c r="C237" s="90"/>
      <c r="D237" s="101">
        <f>D225*'Input &amp; Calculation Summary'!C$39</f>
        <v>9229491.2298672069</v>
      </c>
      <c r="E237" s="101">
        <f>E225*'Input &amp; Calculation Summary'!D$39</f>
        <v>9828245.0902256537</v>
      </c>
      <c r="F237" s="101">
        <f>F225*'Input &amp; Calculation Summary'!E$39</f>
        <v>9524105.1116533373</v>
      </c>
      <c r="G237" s="101">
        <f>G225*'Input &amp; Calculation Summary'!F$39</f>
        <v>9237695.3427171297</v>
      </c>
      <c r="H237" s="101">
        <f>H225*'Input &amp; Calculation Summary'!G$39</f>
        <v>9237695.3427171297</v>
      </c>
    </row>
    <row r="238" spans="1:15" ht="14" x14ac:dyDescent="0.3">
      <c r="A238" s="157" t="s">
        <v>583</v>
      </c>
      <c r="B238" s="90" t="s">
        <v>303</v>
      </c>
      <c r="C238" s="90"/>
      <c r="D238" s="101">
        <f>D226*'Input &amp; Calculation Summary'!C$39</f>
        <v>3177965.3998692529</v>
      </c>
      <c r="E238" s="101">
        <f>E226*'Input &amp; Calculation Summary'!D$39</f>
        <v>3177965.3998692529</v>
      </c>
      <c r="F238" s="101">
        <f>F226*'Input &amp; Calculation Summary'!E$39</f>
        <v>3177965.3998692529</v>
      </c>
      <c r="G238" s="101">
        <f>G226*'Input &amp; Calculation Summary'!F$39</f>
        <v>3177965.3998692529</v>
      </c>
      <c r="H238" s="101">
        <f>H226*'Input &amp; Calculation Summary'!G$39</f>
        <v>3177965.3998692529</v>
      </c>
    </row>
    <row r="239" spans="1:15" ht="14" x14ac:dyDescent="0.3">
      <c r="A239" s="157" t="s">
        <v>670</v>
      </c>
      <c r="B239" s="90" t="s">
        <v>303</v>
      </c>
      <c r="C239" s="90"/>
      <c r="D239" s="101">
        <f>D227*'Input &amp; Calculation Summary'!C$39</f>
        <v>10839281.841130031</v>
      </c>
      <c r="E239" s="101">
        <f>E227*'Input &amp; Calculation Summary'!D$39</f>
        <v>21574122.762796085</v>
      </c>
      <c r="F239" s="101">
        <f>F227*'Input &amp; Calculation Summary'!E$39</f>
        <v>16221478.714096511</v>
      </c>
      <c r="G239" s="101">
        <f>G227*'Input &amp; Calculation Summary'!F$39</f>
        <v>7191187.8324246667</v>
      </c>
      <c r="H239" s="101">
        <f>H227*'Input &amp; Calculation Summary'!G$39</f>
        <v>7191187.8324246667</v>
      </c>
    </row>
    <row r="240" spans="1:15" ht="14" x14ac:dyDescent="0.3">
      <c r="A240" s="157" t="s">
        <v>590</v>
      </c>
      <c r="B240" s="90" t="s">
        <v>303</v>
      </c>
      <c r="C240" s="90"/>
      <c r="D240" s="101">
        <f>D228*'Input &amp; Calculation Summary'!C$39</f>
        <v>2631597.4803948775</v>
      </c>
      <c r="E240" s="101">
        <f>E228*'Input &amp; Calculation Summary'!D$39</f>
        <v>5354989.8044913188</v>
      </c>
      <c r="F240" s="101">
        <f>F228*'Input &amp; Calculation Summary'!E$39</f>
        <v>3751556.5023780484</v>
      </c>
      <c r="G240" s="101">
        <f>G228*'Input &amp; Calculation Summary'!F$39</f>
        <v>1868098.7055343338</v>
      </c>
      <c r="H240" s="101">
        <f>H228*'Input &amp; Calculation Summary'!G$39</f>
        <v>1868098.7055343338</v>
      </c>
    </row>
    <row r="241" spans="1:8" ht="14" x14ac:dyDescent="0.3">
      <c r="A241" s="157" t="s">
        <v>592</v>
      </c>
      <c r="B241" s="90" t="s">
        <v>303</v>
      </c>
      <c r="C241" s="90"/>
      <c r="D241" s="101">
        <f>D229*'Input &amp; Calculation Summary'!C$39</f>
        <v>1129925.9542042809</v>
      </c>
      <c r="E241" s="101">
        <f>E229*'Input &amp; Calculation Summary'!D$39</f>
        <v>2698674.5855733631</v>
      </c>
      <c r="F241" s="101">
        <f>F229*'Input &amp; Calculation Summary'!E$39</f>
        <v>1747478.3975300347</v>
      </c>
      <c r="G241" s="101">
        <f>G229*'Input &amp; Calculation Summary'!F$39</f>
        <v>744961.52465530636</v>
      </c>
      <c r="H241" s="101">
        <f>H229*'Input &amp; Calculation Summary'!G$39</f>
        <v>744961.52465530636</v>
      </c>
    </row>
    <row r="242" spans="1:8" ht="14" x14ac:dyDescent="0.3">
      <c r="A242" s="157" t="s">
        <v>594</v>
      </c>
      <c r="B242" s="90" t="s">
        <v>303</v>
      </c>
      <c r="C242" s="90"/>
      <c r="D242" s="101">
        <f>D230*'Input &amp; Calculation Summary'!C$39</f>
        <v>2482030.2897886615</v>
      </c>
      <c r="E242" s="101">
        <f>E230*'Input &amp; Calculation Summary'!D$39</f>
        <v>2482030.2897886615</v>
      </c>
      <c r="F242" s="101">
        <f>F230*'Input &amp; Calculation Summary'!E$39</f>
        <v>2482030.2897886615</v>
      </c>
      <c r="G242" s="101">
        <f>G230*'Input &amp; Calculation Summary'!F$39</f>
        <v>2482030.2897886615</v>
      </c>
      <c r="H242" s="101">
        <f>H230*'Input &amp; Calculation Summary'!G$39</f>
        <v>2482030.2897886615</v>
      </c>
    </row>
    <row r="243" spans="1:8" ht="14" x14ac:dyDescent="0.3">
      <c r="A243" s="157" t="s">
        <v>597</v>
      </c>
      <c r="B243" s="90" t="s">
        <v>303</v>
      </c>
      <c r="C243" s="90"/>
      <c r="D243" s="101">
        <f>D231*'Input &amp; Calculation Summary'!C$39</f>
        <v>4133708.4044536087</v>
      </c>
      <c r="E243" s="101">
        <f>E231*'Input &amp; Calculation Summary'!D$39</f>
        <v>4133708.4044536087</v>
      </c>
      <c r="F243" s="101">
        <f>F231*'Input &amp; Calculation Summary'!E$39</f>
        <v>3722725.8646663921</v>
      </c>
      <c r="G243" s="101">
        <f>G231*'Input &amp; Calculation Summary'!F$39</f>
        <v>3371708.2066738144</v>
      </c>
      <c r="H243" s="101">
        <f>H231*'Input &amp; Calculation Summary'!G$39</f>
        <v>3371708.2066738144</v>
      </c>
    </row>
    <row r="244" spans="1:8" ht="14" x14ac:dyDescent="0.3">
      <c r="A244" s="157" t="s">
        <v>598</v>
      </c>
      <c r="B244" s="90" t="s">
        <v>303</v>
      </c>
      <c r="C244" s="90"/>
      <c r="D244" s="162">
        <f>D232*'Input &amp; Calculation Summary'!C$39</f>
        <v>6126633.8061366305</v>
      </c>
      <c r="E244" s="162">
        <f>E232*'Input &amp; Calculation Summary'!D$39</f>
        <v>9370024.6012353729</v>
      </c>
      <c r="F244" s="162">
        <f>F232*'Input &amp; Calculation Summary'!E$39</f>
        <v>7579374.6518344404</v>
      </c>
      <c r="G244" s="162">
        <f>G232*'Input &amp; Calculation Summary'!F$39</f>
        <v>4999563.5838585896</v>
      </c>
      <c r="H244" s="162">
        <f>H232*'Input &amp; Calculation Summary'!G$39</f>
        <v>4999563.5838585896</v>
      </c>
    </row>
    <row r="245" spans="1:8" ht="14" x14ac:dyDescent="0.3">
      <c r="A245" s="159" t="s">
        <v>599</v>
      </c>
      <c r="B245" s="90" t="s">
        <v>303</v>
      </c>
      <c r="C245" s="90"/>
      <c r="D245" s="101">
        <f>SUM(D237:D244)</f>
        <v>39750634.405844547</v>
      </c>
      <c r="E245" s="101">
        <f>SUM(E237:E244)</f>
        <v>58619760.938433312</v>
      </c>
      <c r="F245" s="101">
        <f>SUM(F237:F244)</f>
        <v>48206714.931816682</v>
      </c>
      <c r="G245" s="101">
        <f>SUM(G237:G244)</f>
        <v>33073210.885521758</v>
      </c>
      <c r="H245" s="101">
        <f>SUM(H237:H244)</f>
        <v>33073210.885521758</v>
      </c>
    </row>
    <row r="246" spans="1:8" x14ac:dyDescent="0.3">
      <c r="B246" s="90"/>
      <c r="C246" s="90"/>
      <c r="D246" s="90"/>
      <c r="E246" s="90"/>
      <c r="F246" s="90"/>
      <c r="G246" s="90"/>
      <c r="H246" s="90"/>
    </row>
    <row r="247" spans="1:8" ht="15.5" x14ac:dyDescent="0.35">
      <c r="A247" s="110" t="s">
        <v>602</v>
      </c>
      <c r="B247" s="90"/>
      <c r="C247" s="90"/>
      <c r="D247" s="90"/>
      <c r="E247" s="90"/>
      <c r="F247" s="90"/>
      <c r="G247" s="90"/>
      <c r="H247" s="90"/>
    </row>
    <row r="248" spans="1:8" ht="14" x14ac:dyDescent="0.3">
      <c r="A248" s="156" t="s">
        <v>577</v>
      </c>
      <c r="B248" s="90" t="s">
        <v>303</v>
      </c>
      <c r="C248" s="90"/>
      <c r="D248" s="101">
        <f>D237*'Input &amp; Calculation Summary'!C150</f>
        <v>922949.12298672076</v>
      </c>
      <c r="E248" s="101">
        <f>E237*'Input &amp; Calculation Summary'!D150</f>
        <v>982824.50902256544</v>
      </c>
      <c r="F248" s="101">
        <f>F237*'Input &amp; Calculation Summary'!E150</f>
        <v>952410.5111653338</v>
      </c>
      <c r="G248" s="101">
        <f>G237*'Input &amp; Calculation Summary'!F150</f>
        <v>923769.534271713</v>
      </c>
      <c r="H248" s="101">
        <f>H237*'Input &amp; Calculation Summary'!G150</f>
        <v>923769.534271713</v>
      </c>
    </row>
    <row r="249" spans="1:8" ht="14" x14ac:dyDescent="0.3">
      <c r="A249" s="157" t="s">
        <v>583</v>
      </c>
      <c r="B249" s="90" t="s">
        <v>303</v>
      </c>
      <c r="C249" s="90"/>
      <c r="D249" s="101">
        <f>D238*'Input &amp; Calculation Summary'!C151</f>
        <v>317796.53998692532</v>
      </c>
      <c r="E249" s="101">
        <f>E238*'Input &amp; Calculation Summary'!D151</f>
        <v>317796.53998692532</v>
      </c>
      <c r="F249" s="101">
        <f>F238*'Input &amp; Calculation Summary'!E151</f>
        <v>317796.53998692532</v>
      </c>
      <c r="G249" s="101">
        <f>G238*'Input &amp; Calculation Summary'!F151</f>
        <v>317796.53998692532</v>
      </c>
      <c r="H249" s="101">
        <f>H238*'Input &amp; Calculation Summary'!G151</f>
        <v>317796.53998692532</v>
      </c>
    </row>
    <row r="250" spans="1:8" ht="14" x14ac:dyDescent="0.3">
      <c r="A250" s="157" t="s">
        <v>670</v>
      </c>
      <c r="B250" s="90" t="s">
        <v>303</v>
      </c>
      <c r="C250" s="90"/>
      <c r="D250" s="101">
        <f>D239*'Input &amp; Calculation Summary'!C151</f>
        <v>1083928.1841130031</v>
      </c>
      <c r="E250" s="101">
        <f>E239*'Input &amp; Calculation Summary'!D151</f>
        <v>2157412.2762796087</v>
      </c>
      <c r="F250" s="101">
        <f>F239*'Input &amp; Calculation Summary'!E151</f>
        <v>1622147.8714096511</v>
      </c>
      <c r="G250" s="101">
        <f>G239*'Input &amp; Calculation Summary'!F151</f>
        <v>719118.78324246674</v>
      </c>
      <c r="H250" s="101">
        <f>H239*'Input &amp; Calculation Summary'!G151</f>
        <v>719118.78324246674</v>
      </c>
    </row>
    <row r="251" spans="1:8" ht="14" x14ac:dyDescent="0.3">
      <c r="A251" s="157" t="s">
        <v>590</v>
      </c>
      <c r="B251" s="90" t="s">
        <v>303</v>
      </c>
      <c r="C251" s="90"/>
      <c r="D251" s="101">
        <f>D240*'Input &amp; Calculation Summary'!C152</f>
        <v>263159.74803948775</v>
      </c>
      <c r="E251" s="101">
        <f>E240*'Input &amp; Calculation Summary'!D152</f>
        <v>535498.98044913192</v>
      </c>
      <c r="F251" s="101">
        <f>F240*'Input &amp; Calculation Summary'!E152</f>
        <v>375155.65023780486</v>
      </c>
      <c r="G251" s="101">
        <f>G240*'Input &amp; Calculation Summary'!F152</f>
        <v>186809.8705534334</v>
      </c>
      <c r="H251" s="101">
        <f>H240*'Input &amp; Calculation Summary'!G152</f>
        <v>186809.8705534334</v>
      </c>
    </row>
    <row r="252" spans="1:8" ht="14" x14ac:dyDescent="0.3">
      <c r="A252" s="157" t="s">
        <v>592</v>
      </c>
      <c r="B252" s="90" t="s">
        <v>303</v>
      </c>
      <c r="C252" s="90"/>
      <c r="D252" s="101">
        <f>D241*'Input &amp; Calculation Summary'!C152</f>
        <v>112992.59542042809</v>
      </c>
      <c r="E252" s="101">
        <f>E241*'Input &amp; Calculation Summary'!D152</f>
        <v>269867.4585573363</v>
      </c>
      <c r="F252" s="101">
        <f>F241*'Input &amp; Calculation Summary'!E152</f>
        <v>174747.83975300347</v>
      </c>
      <c r="G252" s="101">
        <f>G241*'Input &amp; Calculation Summary'!F152</f>
        <v>74496.152465530642</v>
      </c>
      <c r="H252" s="101">
        <f>H241*'Input &amp; Calculation Summary'!G152</f>
        <v>74496.152465530642</v>
      </c>
    </row>
    <row r="253" spans="1:8" ht="14" x14ac:dyDescent="0.3">
      <c r="A253" s="157" t="s">
        <v>594</v>
      </c>
      <c r="B253" s="90" t="s">
        <v>303</v>
      </c>
      <c r="C253" s="90"/>
      <c r="D253" s="101">
        <f>D242*'Input &amp; Calculation Summary'!C153</f>
        <v>248203.02897886618</v>
      </c>
      <c r="E253" s="101">
        <f>E242*'Input &amp; Calculation Summary'!D153</f>
        <v>248203.02897886618</v>
      </c>
      <c r="F253" s="101">
        <f>F242*'Input &amp; Calculation Summary'!E153</f>
        <v>248203.02897886618</v>
      </c>
      <c r="G253" s="101">
        <f>G242*'Input &amp; Calculation Summary'!F153</f>
        <v>248203.02897886618</v>
      </c>
      <c r="H253" s="101">
        <f>H242*'Input &amp; Calculation Summary'!G153</f>
        <v>248203.02897886618</v>
      </c>
    </row>
    <row r="254" spans="1:8" ht="14" x14ac:dyDescent="0.3">
      <c r="A254" s="157" t="s">
        <v>597</v>
      </c>
      <c r="B254" s="90" t="s">
        <v>303</v>
      </c>
      <c r="C254" s="90"/>
      <c r="D254" s="101">
        <f>D243*'Input &amp; Calculation Summary'!C154</f>
        <v>413370.84044536087</v>
      </c>
      <c r="E254" s="101">
        <f>E243*'Input &amp; Calculation Summary'!D154</f>
        <v>413370.84044536087</v>
      </c>
      <c r="F254" s="101">
        <f>F243*'Input &amp; Calculation Summary'!E154</f>
        <v>372272.58646663924</v>
      </c>
      <c r="G254" s="101">
        <f>G243*'Input &amp; Calculation Summary'!F154</f>
        <v>337170.82066738146</v>
      </c>
      <c r="H254" s="101">
        <f>H243*'Input &amp; Calculation Summary'!G154</f>
        <v>337170.82066738146</v>
      </c>
    </row>
    <row r="255" spans="1:8" ht="14" x14ac:dyDescent="0.3">
      <c r="A255" s="157" t="s">
        <v>598</v>
      </c>
      <c r="B255" s="90" t="s">
        <v>303</v>
      </c>
      <c r="C255" s="90"/>
      <c r="D255" s="162">
        <f>D244*'Input &amp; Calculation Summary'!C154</f>
        <v>612663.38061366312</v>
      </c>
      <c r="E255" s="162">
        <f>E244*'Input &amp; Calculation Summary'!D154</f>
        <v>937002.46012353734</v>
      </c>
      <c r="F255" s="162">
        <f>F244*'Input &amp; Calculation Summary'!E154</f>
        <v>757937.46518344409</v>
      </c>
      <c r="G255" s="162">
        <f>G244*'Input &amp; Calculation Summary'!F154</f>
        <v>499956.358385859</v>
      </c>
      <c r="H255" s="162">
        <f>H244*'Input &amp; Calculation Summary'!G154</f>
        <v>499956.358385859</v>
      </c>
    </row>
    <row r="256" spans="1:8" ht="14" x14ac:dyDescent="0.3">
      <c r="A256" s="159" t="s">
        <v>599</v>
      </c>
      <c r="B256" s="90" t="s">
        <v>303</v>
      </c>
      <c r="C256" s="90"/>
      <c r="D256" s="101">
        <f>SUM(D248:D255)</f>
        <v>3975063.4405844556</v>
      </c>
      <c r="E256" s="101">
        <f>SUM(E248:E255)</f>
        <v>5861976.0938433325</v>
      </c>
      <c r="F256" s="101">
        <f>SUM(F248:F255)</f>
        <v>4820671.4931816673</v>
      </c>
      <c r="G256" s="101">
        <f>SUM(G248:G255)</f>
        <v>3307321.0885521756</v>
      </c>
      <c r="H256" s="101">
        <f>SUM(H248:H255)</f>
        <v>3307321.0885521756</v>
      </c>
    </row>
    <row r="257" spans="1:8" x14ac:dyDescent="0.3">
      <c r="B257" s="90"/>
      <c r="C257" s="90"/>
      <c r="D257" s="90"/>
      <c r="E257" s="90"/>
      <c r="F257" s="90"/>
      <c r="G257" s="90"/>
      <c r="H257" s="90"/>
    </row>
    <row r="258" spans="1:8" ht="15.5" x14ac:dyDescent="0.35">
      <c r="A258" s="110" t="s">
        <v>603</v>
      </c>
      <c r="B258" s="90"/>
      <c r="C258" s="90"/>
      <c r="D258" s="90"/>
      <c r="E258" s="90"/>
      <c r="F258" s="90"/>
      <c r="G258" s="90"/>
      <c r="H258" s="90"/>
    </row>
    <row r="259" spans="1:8" ht="14" x14ac:dyDescent="0.3">
      <c r="A259" s="156" t="s">
        <v>577</v>
      </c>
      <c r="B259" s="90" t="s">
        <v>303</v>
      </c>
      <c r="C259" s="90"/>
      <c r="D259" s="101">
        <f>D237*'Input &amp; Calculation Summary'!C156</f>
        <v>922949.12298672076</v>
      </c>
      <c r="E259" s="101">
        <f>E237*'Input &amp; Calculation Summary'!D156</f>
        <v>982824.50902256544</v>
      </c>
      <c r="F259" s="101">
        <f>F237*'Input &amp; Calculation Summary'!E156</f>
        <v>952410.5111653338</v>
      </c>
      <c r="G259" s="101">
        <f>G237*'Input &amp; Calculation Summary'!F156</f>
        <v>923769.534271713</v>
      </c>
      <c r="H259" s="101">
        <f>H237*'Input &amp; Calculation Summary'!G156</f>
        <v>923769.534271713</v>
      </c>
    </row>
    <row r="260" spans="1:8" ht="14" x14ac:dyDescent="0.3">
      <c r="A260" s="157" t="s">
        <v>583</v>
      </c>
      <c r="B260" s="90" t="s">
        <v>303</v>
      </c>
      <c r="C260" s="90"/>
      <c r="D260" s="101">
        <f>D238*'Input &amp; Calculation Summary'!C157</f>
        <v>317796.53998692532</v>
      </c>
      <c r="E260" s="101">
        <f>E238*'Input &amp; Calculation Summary'!D157</f>
        <v>317796.53998692532</v>
      </c>
      <c r="F260" s="101">
        <f>F238*'Input &amp; Calculation Summary'!E157</f>
        <v>317796.53998692532</v>
      </c>
      <c r="G260" s="101">
        <f>G238*'Input &amp; Calculation Summary'!F157</f>
        <v>317796.53998692532</v>
      </c>
      <c r="H260" s="101">
        <f>H238*'Input &amp; Calculation Summary'!G157</f>
        <v>317796.53998692532</v>
      </c>
    </row>
    <row r="261" spans="1:8" ht="14" x14ac:dyDescent="0.3">
      <c r="A261" s="157" t="s">
        <v>670</v>
      </c>
      <c r="B261" s="90" t="s">
        <v>303</v>
      </c>
      <c r="C261" s="90"/>
      <c r="D261" s="101">
        <f>D239*'Input &amp; Calculation Summary'!C157</f>
        <v>1083928.1841130031</v>
      </c>
      <c r="E261" s="101">
        <f>E239*'Input &amp; Calculation Summary'!D157</f>
        <v>2157412.2762796087</v>
      </c>
      <c r="F261" s="101">
        <f>F239*'Input &amp; Calculation Summary'!E157</f>
        <v>1622147.8714096511</v>
      </c>
      <c r="G261" s="101">
        <f>G239*'Input &amp; Calculation Summary'!F157</f>
        <v>719118.78324246674</v>
      </c>
      <c r="H261" s="101">
        <f>H239*'Input &amp; Calculation Summary'!G157</f>
        <v>719118.78324246674</v>
      </c>
    </row>
    <row r="262" spans="1:8" ht="14" x14ac:dyDescent="0.3">
      <c r="A262" s="157" t="s">
        <v>590</v>
      </c>
      <c r="B262" s="90" t="s">
        <v>303</v>
      </c>
      <c r="C262" s="90"/>
      <c r="D262" s="101">
        <f>D240*'Input &amp; Calculation Summary'!C158</f>
        <v>263159.74803948775</v>
      </c>
      <c r="E262" s="101">
        <f>E240*'Input &amp; Calculation Summary'!D158</f>
        <v>535498.98044913192</v>
      </c>
      <c r="F262" s="101">
        <f>F240*'Input &amp; Calculation Summary'!E158</f>
        <v>375155.65023780486</v>
      </c>
      <c r="G262" s="101">
        <f>G240*'Input &amp; Calculation Summary'!F158</f>
        <v>186809.8705534334</v>
      </c>
      <c r="H262" s="101">
        <f>H240*'Input &amp; Calculation Summary'!G158</f>
        <v>186809.8705534334</v>
      </c>
    </row>
    <row r="263" spans="1:8" ht="14" x14ac:dyDescent="0.3">
      <c r="A263" s="157" t="s">
        <v>592</v>
      </c>
      <c r="B263" s="90" t="s">
        <v>303</v>
      </c>
      <c r="C263" s="90"/>
      <c r="D263" s="101">
        <f>D241*'Input &amp; Calculation Summary'!C158</f>
        <v>112992.59542042809</v>
      </c>
      <c r="E263" s="101">
        <f>E241*'Input &amp; Calculation Summary'!D158</f>
        <v>269867.4585573363</v>
      </c>
      <c r="F263" s="101">
        <f>F241*'Input &amp; Calculation Summary'!E158</f>
        <v>174747.83975300347</v>
      </c>
      <c r="G263" s="101">
        <f>G241*'Input &amp; Calculation Summary'!F158</f>
        <v>74496.152465530642</v>
      </c>
      <c r="H263" s="101">
        <f>H241*'Input &amp; Calculation Summary'!G158</f>
        <v>74496.152465530642</v>
      </c>
    </row>
    <row r="264" spans="1:8" ht="14" x14ac:dyDescent="0.3">
      <c r="A264" s="157" t="s">
        <v>594</v>
      </c>
      <c r="B264" s="90" t="s">
        <v>303</v>
      </c>
      <c r="C264" s="90"/>
      <c r="D264" s="101">
        <f>D242*'Input &amp; Calculation Summary'!C159</f>
        <v>248203.02897886618</v>
      </c>
      <c r="E264" s="101">
        <f>E242*'Input &amp; Calculation Summary'!D159</f>
        <v>248203.02897886618</v>
      </c>
      <c r="F264" s="101">
        <f>F242*'Input &amp; Calculation Summary'!E159</f>
        <v>248203.02897886618</v>
      </c>
      <c r="G264" s="101">
        <f>G242*'Input &amp; Calculation Summary'!F159</f>
        <v>248203.02897886618</v>
      </c>
      <c r="H264" s="101">
        <f>H242*'Input &amp; Calculation Summary'!G159</f>
        <v>248203.02897886618</v>
      </c>
    </row>
    <row r="265" spans="1:8" ht="14" x14ac:dyDescent="0.3">
      <c r="A265" s="157" t="s">
        <v>597</v>
      </c>
      <c r="B265" s="90" t="s">
        <v>303</v>
      </c>
      <c r="C265" s="90"/>
      <c r="D265" s="101">
        <f>D243*'Input &amp; Calculation Summary'!C160</f>
        <v>413370.84044536087</v>
      </c>
      <c r="E265" s="101">
        <f>E243*'Input &amp; Calculation Summary'!D160</f>
        <v>413370.84044536087</v>
      </c>
      <c r="F265" s="101">
        <f>F243*'Input &amp; Calculation Summary'!E160</f>
        <v>372272.58646663924</v>
      </c>
      <c r="G265" s="101">
        <f>G243*'Input &amp; Calculation Summary'!F160</f>
        <v>337170.82066738146</v>
      </c>
      <c r="H265" s="101">
        <f>H243*'Input &amp; Calculation Summary'!G160</f>
        <v>337170.82066738146</v>
      </c>
    </row>
    <row r="266" spans="1:8" ht="14" x14ac:dyDescent="0.3">
      <c r="A266" s="157" t="s">
        <v>598</v>
      </c>
      <c r="B266" s="90" t="s">
        <v>303</v>
      </c>
      <c r="C266" s="90"/>
      <c r="D266" s="162">
        <f>D244*'Input &amp; Calculation Summary'!C160</f>
        <v>612663.38061366312</v>
      </c>
      <c r="E266" s="162">
        <f>E244*'Input &amp; Calculation Summary'!D160</f>
        <v>937002.46012353734</v>
      </c>
      <c r="F266" s="162">
        <f>F244*'Input &amp; Calculation Summary'!E160</f>
        <v>757937.46518344409</v>
      </c>
      <c r="G266" s="162">
        <f>G244*'Input &amp; Calculation Summary'!F160</f>
        <v>499956.358385859</v>
      </c>
      <c r="H266" s="162">
        <f>H244*'Input &amp; Calculation Summary'!G160</f>
        <v>499956.358385859</v>
      </c>
    </row>
    <row r="267" spans="1:8" ht="14" x14ac:dyDescent="0.3">
      <c r="A267" s="159" t="s">
        <v>599</v>
      </c>
      <c r="B267" s="90" t="s">
        <v>303</v>
      </c>
      <c r="C267" s="90"/>
      <c r="D267" s="101">
        <f>SUM(D259:D266)</f>
        <v>3975063.4405844556</v>
      </c>
      <c r="E267" s="101">
        <f>SUM(E259:E266)</f>
        <v>5861976.0938433325</v>
      </c>
      <c r="F267" s="101">
        <f>SUM(F259:F266)</f>
        <v>4820671.4931816673</v>
      </c>
      <c r="G267" s="101">
        <f>SUM(G259:G266)</f>
        <v>3307321.0885521756</v>
      </c>
      <c r="H267" s="101">
        <f>SUM(H259:H266)</f>
        <v>3307321.0885521756</v>
      </c>
    </row>
    <row r="268" spans="1:8" x14ac:dyDescent="0.3">
      <c r="B268" s="90"/>
      <c r="C268" s="90"/>
      <c r="D268" s="90"/>
      <c r="E268" s="90"/>
      <c r="F268" s="90"/>
      <c r="G268" s="90"/>
      <c r="H268" s="90"/>
    </row>
    <row r="269" spans="1:8" ht="15.5" x14ac:dyDescent="0.35">
      <c r="A269" s="110" t="s">
        <v>604</v>
      </c>
      <c r="B269" s="90"/>
      <c r="C269" s="90"/>
      <c r="D269" s="90"/>
      <c r="E269" s="90"/>
      <c r="F269" s="90"/>
      <c r="G269" s="90"/>
      <c r="H269" s="90"/>
    </row>
    <row r="270" spans="1:8" ht="14" x14ac:dyDescent="0.3">
      <c r="A270" s="156" t="s">
        <v>577</v>
      </c>
      <c r="B270" s="90" t="s">
        <v>303</v>
      </c>
      <c r="C270" s="90"/>
      <c r="D270" s="101">
        <f>D237*'Input &amp; Calculation Summary'!C144</f>
        <v>1845898.2459734415</v>
      </c>
      <c r="E270" s="101">
        <f>E237*'Input &amp; Calculation Summary'!D144</f>
        <v>1965649.0180451309</v>
      </c>
      <c r="F270" s="101">
        <f>F237*'Input &amp; Calculation Summary'!E144</f>
        <v>1904821.0223306676</v>
      </c>
      <c r="G270" s="101">
        <f>G237*'Input &amp; Calculation Summary'!F144</f>
        <v>1847539.068543426</v>
      </c>
      <c r="H270" s="101">
        <f>H237*'Input &amp; Calculation Summary'!G144</f>
        <v>1847539.068543426</v>
      </c>
    </row>
    <row r="271" spans="1:8" ht="14" x14ac:dyDescent="0.3">
      <c r="A271" s="157" t="s">
        <v>583</v>
      </c>
      <c r="B271" s="90" t="s">
        <v>303</v>
      </c>
      <c r="C271" s="90"/>
      <c r="D271" s="101">
        <f>D238*'Input &amp; Calculation Summary'!C145</f>
        <v>635593.07997385063</v>
      </c>
      <c r="E271" s="101">
        <f>E238*'Input &amp; Calculation Summary'!D145</f>
        <v>635593.07997385063</v>
      </c>
      <c r="F271" s="101">
        <f>F238*'Input &amp; Calculation Summary'!E145</f>
        <v>635593.07997385063</v>
      </c>
      <c r="G271" s="101">
        <f>G238*'Input &amp; Calculation Summary'!F145</f>
        <v>635593.07997385063</v>
      </c>
      <c r="H271" s="101">
        <f>H238*'Input &amp; Calculation Summary'!G145</f>
        <v>635593.07997385063</v>
      </c>
    </row>
    <row r="272" spans="1:8" ht="14" x14ac:dyDescent="0.3">
      <c r="A272" s="157" t="s">
        <v>670</v>
      </c>
      <c r="B272" s="90" t="s">
        <v>303</v>
      </c>
      <c r="C272" s="90"/>
      <c r="D272" s="101">
        <f>D239*'Input &amp; Calculation Summary'!C145</f>
        <v>2167856.3682260062</v>
      </c>
      <c r="E272" s="101">
        <f>E239*'Input &amp; Calculation Summary'!D145</f>
        <v>4314824.5525592174</v>
      </c>
      <c r="F272" s="101">
        <f>F239*'Input &amp; Calculation Summary'!E145</f>
        <v>3244295.7428193022</v>
      </c>
      <c r="G272" s="101">
        <f>G239*'Input &amp; Calculation Summary'!F145</f>
        <v>1438237.5664849335</v>
      </c>
      <c r="H272" s="101">
        <f>H239*'Input &amp; Calculation Summary'!G145</f>
        <v>1438237.5664849335</v>
      </c>
    </row>
    <row r="273" spans="1:8" ht="14" x14ac:dyDescent="0.3">
      <c r="A273" s="157" t="s">
        <v>590</v>
      </c>
      <c r="B273" s="90" t="s">
        <v>303</v>
      </c>
      <c r="C273" s="90"/>
      <c r="D273" s="101">
        <f>D240*'Input &amp; Calculation Summary'!C146</f>
        <v>526319.4960789755</v>
      </c>
      <c r="E273" s="101">
        <f>E240*'Input &amp; Calculation Summary'!D146</f>
        <v>1070997.9608982638</v>
      </c>
      <c r="F273" s="101">
        <f>F240*'Input &amp; Calculation Summary'!E146</f>
        <v>750311.30047560972</v>
      </c>
      <c r="G273" s="101">
        <f>G240*'Input &amp; Calculation Summary'!F146</f>
        <v>373619.7411068668</v>
      </c>
      <c r="H273" s="101">
        <f>H240*'Input &amp; Calculation Summary'!G146</f>
        <v>373619.7411068668</v>
      </c>
    </row>
    <row r="274" spans="1:8" ht="14" x14ac:dyDescent="0.3">
      <c r="A274" s="157" t="s">
        <v>592</v>
      </c>
      <c r="B274" s="90" t="s">
        <v>303</v>
      </c>
      <c r="C274" s="90"/>
      <c r="D274" s="101">
        <f>D241*'Input &amp; Calculation Summary'!C146</f>
        <v>225985.19084085617</v>
      </c>
      <c r="E274" s="101">
        <f>E241*'Input &amp; Calculation Summary'!D146</f>
        <v>539734.9171146726</v>
      </c>
      <c r="F274" s="101">
        <f>F241*'Input &amp; Calculation Summary'!E146</f>
        <v>349495.67950600694</v>
      </c>
      <c r="G274" s="101">
        <f>G241*'Input &amp; Calculation Summary'!F146</f>
        <v>148992.30493106128</v>
      </c>
      <c r="H274" s="101">
        <f>H241*'Input &amp; Calculation Summary'!G146</f>
        <v>148992.30493106128</v>
      </c>
    </row>
    <row r="275" spans="1:8" ht="14" x14ac:dyDescent="0.3">
      <c r="A275" s="157" t="s">
        <v>594</v>
      </c>
      <c r="B275" s="90" t="s">
        <v>303</v>
      </c>
      <c r="C275" s="90"/>
      <c r="D275" s="101">
        <f>D242*'Input &amp; Calculation Summary'!C147</f>
        <v>496406.05795773235</v>
      </c>
      <c r="E275" s="101">
        <f>E242*'Input &amp; Calculation Summary'!D147</f>
        <v>496406.05795773235</v>
      </c>
      <c r="F275" s="101">
        <f>F242*'Input &amp; Calculation Summary'!E147</f>
        <v>496406.05795773235</v>
      </c>
      <c r="G275" s="101">
        <f>G242*'Input &amp; Calculation Summary'!F147</f>
        <v>496406.05795773235</v>
      </c>
      <c r="H275" s="101">
        <f>H242*'Input &amp; Calculation Summary'!G147</f>
        <v>496406.05795773235</v>
      </c>
    </row>
    <row r="276" spans="1:8" ht="14" x14ac:dyDescent="0.3">
      <c r="A276" s="157" t="s">
        <v>597</v>
      </c>
      <c r="B276" s="90" t="s">
        <v>303</v>
      </c>
      <c r="C276" s="90"/>
      <c r="D276" s="101">
        <f>D243*'Input &amp; Calculation Summary'!C148</f>
        <v>826741.68089072173</v>
      </c>
      <c r="E276" s="101">
        <f>E243*'Input &amp; Calculation Summary'!D148</f>
        <v>826741.68089072173</v>
      </c>
      <c r="F276" s="101">
        <f>F243*'Input &amp; Calculation Summary'!E148</f>
        <v>744545.17293327849</v>
      </c>
      <c r="G276" s="101">
        <f>G243*'Input &amp; Calculation Summary'!F148</f>
        <v>674341.64133476291</v>
      </c>
      <c r="H276" s="101">
        <f>H243*'Input &amp; Calculation Summary'!G148</f>
        <v>674341.64133476291</v>
      </c>
    </row>
    <row r="277" spans="1:8" ht="14" x14ac:dyDescent="0.3">
      <c r="A277" s="157" t="s">
        <v>598</v>
      </c>
      <c r="B277" s="90" t="s">
        <v>303</v>
      </c>
      <c r="C277" s="90"/>
      <c r="D277" s="162">
        <f>D244*'Input &amp; Calculation Summary'!C148</f>
        <v>1225326.7612273262</v>
      </c>
      <c r="E277" s="162">
        <f>E244*'Input &amp; Calculation Summary'!D148</f>
        <v>1874004.9202470747</v>
      </c>
      <c r="F277" s="162">
        <f>F244*'Input &amp; Calculation Summary'!E148</f>
        <v>1515874.9303668882</v>
      </c>
      <c r="G277" s="162">
        <f>G244*'Input &amp; Calculation Summary'!F148</f>
        <v>999912.716771718</v>
      </c>
      <c r="H277" s="162">
        <f>H244*'Input &amp; Calculation Summary'!G148</f>
        <v>999912.716771718</v>
      </c>
    </row>
    <row r="278" spans="1:8" ht="14" x14ac:dyDescent="0.3">
      <c r="A278" s="159" t="s">
        <v>599</v>
      </c>
      <c r="B278" s="90" t="s">
        <v>303</v>
      </c>
      <c r="C278" s="90"/>
      <c r="D278" s="101">
        <f>SUM(D270:D277)</f>
        <v>7950126.8811689112</v>
      </c>
      <c r="E278" s="101">
        <f>SUM(E270:E277)</f>
        <v>11723952.187686665</v>
      </c>
      <c r="F278" s="101">
        <f>SUM(F270:F277)</f>
        <v>9641342.9863633346</v>
      </c>
      <c r="G278" s="101">
        <f>SUM(G270:G277)</f>
        <v>6614642.1771043511</v>
      </c>
      <c r="H278" s="101">
        <f>SUM(H270:H277)</f>
        <v>6614642.1771043511</v>
      </c>
    </row>
    <row r="279" spans="1:8" x14ac:dyDescent="0.3">
      <c r="B279" s="90"/>
      <c r="C279" s="90"/>
      <c r="D279" s="90"/>
      <c r="E279" s="90"/>
      <c r="F279" s="90"/>
      <c r="G279" s="90"/>
      <c r="H279" s="90"/>
    </row>
    <row r="280" spans="1:8" ht="15.5" x14ac:dyDescent="0.35">
      <c r="A280" s="110" t="s">
        <v>378</v>
      </c>
      <c r="B280" s="90" t="s">
        <v>303</v>
      </c>
      <c r="C280" s="90"/>
      <c r="D280" s="101">
        <f>D245+D256+D267+D278</f>
        <v>55650888.168182373</v>
      </c>
      <c r="E280" s="101">
        <f>E245+E256+E267+E278</f>
        <v>82067665.313806638</v>
      </c>
      <c r="F280" s="101">
        <f>F245+F256+F267+F278</f>
        <v>67489400.904543355</v>
      </c>
      <c r="G280" s="101">
        <f>G245+G256+G267+G278</f>
        <v>46302495.239730462</v>
      </c>
      <c r="H280" s="101">
        <f>H245+H256+H267+H278</f>
        <v>46302495.239730462</v>
      </c>
    </row>
    <row r="281" spans="1:8" ht="13.5" x14ac:dyDescent="0.35">
      <c r="A281" s="204" t="s">
        <v>380</v>
      </c>
      <c r="B281" s="90" t="s">
        <v>303</v>
      </c>
      <c r="C281" s="90"/>
      <c r="D281" s="101">
        <f>D280*(1+'Input &amp; Calculation Summary'!C$63)</f>
        <v>57320414.813227847</v>
      </c>
      <c r="E281" s="101">
        <f>E280*(1+'Input &amp; Calculation Summary'!D$63)</f>
        <v>84529695.273220837</v>
      </c>
      <c r="F281" s="101">
        <f>F280*(1+'Input &amp; Calculation Summary'!E$63)</f>
        <v>69514082.931679651</v>
      </c>
      <c r="G281" s="101">
        <f>G280*(1+'Input &amp; Calculation Summary'!F$63)</f>
        <v>47691570.096922375</v>
      </c>
      <c r="H281" s="101">
        <f>H280*(1+'Input &amp; Calculation Summary'!G$63)</f>
        <v>47691570.096922375</v>
      </c>
    </row>
    <row r="282" spans="1:8" ht="15.5" x14ac:dyDescent="0.35">
      <c r="A282" s="110" t="s">
        <v>381</v>
      </c>
      <c r="B282" s="90" t="s">
        <v>303</v>
      </c>
      <c r="C282" s="90"/>
      <c r="D282" s="101">
        <f>D281*VLOOKUP(Constants_CC!E528,Constants_CC!$C$557:$E$562,3)</f>
        <v>57320414.813227899</v>
      </c>
      <c r="E282" s="101">
        <f>E281*VLOOKUP(Constants_CC!F528,Constants_CC!$C$557:$E$562,3)</f>
        <v>84529695.273220912</v>
      </c>
      <c r="F282" s="101">
        <f>F281*VLOOKUP(Constants_CC!G528,Constants_CC!$C$557:$E$562,3)</f>
        <v>69514082.931679711</v>
      </c>
      <c r="G282" s="101">
        <f>G281*VLOOKUP(Constants_CC!H528,Constants_CC!$C$557:$E$562,3)</f>
        <v>47691570.09692242</v>
      </c>
      <c r="H282" s="101">
        <f>H281*VLOOKUP(Constants_CC!I528,Constants_CC!$C$557:$E$562,3)</f>
        <v>47691570.09692242</v>
      </c>
    </row>
    <row r="283" spans="1:8" x14ac:dyDescent="0.3">
      <c r="B283" s="90"/>
      <c r="C283" s="90"/>
      <c r="D283" s="101"/>
      <c r="E283" s="101"/>
      <c r="F283" s="101"/>
      <c r="G283" s="101"/>
      <c r="H283" s="101"/>
    </row>
    <row r="284" spans="1:8" ht="15.5" x14ac:dyDescent="0.35">
      <c r="A284" s="110" t="s">
        <v>383</v>
      </c>
      <c r="B284" s="90" t="s">
        <v>303</v>
      </c>
      <c r="C284" s="90"/>
      <c r="D284" s="101">
        <f>D281*VLOOKUP(Constants_CC!E528,Constants_CC!$C$557:$E$562,2)</f>
        <v>0</v>
      </c>
      <c r="E284" s="101">
        <f>E281*VLOOKUP(Constants_CC!F528,Constants_CC!$C$557:$E$562,2)</f>
        <v>0</v>
      </c>
      <c r="F284" s="101">
        <f>F281*VLOOKUP(Constants_CC!G528,Constants_CC!$C$557:$E$562,2)</f>
        <v>0</v>
      </c>
      <c r="G284" s="101">
        <f>G281*VLOOKUP(Constants_CC!H528,Constants_CC!$C$557:$E$562,2)</f>
        <v>0</v>
      </c>
      <c r="H284" s="101">
        <f>H281*VLOOKUP(Constants_CC!I528,Constants_CC!$C$557:$E$562,2)</f>
        <v>0</v>
      </c>
    </row>
    <row r="285" spans="1:8" x14ac:dyDescent="0.3">
      <c r="B285" s="90"/>
      <c r="C285" s="90"/>
      <c r="D285" s="90"/>
      <c r="E285" s="90"/>
      <c r="F285" s="90"/>
      <c r="G285" s="90"/>
      <c r="H285" s="90"/>
    </row>
    <row r="286" spans="1:8" ht="15.5" x14ac:dyDescent="0.35">
      <c r="A286" s="110" t="s">
        <v>385</v>
      </c>
      <c r="B286" s="90" t="s">
        <v>303</v>
      </c>
      <c r="C286" s="90"/>
      <c r="D286" s="101">
        <f>D282+D284</f>
        <v>57320414.813227899</v>
      </c>
      <c r="E286" s="101">
        <f>E282+E284</f>
        <v>84529695.273220912</v>
      </c>
      <c r="F286" s="101">
        <f>F282+F284</f>
        <v>69514082.931679711</v>
      </c>
      <c r="G286" s="101">
        <f>G282+G284</f>
        <v>47691570.09692242</v>
      </c>
      <c r="H286" s="101">
        <f>H282+H284</f>
        <v>47691570.09692242</v>
      </c>
    </row>
    <row r="287" spans="1:8" x14ac:dyDescent="0.3">
      <c r="B287" s="90"/>
      <c r="C287" s="90"/>
      <c r="D287" s="90"/>
      <c r="E287" s="90"/>
      <c r="F287" s="90"/>
      <c r="G287" s="90"/>
      <c r="H287" s="90"/>
    </row>
    <row r="288" spans="1:8" ht="14" x14ac:dyDescent="0.3">
      <c r="A288" s="197" t="s">
        <v>387</v>
      </c>
      <c r="B288" s="90" t="s">
        <v>303</v>
      </c>
      <c r="C288" s="90"/>
      <c r="D288" s="101">
        <f>(D339+D348/'Input &amp; Calculation Summary'!C27)/12+0.02*D286</f>
        <v>1528792.4976254934</v>
      </c>
      <c r="E288" s="101">
        <f>(E339+E348/'Input &amp; Calculation Summary'!D27)/12+0.02*E286</f>
        <v>2314133.1928111431</v>
      </c>
      <c r="F288" s="101">
        <f>(F339+F348/'Input &amp; Calculation Summary'!E27)/12+0.02*F286</f>
        <v>1807860.9837396515</v>
      </c>
      <c r="G288" s="101">
        <f>(G339+G348/'Input &amp; Calculation Summary'!F27)/12+0.02*G286</f>
        <v>1161738.4243403375</v>
      </c>
      <c r="H288" s="101">
        <f>(H339+H348/'Input &amp; Calculation Summary'!G27)/12+0.02*H286</f>
        <v>1161738.4243403375</v>
      </c>
    </row>
    <row r="289" spans="1:8" ht="14" x14ac:dyDescent="0.3">
      <c r="A289" s="197" t="s">
        <v>454</v>
      </c>
      <c r="B289" s="90" t="s">
        <v>303</v>
      </c>
      <c r="C289" s="90"/>
      <c r="D289" s="101">
        <f>(D324/2000)*24*'Input &amp; Calculation Summary'!C134*'Input &amp; Calculation Summary'!C135</f>
        <v>8102.8577566298782</v>
      </c>
      <c r="E289" s="101">
        <f>(E324/2000)*24*'Input &amp; Calculation Summary'!D134*'Input &amp; Calculation Summary'!D135</f>
        <v>58828.939396625836</v>
      </c>
      <c r="F289" s="101">
        <f>(F324/2000)*24*'Input &amp; Calculation Summary'!E134*'Input &amp; Calculation Summary'!E135</f>
        <v>30983.241415556266</v>
      </c>
      <c r="G289" s="101">
        <f>(G324/2000)*24*'Input &amp; Calculation Summary'!F134*'Input &amp; Calculation Summary'!F135</f>
        <v>8628.2444448384576</v>
      </c>
      <c r="H289" s="101">
        <f>(H324/2000)*24*'Input &amp; Calculation Summary'!G134*'Input &amp; Calculation Summary'!G135</f>
        <v>8628.2444448384576</v>
      </c>
    </row>
    <row r="290" spans="1:8" x14ac:dyDescent="0.3">
      <c r="B290" s="90"/>
      <c r="C290" s="90"/>
      <c r="D290" s="90"/>
      <c r="E290" s="90"/>
      <c r="F290" s="90"/>
      <c r="G290" s="90"/>
      <c r="H290" s="90"/>
    </row>
    <row r="291" spans="1:8" ht="15.5" x14ac:dyDescent="0.35">
      <c r="A291" s="110" t="s">
        <v>302</v>
      </c>
      <c r="B291" s="90" t="s">
        <v>303</v>
      </c>
      <c r="C291" s="90"/>
      <c r="D291" s="202">
        <f>D286+D288+D289</f>
        <v>58857310.168610021</v>
      </c>
      <c r="E291" s="202">
        <f>E286+E288+E289</f>
        <v>86902657.405428678</v>
      </c>
      <c r="F291" s="202">
        <f>F286+F288+F289</f>
        <v>71352927.156834915</v>
      </c>
      <c r="G291" s="202">
        <f>G286+G288+G289</f>
        <v>48861936.765707597</v>
      </c>
      <c r="H291" s="202">
        <f>H286+H288+H289</f>
        <v>48861936.765707597</v>
      </c>
    </row>
    <row r="292" spans="1:8" ht="14" x14ac:dyDescent="0.3">
      <c r="A292" s="199"/>
      <c r="B292" s="200" t="s">
        <v>304</v>
      </c>
      <c r="C292" s="200"/>
      <c r="D292" s="201">
        <f>D291/('Input &amp; Calculation Summary'!C25*1000)</f>
        <v>392.38206779073346</v>
      </c>
      <c r="E292" s="201">
        <f>E291/('Input &amp; Calculation Summary'!D25*1000)</f>
        <v>579.3510493695245</v>
      </c>
      <c r="F292" s="201">
        <f>F291/('Input &amp; Calculation Summary'!E25*1000)</f>
        <v>903.2016095801888</v>
      </c>
      <c r="G292" s="201">
        <f>G291/('Input &amp; Calculation Summary'!F25*1000)</f>
        <v>2220.9971257139819</v>
      </c>
      <c r="H292" s="201">
        <f>H291/('Input &amp; Calculation Summary'!G25*1000)</f>
        <v>2220.9971257139819</v>
      </c>
    </row>
    <row r="293" spans="1:8" ht="14" x14ac:dyDescent="0.3">
      <c r="A293" s="199"/>
      <c r="B293" s="200"/>
      <c r="C293" s="200"/>
      <c r="D293" s="201"/>
      <c r="E293" s="201"/>
      <c r="F293" s="201"/>
      <c r="G293" s="201"/>
      <c r="H293" s="201"/>
    </row>
    <row r="294" spans="1:8" x14ac:dyDescent="0.3">
      <c r="A294" s="111"/>
      <c r="B294" s="111"/>
      <c r="C294" s="112"/>
      <c r="D294" s="112"/>
      <c r="E294" s="112"/>
      <c r="F294" s="112"/>
      <c r="G294" s="112"/>
      <c r="H294" s="112"/>
    </row>
    <row r="295" spans="1:8" ht="20.5" thickBot="1" x14ac:dyDescent="0.45">
      <c r="A295" s="109" t="s">
        <v>605</v>
      </c>
      <c r="C295" s="90"/>
      <c r="D295" s="155" t="s">
        <v>320</v>
      </c>
      <c r="E295" s="155" t="s">
        <v>518</v>
      </c>
      <c r="F295" s="155" t="s">
        <v>519</v>
      </c>
      <c r="G295" s="155" t="s">
        <v>520</v>
      </c>
      <c r="H295" s="155" t="s">
        <v>521</v>
      </c>
    </row>
    <row r="296" spans="1:8" ht="13.5" x14ac:dyDescent="0.35">
      <c r="A296" s="158"/>
      <c r="B296" s="90"/>
      <c r="C296" s="90"/>
      <c r="D296" s="90"/>
      <c r="E296" s="90"/>
      <c r="F296" s="90"/>
      <c r="G296" s="90"/>
    </row>
    <row r="297" spans="1:8" ht="14" x14ac:dyDescent="0.3">
      <c r="A297" s="199" t="s">
        <v>606</v>
      </c>
      <c r="B297" s="90"/>
      <c r="C297" s="90"/>
      <c r="D297" s="101"/>
      <c r="E297" s="101"/>
      <c r="F297" s="101"/>
      <c r="G297" s="101"/>
      <c r="H297" s="101"/>
    </row>
    <row r="298" spans="1:8" ht="14" x14ac:dyDescent="0.3">
      <c r="A298" s="156" t="s">
        <v>577</v>
      </c>
      <c r="B298" s="90" t="s">
        <v>303</v>
      </c>
      <c r="C298" s="90"/>
      <c r="D298" s="101">
        <f>(1+'Input &amp; Calculation Summary'!C150+'Input &amp; Calculation Summary'!C156)*D225+('Input &amp; Calculation Summary'!C144*(1+'Input &amp; Calculation Summary'!C150+'Input &amp; Calculation Summary'!C156)*D225)</f>
        <v>8306542.1068804869</v>
      </c>
      <c r="E298" s="101">
        <f>(1+'Input &amp; Calculation Summary'!D150+'Input &amp; Calculation Summary'!D156)*E225+('Input &amp; Calculation Summary'!D144*(1+'Input &amp; Calculation Summary'!D150+'Input &amp; Calculation Summary'!D156)*E225)</f>
        <v>8845420.5812030882</v>
      </c>
      <c r="F298" s="101">
        <f>(1+'Input &amp; Calculation Summary'!E150+'Input &amp; Calculation Summary'!E156)*F225+('Input &amp; Calculation Summary'!E144*(1+'Input &amp; Calculation Summary'!E150+'Input &amp; Calculation Summary'!E156)*F225)</f>
        <v>8571694.6004880033</v>
      </c>
      <c r="G298" s="101">
        <f>(1+'Input &amp; Calculation Summary'!F150+'Input &amp; Calculation Summary'!F156)*G225+('Input &amp; Calculation Summary'!F144*(1+'Input &amp; Calculation Summary'!F150+'Input &amp; Calculation Summary'!F156)*G225)</f>
        <v>8313925.8084454183</v>
      </c>
      <c r="H298" s="101">
        <f>(1+'Input &amp; Calculation Summary'!G150+'Input &amp; Calculation Summary'!G156)*H225+('Input &amp; Calculation Summary'!G144*(1+'Input &amp; Calculation Summary'!G150+'Input &amp; Calculation Summary'!G156)*H225)</f>
        <v>8313925.8084454183</v>
      </c>
    </row>
    <row r="299" spans="1:8" ht="14" x14ac:dyDescent="0.3">
      <c r="A299" s="157" t="s">
        <v>583</v>
      </c>
      <c r="B299" s="90" t="s">
        <v>303</v>
      </c>
      <c r="C299" s="90"/>
      <c r="D299" s="101">
        <f>(1+'Input &amp; Calculation Summary'!C151+'Input &amp; Calculation Summary'!C157)*D226+('Input &amp; Calculation Summary'!C145*(1+'Input &amp; Calculation Summary'!C151+'Input &amp; Calculation Summary'!C157)*D226)</f>
        <v>2860168.8598823277</v>
      </c>
      <c r="E299" s="101">
        <f>(1+'Input &amp; Calculation Summary'!D151+'Input &amp; Calculation Summary'!D157)*E226+('Input &amp; Calculation Summary'!D145*(1+'Input &amp; Calculation Summary'!D151+'Input &amp; Calculation Summary'!D157)*E226)</f>
        <v>2860168.8598823277</v>
      </c>
      <c r="F299" s="101">
        <f>(1+'Input &amp; Calculation Summary'!E151+'Input &amp; Calculation Summary'!E157)*F226+('Input &amp; Calculation Summary'!E145*(1+'Input &amp; Calculation Summary'!E151+'Input &amp; Calculation Summary'!E157)*F226)</f>
        <v>2860168.8598823277</v>
      </c>
      <c r="G299" s="101">
        <f>(1+'Input &amp; Calculation Summary'!F151+'Input &amp; Calculation Summary'!F157)*G226+('Input &amp; Calculation Summary'!F145*(1+'Input &amp; Calculation Summary'!F151+'Input &amp; Calculation Summary'!F157)*G226)</f>
        <v>2860168.8598823277</v>
      </c>
      <c r="H299" s="101">
        <f>(1+'Input &amp; Calculation Summary'!G151+'Input &amp; Calculation Summary'!G157)*H226+('Input &amp; Calculation Summary'!G145*(1+'Input &amp; Calculation Summary'!G151+'Input &amp; Calculation Summary'!G157)*H226)</f>
        <v>2860168.8598823277</v>
      </c>
    </row>
    <row r="300" spans="1:8" ht="14" x14ac:dyDescent="0.3">
      <c r="A300" s="157" t="s">
        <v>670</v>
      </c>
      <c r="B300" s="90" t="s">
        <v>303</v>
      </c>
      <c r="C300" s="90"/>
      <c r="D300" s="101">
        <f>(1+'Input &amp; Calculation Summary'!C151+'Input &amp; Calculation Summary'!C157)*D227+('Input &amp; Calculation Summary'!C145*(1+'Input &amp; Calculation Summary'!C151+'Input &amp; Calculation Summary'!C157)*D227)</f>
        <v>9755353.657017028</v>
      </c>
      <c r="E300" s="101">
        <f>(1+'Input &amp; Calculation Summary'!D151+'Input &amp; Calculation Summary'!D157)*E227+('Input &amp; Calculation Summary'!D145*(1+'Input &amp; Calculation Summary'!D151+'Input &amp; Calculation Summary'!D157)*E227)</f>
        <v>19416710.486516479</v>
      </c>
      <c r="F300" s="101">
        <f>(1+'Input &amp; Calculation Summary'!E151+'Input &amp; Calculation Summary'!E157)*F227+('Input &amp; Calculation Summary'!E145*(1+'Input &amp; Calculation Summary'!E151+'Input &amp; Calculation Summary'!E157)*F227)</f>
        <v>14599330.842686862</v>
      </c>
      <c r="G300" s="101">
        <f>(1+'Input &amp; Calculation Summary'!F151+'Input &amp; Calculation Summary'!F157)*G227+('Input &amp; Calculation Summary'!F145*(1+'Input &amp; Calculation Summary'!F151+'Input &amp; Calculation Summary'!F157)*G227)</f>
        <v>6472069.0491821999</v>
      </c>
      <c r="H300" s="101">
        <f>(1+'Input &amp; Calculation Summary'!G151+'Input &amp; Calculation Summary'!G157)*H227+('Input &amp; Calculation Summary'!G145*(1+'Input &amp; Calculation Summary'!G151+'Input &amp; Calculation Summary'!G157)*H227)</f>
        <v>6472069.0491821999</v>
      </c>
    </row>
    <row r="301" spans="1:8" ht="14" x14ac:dyDescent="0.3">
      <c r="A301" s="157" t="s">
        <v>590</v>
      </c>
      <c r="B301" s="90" t="s">
        <v>303</v>
      </c>
      <c r="C301" s="90"/>
      <c r="D301" s="101">
        <f>(1+'Input &amp; Calculation Summary'!C152+'Input &amp; Calculation Summary'!C158)*D228+('Input &amp; Calculation Summary'!C146*(1+'Input &amp; Calculation Summary'!C152+'Input &amp; Calculation Summary'!C158)*D228)</f>
        <v>2368437.7323553897</v>
      </c>
      <c r="E301" s="101">
        <f>(1+'Input &amp; Calculation Summary'!D152+'Input &amp; Calculation Summary'!D158)*E228+('Input &amp; Calculation Summary'!D146*(1+'Input &amp; Calculation Summary'!D152+'Input &amp; Calculation Summary'!D158)*E228)</f>
        <v>4819490.824042188</v>
      </c>
      <c r="F301" s="101">
        <f>(1+'Input &amp; Calculation Summary'!E152+'Input &amp; Calculation Summary'!E158)*F228+('Input &amp; Calculation Summary'!E146*(1+'Input &amp; Calculation Summary'!E152+'Input &amp; Calculation Summary'!E158)*F228)</f>
        <v>3376400.8521402436</v>
      </c>
      <c r="G301" s="101">
        <f>(1+'Input &amp; Calculation Summary'!F152+'Input &amp; Calculation Summary'!F158)*G228+('Input &amp; Calculation Summary'!F146*(1+'Input &amp; Calculation Summary'!F152+'Input &amp; Calculation Summary'!F158)*G228)</f>
        <v>1681288.8349809006</v>
      </c>
      <c r="H301" s="101">
        <f>(1+'Input &amp; Calculation Summary'!G152+'Input &amp; Calculation Summary'!G158)*H228+('Input &amp; Calculation Summary'!G146*(1+'Input &amp; Calculation Summary'!G152+'Input &amp; Calculation Summary'!G158)*H228)</f>
        <v>1681288.8349809006</v>
      </c>
    </row>
    <row r="302" spans="1:8" ht="14" x14ac:dyDescent="0.3">
      <c r="A302" s="157" t="s">
        <v>592</v>
      </c>
      <c r="B302" s="90" t="s">
        <v>303</v>
      </c>
      <c r="C302" s="90"/>
      <c r="D302" s="101">
        <f>(1+'Input &amp; Calculation Summary'!C152+'Input &amp; Calculation Summary'!C158)*D229+('Input &amp; Calculation Summary'!C146*(1+'Input &amp; Calculation Summary'!C152+'Input &amp; Calculation Summary'!C158)*D229)</f>
        <v>1016933.3587838529</v>
      </c>
      <c r="E302" s="101">
        <f>(1+'Input &amp; Calculation Summary'!D152+'Input &amp; Calculation Summary'!D158)*E229+('Input &amp; Calculation Summary'!D146*(1+'Input &amp; Calculation Summary'!D152+'Input &amp; Calculation Summary'!D158)*E229)</f>
        <v>2428807.127016027</v>
      </c>
      <c r="F302" s="101">
        <f>(1+'Input &amp; Calculation Summary'!E152+'Input &amp; Calculation Summary'!E158)*F229+('Input &amp; Calculation Summary'!E146*(1+'Input &amp; Calculation Summary'!E152+'Input &amp; Calculation Summary'!E158)*F229)</f>
        <v>1572730.5577770313</v>
      </c>
      <c r="G302" s="101">
        <f>(1+'Input &amp; Calculation Summary'!F152+'Input &amp; Calculation Summary'!F158)*G229+('Input &amp; Calculation Summary'!F146*(1+'Input &amp; Calculation Summary'!F152+'Input &amp; Calculation Summary'!F158)*G229)</f>
        <v>670465.37218977581</v>
      </c>
      <c r="H302" s="101">
        <f>(1+'Input &amp; Calculation Summary'!G152+'Input &amp; Calculation Summary'!G158)*H229+('Input &amp; Calculation Summary'!G146*(1+'Input &amp; Calculation Summary'!G152+'Input &amp; Calculation Summary'!G158)*H229)</f>
        <v>670465.37218977581</v>
      </c>
    </row>
    <row r="303" spans="1:8" ht="14" x14ac:dyDescent="0.3">
      <c r="A303" s="157" t="s">
        <v>594</v>
      </c>
      <c r="B303" s="90" t="s">
        <v>303</v>
      </c>
      <c r="C303" s="90"/>
      <c r="D303" s="101">
        <f>(1+'Input &amp; Calculation Summary'!C153+'Input &amp; Calculation Summary'!C159)*D230+('Input &amp; Calculation Summary'!C147*(1+'Input &amp; Calculation Summary'!C153+'Input &amp; Calculation Summary'!C159)*D230)</f>
        <v>2233827.2608097959</v>
      </c>
      <c r="E303" s="101">
        <f>(1+'Input &amp; Calculation Summary'!D153+'Input &amp; Calculation Summary'!D159)*E230+('Input &amp; Calculation Summary'!D147*(1+'Input &amp; Calculation Summary'!D153+'Input &amp; Calculation Summary'!D159)*E230)</f>
        <v>2233827.2608097959</v>
      </c>
      <c r="F303" s="101">
        <f>(1+'Input &amp; Calculation Summary'!E153+'Input &amp; Calculation Summary'!E159)*F230+('Input &amp; Calculation Summary'!E147*(1+'Input &amp; Calculation Summary'!E153+'Input &amp; Calculation Summary'!E159)*F230)</f>
        <v>2233827.2608097959</v>
      </c>
      <c r="G303" s="101">
        <f>(1+'Input &amp; Calculation Summary'!F153+'Input &amp; Calculation Summary'!F159)*G230+('Input &amp; Calculation Summary'!F147*(1+'Input &amp; Calculation Summary'!F153+'Input &amp; Calculation Summary'!F159)*G230)</f>
        <v>2233827.2608097959</v>
      </c>
      <c r="H303" s="101">
        <f>(1+'Input &amp; Calculation Summary'!G153+'Input &amp; Calculation Summary'!G159)*H230+('Input &amp; Calculation Summary'!G147*(1+'Input &amp; Calculation Summary'!G153+'Input &amp; Calculation Summary'!G159)*H230)</f>
        <v>2233827.2608097959</v>
      </c>
    </row>
    <row r="304" spans="1:8" ht="14" x14ac:dyDescent="0.3">
      <c r="A304" s="157" t="s">
        <v>597</v>
      </c>
      <c r="B304" s="90" t="s">
        <v>303</v>
      </c>
      <c r="C304" s="90"/>
      <c r="D304" s="101">
        <f>(1+'Input &amp; Calculation Summary'!C154+'Input &amp; Calculation Summary'!C160)*D231+('Input &amp; Calculation Summary'!C148*(1+'Input &amp; Calculation Summary'!C154+'Input &amp; Calculation Summary'!C160)*D231)</f>
        <v>3720337.564008248</v>
      </c>
      <c r="E304" s="101">
        <f>(1+'Input &amp; Calculation Summary'!D154+'Input &amp; Calculation Summary'!D160)*E231+('Input &amp; Calculation Summary'!D148*(1+'Input &amp; Calculation Summary'!D154+'Input &amp; Calculation Summary'!D160)*E231)</f>
        <v>3720337.564008248</v>
      </c>
      <c r="F304" s="101">
        <f>(1+'Input &amp; Calculation Summary'!E154+'Input &amp; Calculation Summary'!E160)*F231+('Input &amp; Calculation Summary'!E148*(1+'Input &amp; Calculation Summary'!E154+'Input &amp; Calculation Summary'!E160)*F231)</f>
        <v>3350453.2781997533</v>
      </c>
      <c r="G304" s="101">
        <f>(1+'Input &amp; Calculation Summary'!F154+'Input &amp; Calculation Summary'!F160)*G231+('Input &amp; Calculation Summary'!F148*(1+'Input &amp; Calculation Summary'!F154+'Input &amp; Calculation Summary'!F160)*G231)</f>
        <v>3034537.3860064331</v>
      </c>
      <c r="H304" s="101">
        <f>(1+'Input &amp; Calculation Summary'!G154+'Input &amp; Calculation Summary'!G160)*H231+('Input &amp; Calculation Summary'!G148*(1+'Input &amp; Calculation Summary'!G154+'Input &amp; Calculation Summary'!G160)*H231)</f>
        <v>3034537.3860064331</v>
      </c>
    </row>
    <row r="305" spans="1:8" ht="14" x14ac:dyDescent="0.3">
      <c r="A305" s="157" t="s">
        <v>598</v>
      </c>
      <c r="B305" s="90" t="s">
        <v>303</v>
      </c>
      <c r="C305" s="90"/>
      <c r="D305" s="162">
        <f>(1+'Input &amp; Calculation Summary'!C154+'Input &amp; Calculation Summary'!C160)*D232+('Input &amp; Calculation Summary'!C148*(1+'Input &amp; Calculation Summary'!C154+'Input &amp; Calculation Summary'!C160)*D232)</f>
        <v>5513970.4255229682</v>
      </c>
      <c r="E305" s="162">
        <f>(1+'Input &amp; Calculation Summary'!D154+'Input &amp; Calculation Summary'!D160)*E232+('Input &amp; Calculation Summary'!D148*(1+'Input &amp; Calculation Summary'!D154+'Input &amp; Calculation Summary'!D160)*E232)</f>
        <v>8433022.1411118358</v>
      </c>
      <c r="F305" s="162">
        <f>(1+'Input &amp; Calculation Summary'!E154+'Input &amp; Calculation Summary'!E160)*F232+('Input &amp; Calculation Summary'!E148*(1+'Input &amp; Calculation Summary'!E154+'Input &amp; Calculation Summary'!E160)*F232)</f>
        <v>6821437.186650998</v>
      </c>
      <c r="G305" s="162">
        <f>(1+'Input &amp; Calculation Summary'!F154+'Input &amp; Calculation Summary'!F160)*G232+('Input &amp; Calculation Summary'!F148*(1+'Input &amp; Calculation Summary'!F154+'Input &amp; Calculation Summary'!F160)*G232)</f>
        <v>4499607.2254727315</v>
      </c>
      <c r="H305" s="162">
        <f>(1+'Input &amp; Calculation Summary'!G154+'Input &amp; Calculation Summary'!G160)*H232+('Input &amp; Calculation Summary'!G148*(1+'Input &amp; Calculation Summary'!G154+'Input &amp; Calculation Summary'!G160)*H232)</f>
        <v>4499607.2254727315</v>
      </c>
    </row>
    <row r="306" spans="1:8" ht="14" x14ac:dyDescent="0.3">
      <c r="A306" s="159" t="s">
        <v>599</v>
      </c>
      <c r="B306" s="90" t="s">
        <v>303</v>
      </c>
      <c r="C306" s="90"/>
      <c r="D306" s="101">
        <f>SUM(D298:D305)</f>
        <v>35775570.965260088</v>
      </c>
      <c r="E306" s="101">
        <f>SUM(E298:E305)</f>
        <v>52757784.844589993</v>
      </c>
      <c r="F306" s="101">
        <f>SUM(F298:F305)</f>
        <v>43386043.438635021</v>
      </c>
      <c r="G306" s="101">
        <f>SUM(G298:G305)</f>
        <v>29765889.796969578</v>
      </c>
      <c r="H306" s="101">
        <f>SUM(H298:H305)</f>
        <v>29765889.796969578</v>
      </c>
    </row>
    <row r="307" spans="1:8" ht="14" x14ac:dyDescent="0.3">
      <c r="A307" s="159"/>
      <c r="B307" s="90"/>
      <c r="C307" s="90"/>
      <c r="D307" s="101"/>
      <c r="E307" s="101"/>
      <c r="F307" s="101"/>
      <c r="G307" s="101"/>
      <c r="H307" s="101"/>
    </row>
    <row r="308" spans="1:8" ht="14" x14ac:dyDescent="0.3">
      <c r="A308" s="203" t="s">
        <v>607</v>
      </c>
      <c r="B308" s="90"/>
      <c r="C308" s="90"/>
      <c r="D308" s="101"/>
      <c r="E308" s="101"/>
      <c r="F308" s="101"/>
      <c r="G308" s="101"/>
      <c r="H308" s="101"/>
    </row>
    <row r="309" spans="1:8" ht="14" x14ac:dyDescent="0.3">
      <c r="A309" s="156" t="s">
        <v>577</v>
      </c>
      <c r="B309" s="90" t="s">
        <v>303</v>
      </c>
      <c r="C309" s="90"/>
      <c r="D309" s="101">
        <f>D298*'Input &amp; Calculation Summary'!C138</f>
        <v>415327.10534402437</v>
      </c>
      <c r="E309" s="101">
        <f>E298*'Input &amp; Calculation Summary'!D138</f>
        <v>442271.02906015445</v>
      </c>
      <c r="F309" s="101">
        <f>F298*'Input &amp; Calculation Summary'!E138</f>
        <v>428584.73002440017</v>
      </c>
      <c r="G309" s="101">
        <f>G298*'Input &amp; Calculation Summary'!F138</f>
        <v>415696.29042227095</v>
      </c>
      <c r="H309" s="101">
        <f>H298*'Input &amp; Calculation Summary'!G138</f>
        <v>415696.29042227095</v>
      </c>
    </row>
    <row r="310" spans="1:8" ht="14" x14ac:dyDescent="0.3">
      <c r="A310" s="157" t="s">
        <v>583</v>
      </c>
      <c r="B310" s="90" t="s">
        <v>303</v>
      </c>
      <c r="C310" s="90"/>
      <c r="D310" s="101">
        <f>D299*'Input &amp; Calculation Summary'!C139</f>
        <v>143008.4429941164</v>
      </c>
      <c r="E310" s="101">
        <f>E299*'Input &amp; Calculation Summary'!D139</f>
        <v>143008.4429941164</v>
      </c>
      <c r="F310" s="101">
        <f>F299*'Input &amp; Calculation Summary'!E139</f>
        <v>143008.4429941164</v>
      </c>
      <c r="G310" s="101">
        <f>G299*'Input &amp; Calculation Summary'!F139</f>
        <v>143008.4429941164</v>
      </c>
      <c r="H310" s="101">
        <f>H299*'Input &amp; Calculation Summary'!G139</f>
        <v>143008.4429941164</v>
      </c>
    </row>
    <row r="311" spans="1:8" ht="14" x14ac:dyDescent="0.3">
      <c r="A311" s="157" t="s">
        <v>670</v>
      </c>
      <c r="B311" s="90" t="s">
        <v>303</v>
      </c>
      <c r="C311" s="90"/>
      <c r="D311" s="101">
        <f>D300*'Input &amp; Calculation Summary'!C139</f>
        <v>487767.68285085144</v>
      </c>
      <c r="E311" s="101">
        <f>E300*'Input &amp; Calculation Summary'!D139</f>
        <v>970835.52432582399</v>
      </c>
      <c r="F311" s="101">
        <f>F300*'Input &amp; Calculation Summary'!E139</f>
        <v>729966.54213434318</v>
      </c>
      <c r="G311" s="101">
        <f>G300*'Input &amp; Calculation Summary'!F139</f>
        <v>323603.45245911001</v>
      </c>
      <c r="H311" s="101">
        <f>H300*'Input &amp; Calculation Summary'!G139</f>
        <v>323603.45245911001</v>
      </c>
    </row>
    <row r="312" spans="1:8" ht="14" x14ac:dyDescent="0.3">
      <c r="A312" s="157" t="s">
        <v>590</v>
      </c>
      <c r="B312" s="90" t="s">
        <v>303</v>
      </c>
      <c r="C312" s="90"/>
      <c r="D312" s="101">
        <f>D301*'Input &amp; Calculation Summary'!C140</f>
        <v>118421.88661776949</v>
      </c>
      <c r="E312" s="101">
        <f>E301*'Input &amp; Calculation Summary'!D140</f>
        <v>240974.54120210942</v>
      </c>
      <c r="F312" s="101">
        <f>F301*'Input &amp; Calculation Summary'!E140</f>
        <v>168820.0426070122</v>
      </c>
      <c r="G312" s="101">
        <f>G301*'Input &amp; Calculation Summary'!F140</f>
        <v>84064.441749045043</v>
      </c>
      <c r="H312" s="101">
        <f>H301*'Input &amp; Calculation Summary'!G140</f>
        <v>84064.441749045043</v>
      </c>
    </row>
    <row r="313" spans="1:8" ht="14" x14ac:dyDescent="0.3">
      <c r="A313" s="157" t="s">
        <v>592</v>
      </c>
      <c r="B313" s="90" t="s">
        <v>303</v>
      </c>
      <c r="C313" s="90"/>
      <c r="D313" s="101">
        <f>D302*'Input &amp; Calculation Summary'!C140</f>
        <v>50846.667939192645</v>
      </c>
      <c r="E313" s="101">
        <f>E302*'Input &amp; Calculation Summary'!D140</f>
        <v>121440.35635080136</v>
      </c>
      <c r="F313" s="101">
        <f>F302*'Input &amp; Calculation Summary'!E140</f>
        <v>78636.527888851575</v>
      </c>
      <c r="G313" s="101">
        <f>G302*'Input &amp; Calculation Summary'!F140</f>
        <v>33523.26860948879</v>
      </c>
      <c r="H313" s="101">
        <f>H302*'Input &amp; Calculation Summary'!G140</f>
        <v>33523.26860948879</v>
      </c>
    </row>
    <row r="314" spans="1:8" ht="14" x14ac:dyDescent="0.3">
      <c r="A314" s="157" t="s">
        <v>594</v>
      </c>
      <c r="B314" s="90" t="s">
        <v>303</v>
      </c>
      <c r="C314" s="90"/>
      <c r="D314" s="101">
        <f>D303*'Input &amp; Calculation Summary'!C141</f>
        <v>111691.3630404898</v>
      </c>
      <c r="E314" s="101">
        <f>E303*'Input &amp; Calculation Summary'!D141</f>
        <v>111691.3630404898</v>
      </c>
      <c r="F314" s="101">
        <f>F303*'Input &amp; Calculation Summary'!E141</f>
        <v>111691.3630404898</v>
      </c>
      <c r="G314" s="101">
        <f>G303*'Input &amp; Calculation Summary'!F141</f>
        <v>111691.3630404898</v>
      </c>
      <c r="H314" s="101">
        <f>H303*'Input &amp; Calculation Summary'!G141</f>
        <v>111691.3630404898</v>
      </c>
    </row>
    <row r="315" spans="1:8" ht="14" x14ac:dyDescent="0.3">
      <c r="A315" s="157" t="s">
        <v>597</v>
      </c>
      <c r="B315" s="90" t="s">
        <v>303</v>
      </c>
      <c r="C315" s="90"/>
      <c r="D315" s="101">
        <f>D304*'Input &amp; Calculation Summary'!C142</f>
        <v>186016.87820041241</v>
      </c>
      <c r="E315" s="101">
        <f>E304*'Input &amp; Calculation Summary'!D142</f>
        <v>186016.87820041241</v>
      </c>
      <c r="F315" s="101">
        <f>F304*'Input &amp; Calculation Summary'!E142</f>
        <v>167522.66390998766</v>
      </c>
      <c r="G315" s="101">
        <f>G304*'Input &amp; Calculation Summary'!F142</f>
        <v>151726.86930032165</v>
      </c>
      <c r="H315" s="101">
        <f>H304*'Input &amp; Calculation Summary'!G142</f>
        <v>151726.86930032165</v>
      </c>
    </row>
    <row r="316" spans="1:8" ht="14" x14ac:dyDescent="0.3">
      <c r="A316" s="157" t="s">
        <v>598</v>
      </c>
      <c r="B316" s="90" t="s">
        <v>303</v>
      </c>
      <c r="C316" s="90"/>
      <c r="D316" s="162">
        <f>D305*'Input &amp; Calculation Summary'!C142</f>
        <v>275698.52127614844</v>
      </c>
      <c r="E316" s="162">
        <f>E305*'Input &amp; Calculation Summary'!D142</f>
        <v>421651.10705559183</v>
      </c>
      <c r="F316" s="162">
        <f>F305*'Input &amp; Calculation Summary'!E142</f>
        <v>341071.85933254991</v>
      </c>
      <c r="G316" s="162">
        <f>G305*'Input &amp; Calculation Summary'!F142</f>
        <v>224980.36127363658</v>
      </c>
      <c r="H316" s="162">
        <f>H305*'Input &amp; Calculation Summary'!G142</f>
        <v>224980.36127363658</v>
      </c>
    </row>
    <row r="317" spans="1:8" ht="14" x14ac:dyDescent="0.3">
      <c r="A317" s="159" t="s">
        <v>599</v>
      </c>
      <c r="B317" s="90" t="s">
        <v>303</v>
      </c>
      <c r="C317" s="90"/>
      <c r="D317" s="101">
        <f>SUM(D309:D316)</f>
        <v>1788778.5482630052</v>
      </c>
      <c r="E317" s="101">
        <f>SUM(E309:E316)</f>
        <v>2637889.2422294999</v>
      </c>
      <c r="F317" s="101">
        <f>SUM(F309:F316)</f>
        <v>2169302.1719317506</v>
      </c>
      <c r="G317" s="101">
        <f>SUM(G309:G316)</f>
        <v>1488294.4898484792</v>
      </c>
      <c r="H317" s="101">
        <f>SUM(H309:H316)</f>
        <v>1488294.4898484792</v>
      </c>
    </row>
    <row r="318" spans="1:8" ht="14" x14ac:dyDescent="0.3">
      <c r="A318" s="159"/>
      <c r="B318" s="90"/>
      <c r="C318" s="90"/>
      <c r="D318" s="101"/>
      <c r="E318" s="101"/>
      <c r="F318" s="101"/>
      <c r="G318" s="101"/>
      <c r="H318" s="101"/>
    </row>
    <row r="319" spans="1:8" x14ac:dyDescent="0.3">
      <c r="B319" s="90"/>
      <c r="C319" s="90"/>
      <c r="D319" s="90"/>
      <c r="E319" s="90"/>
      <c r="F319" s="90"/>
      <c r="G319" s="90"/>
      <c r="H319" s="90"/>
    </row>
    <row r="320" spans="1:8" x14ac:dyDescent="0.3">
      <c r="A320" s="111"/>
      <c r="B320" s="111"/>
      <c r="C320" s="112"/>
      <c r="D320" s="112"/>
      <c r="E320" s="112"/>
      <c r="F320" s="112"/>
      <c r="G320" s="112"/>
      <c r="H320" s="112"/>
    </row>
    <row r="321" spans="1:8" ht="20.5" thickBot="1" x14ac:dyDescent="0.45">
      <c r="A321" s="109" t="s">
        <v>672</v>
      </c>
      <c r="C321" s="90"/>
      <c r="D321" s="155" t="s">
        <v>320</v>
      </c>
      <c r="E321" s="155" t="s">
        <v>518</v>
      </c>
      <c r="F321" s="155" t="s">
        <v>519</v>
      </c>
      <c r="G321" s="155" t="s">
        <v>520</v>
      </c>
      <c r="H321" s="155" t="s">
        <v>521</v>
      </c>
    </row>
    <row r="322" spans="1:8" ht="13.5" x14ac:dyDescent="0.35">
      <c r="A322" s="232" t="s">
        <v>338</v>
      </c>
      <c r="C322" s="115"/>
      <c r="D322" s="231">
        <f>'Input &amp; Calculation Summary'!C46</f>
        <v>2015</v>
      </c>
      <c r="E322" s="231">
        <f>'Input &amp; Calculation Summary'!D46</f>
        <v>2015</v>
      </c>
      <c r="F322" s="231">
        <f>'Input &amp; Calculation Summary'!E46</f>
        <v>2015</v>
      </c>
      <c r="G322" s="231">
        <f>'Input &amp; Calculation Summary'!F46</f>
        <v>2015</v>
      </c>
      <c r="H322" s="231">
        <f>'Input &amp; Calculation Summary'!G46</f>
        <v>2015</v>
      </c>
    </row>
    <row r="323" spans="1:8" ht="14" x14ac:dyDescent="0.3">
      <c r="A323" s="198" t="s">
        <v>609</v>
      </c>
      <c r="B323" s="90"/>
      <c r="C323" s="90"/>
      <c r="D323" s="90"/>
      <c r="E323" s="90"/>
      <c r="F323" s="90"/>
      <c r="G323" s="90"/>
    </row>
    <row r="324" spans="1:8" ht="14" x14ac:dyDescent="0.3">
      <c r="A324" s="157" t="s">
        <v>610</v>
      </c>
      <c r="B324" s="90" t="s">
        <v>611</v>
      </c>
      <c r="C324" s="90"/>
      <c r="D324" s="108">
        <f>D103</f>
        <v>173.13798625277519</v>
      </c>
      <c r="E324" s="108">
        <f>E103</f>
        <v>1257.0286195860222</v>
      </c>
      <c r="F324" s="108">
        <f>F103</f>
        <v>662.03507298197155</v>
      </c>
      <c r="G324" s="108">
        <f>G103</f>
        <v>184.36419753928328</v>
      </c>
      <c r="H324" s="108">
        <f>H103</f>
        <v>184.36419753928328</v>
      </c>
    </row>
    <row r="325" spans="1:8" ht="14" x14ac:dyDescent="0.3">
      <c r="A325" s="157"/>
      <c r="B325" s="90" t="s">
        <v>171</v>
      </c>
      <c r="C325" s="90"/>
      <c r="D325" s="118">
        <f>D324/Constants_CC!E491</f>
        <v>0.34836616952268651</v>
      </c>
      <c r="E325" s="118">
        <f>E324/Constants_CC!F491</f>
        <v>0.70820508723401909</v>
      </c>
      <c r="F325" s="118">
        <f>F324/Constants_CC!G491</f>
        <v>0.70820508723401898</v>
      </c>
      <c r="G325" s="118">
        <f>G324/Constants_CC!H491</f>
        <v>0.70820508723401909</v>
      </c>
      <c r="H325" s="118">
        <f>H324/Constants_CC!I491</f>
        <v>0.70820508723401909</v>
      </c>
    </row>
    <row r="326" spans="1:8" ht="14" x14ac:dyDescent="0.3">
      <c r="A326" s="157" t="s">
        <v>613</v>
      </c>
      <c r="B326" s="90" t="s">
        <v>45</v>
      </c>
      <c r="C326" s="90"/>
      <c r="D326" s="141">
        <f>'Input &amp; Calculation Summary'!C120</f>
        <v>0.9</v>
      </c>
      <c r="E326" s="141">
        <f>'Input &amp; Calculation Summary'!D120</f>
        <v>0.9</v>
      </c>
      <c r="F326" s="141">
        <f>'Input &amp; Calculation Summary'!E120</f>
        <v>0.9</v>
      </c>
      <c r="G326" s="141">
        <f>'Input &amp; Calculation Summary'!F120</f>
        <v>0.9</v>
      </c>
      <c r="H326" s="141">
        <f>'Input &amp; Calculation Summary'!G120</f>
        <v>0.9</v>
      </c>
    </row>
    <row r="327" spans="1:8" ht="14" x14ac:dyDescent="0.3">
      <c r="A327" s="157" t="s">
        <v>673</v>
      </c>
      <c r="B327" s="90" t="s">
        <v>611</v>
      </c>
      <c r="C327" s="90"/>
      <c r="D327" s="108">
        <f>D207-D206</f>
        <v>4253.0056905772844</v>
      </c>
      <c r="E327" s="108">
        <f>E207-E206</f>
        <v>16673.258431344711</v>
      </c>
      <c r="F327" s="108">
        <f>F207-F206</f>
        <v>8781.2494405082252</v>
      </c>
      <c r="G327" s="108">
        <f>G207-G206</f>
        <v>2445.4112365972233</v>
      </c>
      <c r="H327" s="108">
        <f>H207-H206</f>
        <v>2445.4112365972233</v>
      </c>
    </row>
    <row r="328" spans="1:8" ht="14" x14ac:dyDescent="0.3">
      <c r="A328" s="157" t="s">
        <v>674</v>
      </c>
      <c r="B328" s="90" t="s">
        <v>611</v>
      </c>
      <c r="C328" s="90"/>
      <c r="D328" s="108">
        <f>D218</f>
        <v>5316.2571132216053</v>
      </c>
      <c r="E328" s="108">
        <f>E218</f>
        <v>20841.573039180887</v>
      </c>
      <c r="F328" s="108">
        <f>F218</f>
        <v>10976.561800635282</v>
      </c>
      <c r="G328" s="108">
        <f>G218</f>
        <v>3056.7640457465291</v>
      </c>
      <c r="H328" s="108">
        <f>H218</f>
        <v>3056.7640457465291</v>
      </c>
    </row>
    <row r="329" spans="1:8" ht="14" x14ac:dyDescent="0.3">
      <c r="A329" s="157" t="s">
        <v>675</v>
      </c>
      <c r="B329" s="90" t="s">
        <v>676</v>
      </c>
      <c r="C329" s="90"/>
      <c r="D329" s="108">
        <f>D107</f>
        <v>1.1407844932306059</v>
      </c>
      <c r="E329" s="108">
        <f>E107</f>
        <v>8.2824040397306131</v>
      </c>
      <c r="F329" s="108">
        <f>F107</f>
        <v>4.3620661275914552</v>
      </c>
      <c r="G329" s="108">
        <f>G107</f>
        <v>1.2147525924938232</v>
      </c>
      <c r="H329" s="108">
        <f>H107</f>
        <v>1.2147525924938232</v>
      </c>
    </row>
    <row r="330" spans="1:8" ht="14" x14ac:dyDescent="0.3">
      <c r="A330" s="157" t="s">
        <v>677</v>
      </c>
      <c r="B330" s="90" t="s">
        <v>676</v>
      </c>
      <c r="C330" s="90"/>
      <c r="D330" s="108">
        <f>(D183+(D217-D206)+(D142-D130))/8.34/60</f>
        <v>49.752311442431264</v>
      </c>
      <c r="E330" s="108">
        <f>(E183+(E217-E206)+(E142-E130))/8.34/60</f>
        <v>172.41754493455207</v>
      </c>
      <c r="F330" s="108">
        <f>(F183+(F217-F206)+(F142-F130))/8.34/60</f>
        <v>104.58862335910922</v>
      </c>
      <c r="G330" s="108">
        <f>(G183+(G217-G206)+(G142-G130))/8.34/60</f>
        <v>50.134418714035398</v>
      </c>
      <c r="H330" s="108">
        <f>(H183+(H217-H206)+(H142-H130))/8.34/60</f>
        <v>50.134418714035398</v>
      </c>
    </row>
    <row r="331" spans="1:8" ht="14" x14ac:dyDescent="0.3">
      <c r="A331" s="157" t="s">
        <v>617</v>
      </c>
      <c r="B331" s="90" t="s">
        <v>618</v>
      </c>
      <c r="C331" s="90"/>
      <c r="D331" s="108">
        <f>0.007*(1000*'Input &amp; Calculation Summary'!C25)</f>
        <v>1050</v>
      </c>
      <c r="E331" s="108">
        <f>0.007*(1000*'Input &amp; Calculation Summary'!D25)</f>
        <v>1050</v>
      </c>
      <c r="F331" s="108">
        <f>0.007*(1000*'Input &amp; Calculation Summary'!E25)</f>
        <v>553</v>
      </c>
      <c r="G331" s="108">
        <f>0.007*(1000*'Input &amp; Calculation Summary'!F25)</f>
        <v>154</v>
      </c>
      <c r="H331" s="108">
        <f>0.007*(1000*'Input &amp; Calculation Summary'!G25)</f>
        <v>154</v>
      </c>
    </row>
    <row r="332" spans="1:8" ht="14" x14ac:dyDescent="0.3">
      <c r="A332" s="157"/>
      <c r="B332" s="90"/>
      <c r="C332" s="90"/>
      <c r="D332" s="90"/>
      <c r="E332" s="90"/>
      <c r="F332" s="90"/>
      <c r="G332" s="90"/>
      <c r="H332" s="90"/>
    </row>
    <row r="333" spans="1:8" ht="14" x14ac:dyDescent="0.3">
      <c r="A333" s="198" t="s">
        <v>620</v>
      </c>
      <c r="B333" s="90"/>
      <c r="C333" s="90"/>
      <c r="D333" s="90"/>
      <c r="E333" s="90"/>
      <c r="F333" s="90"/>
      <c r="G333" s="90"/>
      <c r="H333" s="90"/>
    </row>
    <row r="334" spans="1:8" ht="14" x14ac:dyDescent="0.3">
      <c r="A334" s="157" t="s">
        <v>621</v>
      </c>
      <c r="B334" s="90"/>
      <c r="C334" s="90"/>
      <c r="D334" s="208">
        <f>(18.25-2.278*LN('Input &amp; Calculation Summary'!C25))*'Input &amp; Calculation Summary'!C25/100</f>
        <v>10.253659200073095</v>
      </c>
      <c r="E334" s="208">
        <f>(18.25-2.278*LN('Input &amp; Calculation Summary'!D25))*'Input &amp; Calculation Summary'!D25/100</f>
        <v>10.253659200073095</v>
      </c>
      <c r="F334" s="208">
        <f>(18.25-2.278*LN('Input &amp; Calculation Summary'!E25))*'Input &amp; Calculation Summary'!E25/100</f>
        <v>6.554154255743299</v>
      </c>
      <c r="G334" s="208">
        <f>(18.25-2.278*LN('Input &amp; Calculation Summary'!F25))*'Input &amp; Calculation Summary'!F25/100</f>
        <v>2.4658931640749469</v>
      </c>
      <c r="H334" s="208">
        <f>(18.25-2.278*LN('Input &amp; Calculation Summary'!G25))*'Input &amp; Calculation Summary'!G25/100</f>
        <v>2.4658931640749469</v>
      </c>
    </row>
    <row r="335" spans="1:8" ht="14" x14ac:dyDescent="0.3">
      <c r="A335" s="157" t="s">
        <v>622</v>
      </c>
      <c r="B335" s="90"/>
      <c r="C335" s="90"/>
      <c r="D335" s="90"/>
      <c r="E335" s="90"/>
      <c r="F335" s="90"/>
      <c r="G335" s="90"/>
      <c r="H335" s="90"/>
    </row>
    <row r="336" spans="1:8" ht="14" x14ac:dyDescent="0.3">
      <c r="A336" s="157" t="s">
        <v>623</v>
      </c>
      <c r="B336" s="90" t="s">
        <v>400</v>
      </c>
      <c r="C336" s="90"/>
      <c r="D336" s="101">
        <f>('Input &amp; Calculation Summary'!C64*D334*40*52)</f>
        <v>1343639.5015775785</v>
      </c>
      <c r="E336" s="101">
        <f>('Input &amp; Calculation Summary'!D64*E334*40*52)</f>
        <v>1343639.5015775785</v>
      </c>
      <c r="F336" s="101">
        <f>('Input &amp; Calculation Summary'!E64*F334*40*52)</f>
        <v>858856.37367260188</v>
      </c>
      <c r="G336" s="101">
        <f>('Input &amp; Calculation Summary'!F64*G334*40*52)</f>
        <v>323130.64022038103</v>
      </c>
      <c r="H336" s="101">
        <f>('Input &amp; Calculation Summary'!G64*H334*40*52)</f>
        <v>323130.64022038103</v>
      </c>
    </row>
    <row r="337" spans="1:8" ht="14" x14ac:dyDescent="0.3">
      <c r="A337" s="157" t="s">
        <v>624</v>
      </c>
      <c r="B337" s="90" t="s">
        <v>400</v>
      </c>
      <c r="C337" s="90"/>
      <c r="D337" s="101">
        <f>D317</f>
        <v>1788778.5482630052</v>
      </c>
      <c r="E337" s="101">
        <f>E317</f>
        <v>2637889.2422294999</v>
      </c>
      <c r="F337" s="101">
        <f>F317</f>
        <v>2169302.1719317506</v>
      </c>
      <c r="G337" s="101">
        <f>G317</f>
        <v>1488294.4898484792</v>
      </c>
      <c r="H337" s="101">
        <f>H317</f>
        <v>1488294.4898484792</v>
      </c>
    </row>
    <row r="338" spans="1:8" ht="14" x14ac:dyDescent="0.3">
      <c r="A338" s="157" t="s">
        <v>625</v>
      </c>
      <c r="B338" s="90" t="s">
        <v>400</v>
      </c>
      <c r="C338" s="90"/>
      <c r="D338" s="298">
        <f>0.3*((D317*0.4)+D336)</f>
        <v>617745.2762648341</v>
      </c>
      <c r="E338" s="162">
        <f>0.3*((E317*0.4)+E336)</f>
        <v>719638.55954081356</v>
      </c>
      <c r="F338" s="162">
        <f>0.3*((F317*0.4)+F336)</f>
        <v>517973.17273359065</v>
      </c>
      <c r="G338" s="162">
        <f>0.3*((G317*0.4)+G336)</f>
        <v>275534.5308479318</v>
      </c>
      <c r="H338" s="162">
        <f>0.3*((H317*0.4)+H336)</f>
        <v>275534.5308479318</v>
      </c>
    </row>
    <row r="339" spans="1:8" ht="14" x14ac:dyDescent="0.3">
      <c r="A339" s="157" t="s">
        <v>626</v>
      </c>
      <c r="B339" s="90" t="s">
        <v>400</v>
      </c>
      <c r="C339" s="90"/>
      <c r="D339" s="101">
        <f>SUM(D336:D338)</f>
        <v>3750163.3261054177</v>
      </c>
      <c r="E339" s="101">
        <f>SUM(E336:E338)</f>
        <v>4701167.3033478921</v>
      </c>
      <c r="F339" s="101">
        <f>SUM(F336:F338)</f>
        <v>3546131.7183379428</v>
      </c>
      <c r="G339" s="101">
        <f>SUM(G336:G338)</f>
        <v>2086959.660916792</v>
      </c>
      <c r="H339" s="101">
        <f>SUM(H336:H338)</f>
        <v>2086959.660916792</v>
      </c>
    </row>
    <row r="340" spans="1:8" ht="14" x14ac:dyDescent="0.3">
      <c r="A340" s="157"/>
      <c r="B340" s="90"/>
      <c r="C340" s="90"/>
      <c r="D340" s="90"/>
      <c r="E340" s="90"/>
      <c r="F340" s="90"/>
      <c r="G340" s="90"/>
      <c r="H340" s="90"/>
    </row>
    <row r="341" spans="1:8" ht="14" x14ac:dyDescent="0.3">
      <c r="A341" s="198" t="s">
        <v>678</v>
      </c>
      <c r="B341" s="90"/>
      <c r="C341" s="90"/>
      <c r="D341" s="90"/>
      <c r="E341" s="90"/>
      <c r="F341" s="90"/>
      <c r="G341" s="90"/>
      <c r="H341" s="90"/>
    </row>
    <row r="342" spans="1:8" ht="14" x14ac:dyDescent="0.3">
      <c r="A342" s="157" t="s">
        <v>628</v>
      </c>
      <c r="B342" s="90" t="s">
        <v>400</v>
      </c>
      <c r="C342" s="90"/>
      <c r="D342" s="101">
        <f>(D324/2000*'Input &amp; Calculation Summary'!C27*8760*'Input &amp; Calculation Summary'!C135)</f>
        <v>32040.050046007313</v>
      </c>
      <c r="E342" s="101">
        <f>(E324/2000*'Input &amp; Calculation Summary'!D27*8760*'Input &amp; Calculation Summary'!D135)</f>
        <v>232619.43119749133</v>
      </c>
      <c r="F342" s="101">
        <f>(F324/2000*'Input &amp; Calculation Summary'!E27*8760*'Input &amp; Calculation Summary'!E135)</f>
        <v>122512.90043067874</v>
      </c>
      <c r="G342" s="101">
        <f>(G324/2000*'Input &amp; Calculation Summary'!F27*8760*'Input &amp; Calculation Summary'!F135)</f>
        <v>34117.516575632064</v>
      </c>
      <c r="H342" s="101">
        <f>(H324/2000*'Input &amp; Calculation Summary'!G27*8760*'Input &amp; Calculation Summary'!G135)</f>
        <v>34117.516575632064</v>
      </c>
    </row>
    <row r="343" spans="1:8" ht="14" x14ac:dyDescent="0.3">
      <c r="A343" s="157" t="s">
        <v>630</v>
      </c>
      <c r="B343" s="90" t="s">
        <v>400</v>
      </c>
      <c r="C343" s="90"/>
      <c r="D343" s="101">
        <f>('Input &amp; Calculation Summary'!C27*8760*D328*D211/2000*'Input &amp; Calculation Summary'!C136)</f>
        <v>363249.21603220585</v>
      </c>
      <c r="E343" s="101">
        <f>('Input &amp; Calculation Summary'!D27*8760*E328*E211/2000*'Input &amp; Calculation Summary'!D136)</f>
        <v>1424063.0026211517</v>
      </c>
      <c r="F343" s="101">
        <f>('Input &amp; Calculation Summary'!E27*8760*F328*F211/2000*'Input &amp; Calculation Summary'!E136)</f>
        <v>750006.5147138075</v>
      </c>
      <c r="G343" s="101">
        <f>('Input &amp; Calculation Summary'!F27*8760*G328*G211/2000*'Input &amp; Calculation Summary'!F136)</f>
        <v>208862.57371776886</v>
      </c>
      <c r="H343" s="101">
        <f>('Input &amp; Calculation Summary'!G27*8760*H328*H211/2000*'Input &amp; Calculation Summary'!G136)</f>
        <v>208862.57371776886</v>
      </c>
    </row>
    <row r="344" spans="1:8" ht="14" x14ac:dyDescent="0.3">
      <c r="A344" s="157" t="s">
        <v>631</v>
      </c>
      <c r="B344" s="90" t="s">
        <v>400</v>
      </c>
      <c r="C344" s="90"/>
      <c r="D344" s="101">
        <v>0</v>
      </c>
      <c r="E344" s="101">
        <v>0</v>
      </c>
      <c r="F344" s="101">
        <v>0</v>
      </c>
      <c r="G344" s="101">
        <v>0</v>
      </c>
      <c r="H344" s="101">
        <v>0</v>
      </c>
    </row>
    <row r="345" spans="1:8" ht="14" x14ac:dyDescent="0.3">
      <c r="A345" s="157" t="s">
        <v>632</v>
      </c>
      <c r="B345" s="90" t="s">
        <v>400</v>
      </c>
      <c r="C345" s="90"/>
      <c r="D345" s="101">
        <v>0</v>
      </c>
      <c r="E345" s="101">
        <v>0</v>
      </c>
      <c r="F345" s="101">
        <v>0</v>
      </c>
      <c r="G345" s="101">
        <v>0</v>
      </c>
      <c r="H345" s="101">
        <v>0</v>
      </c>
    </row>
    <row r="346" spans="1:8" ht="14" x14ac:dyDescent="0.3">
      <c r="A346" s="157" t="s">
        <v>679</v>
      </c>
      <c r="B346" s="90" t="s">
        <v>400</v>
      </c>
      <c r="C346" s="90"/>
      <c r="D346" s="101">
        <f>(0.6*(D329/1000)*60*8760*'Input &amp; Calculation Summary'!C27)</f>
        <v>233.84256856038257</v>
      </c>
      <c r="E346" s="101">
        <f>(0.6*(E329/1000)*60*8760*'Input &amp; Calculation Summary'!D27)</f>
        <v>1697.7603096801397</v>
      </c>
      <c r="F346" s="101">
        <f>(0.6*(F329/1000)*60*8760*'Input &amp; Calculation Summary'!E27)</f>
        <v>894.15376309820681</v>
      </c>
      <c r="G346" s="101">
        <f>(0.6*(G329/1000)*60*8760*'Input &amp; Calculation Summary'!F27)</f>
        <v>249.00484541975385</v>
      </c>
      <c r="H346" s="101">
        <f>(0.6*(H329/1000)*60*8760*'Input &amp; Calculation Summary'!G27)</f>
        <v>249.00484541975385</v>
      </c>
    </row>
    <row r="347" spans="1:8" ht="14" x14ac:dyDescent="0.3">
      <c r="A347" s="157" t="s">
        <v>633</v>
      </c>
      <c r="B347" s="90" t="s">
        <v>400</v>
      </c>
      <c r="C347" s="90"/>
      <c r="D347" s="162">
        <f>(D331/1000*8760*'Input &amp; Calculation Summary'!C27*'Input &amp; Calculation Summary'!C65)</f>
        <v>149467.5</v>
      </c>
      <c r="E347" s="162">
        <f>(E331/1000*8760*'Input &amp; Calculation Summary'!D27*'Input &amp; Calculation Summary'!D65)</f>
        <v>149467.5</v>
      </c>
      <c r="F347" s="162">
        <f>(F331/1000*8760*'Input &amp; Calculation Summary'!E27*'Input &amp; Calculation Summary'!E65)</f>
        <v>78719.550000000017</v>
      </c>
      <c r="G347" s="162">
        <f>(G331/1000*8760*'Input &amp; Calculation Summary'!F27*'Input &amp; Calculation Summary'!F65)</f>
        <v>21921.899999999998</v>
      </c>
      <c r="H347" s="162">
        <f>(H331/1000*8760*'Input &amp; Calculation Summary'!G27*'Input &amp; Calculation Summary'!G65)</f>
        <v>21921.899999999998</v>
      </c>
    </row>
    <row r="348" spans="1:8" ht="14" x14ac:dyDescent="0.3">
      <c r="A348" s="157" t="s">
        <v>626</v>
      </c>
      <c r="B348" s="90" t="s">
        <v>400</v>
      </c>
      <c r="C348" s="90"/>
      <c r="D348" s="101">
        <f>SUM(D342:D347)</f>
        <v>544990.6086467735</v>
      </c>
      <c r="E348" s="101">
        <f>SUM(E342:E347)</f>
        <v>1807847.6941283231</v>
      </c>
      <c r="F348" s="101">
        <f>SUM(F342:F347)</f>
        <v>952133.11890758446</v>
      </c>
      <c r="G348" s="101">
        <f>SUM(G342:G347)</f>
        <v>265150.99513882067</v>
      </c>
      <c r="H348" s="101">
        <f>SUM(H342:H347)</f>
        <v>265150.99513882067</v>
      </c>
    </row>
    <row r="349" spans="1:8" x14ac:dyDescent="0.3">
      <c r="A349" s="122" t="s">
        <v>634</v>
      </c>
      <c r="B349" s="90"/>
      <c r="C349" s="90"/>
      <c r="D349" s="90"/>
      <c r="E349" s="90"/>
      <c r="F349" s="90"/>
      <c r="G349" s="90"/>
      <c r="H349" s="90"/>
    </row>
    <row r="350" spans="1:8" ht="14" x14ac:dyDescent="0.3">
      <c r="A350" s="157"/>
      <c r="B350" s="90"/>
      <c r="C350" s="90"/>
      <c r="D350" s="90"/>
      <c r="E350" s="90"/>
      <c r="F350" s="90"/>
      <c r="G350" s="90"/>
      <c r="H350" s="90"/>
    </row>
    <row r="351" spans="1:8" x14ac:dyDescent="0.3">
      <c r="A351" s="111"/>
      <c r="B351" s="111"/>
      <c r="C351" s="112"/>
      <c r="D351" s="112"/>
      <c r="E351" s="112"/>
      <c r="F351" s="112"/>
      <c r="G351" s="112"/>
      <c r="H351" s="112"/>
    </row>
    <row r="352" spans="1:8" ht="20.5" thickBot="1" x14ac:dyDescent="0.45">
      <c r="A352" s="109" t="s">
        <v>635</v>
      </c>
      <c r="C352" s="90"/>
      <c r="D352" s="155" t="s">
        <v>320</v>
      </c>
      <c r="E352" s="155" t="s">
        <v>518</v>
      </c>
      <c r="F352" s="155" t="s">
        <v>519</v>
      </c>
      <c r="G352" s="155" t="s">
        <v>520</v>
      </c>
      <c r="H352" s="155" t="s">
        <v>521</v>
      </c>
    </row>
    <row r="353" spans="1:8" ht="14" x14ac:dyDescent="0.3">
      <c r="A353" s="157"/>
      <c r="B353" s="90"/>
      <c r="C353" s="90"/>
      <c r="D353" s="90"/>
      <c r="E353" s="90"/>
      <c r="F353" s="90"/>
      <c r="G353" s="90"/>
      <c r="H353" s="90"/>
    </row>
    <row r="354" spans="1:8" ht="15.5" x14ac:dyDescent="0.35">
      <c r="A354" s="123" t="s">
        <v>680</v>
      </c>
      <c r="B354" s="90"/>
      <c r="C354" s="90"/>
      <c r="D354" s="108"/>
      <c r="E354" s="90"/>
      <c r="F354" s="90"/>
      <c r="G354" s="90"/>
      <c r="H354" s="90"/>
    </row>
    <row r="355" spans="1:8" ht="13.5" x14ac:dyDescent="0.35">
      <c r="A355" s="211" t="s">
        <v>636</v>
      </c>
      <c r="B355" s="212">
        <v>0.6</v>
      </c>
      <c r="C355" s="90"/>
      <c r="D355" s="90"/>
      <c r="E355" s="90"/>
      <c r="F355" s="90"/>
      <c r="G355" s="90"/>
      <c r="H355" s="90"/>
    </row>
    <row r="356" spans="1:8" x14ac:dyDescent="0.3">
      <c r="A356" s="1" t="s">
        <v>530</v>
      </c>
      <c r="B356" s="90" t="s">
        <v>637</v>
      </c>
      <c r="C356" s="90"/>
      <c r="D356" s="143">
        <f>D45/SO2_MolWt*'Input &amp; Calculation Summary'!C120*$B355</f>
        <v>1.6338374220296337</v>
      </c>
      <c r="E356" s="143">
        <f>E45/SO2_MolWt*'Input &amp; Calculation Summary'!D120*$B355</f>
        <v>11.862101689478186</v>
      </c>
      <c r="F356" s="143">
        <f>F45/SO2_MolWt*'Input &amp; Calculation Summary'!E120*$B355</f>
        <v>6.24737355645851</v>
      </c>
      <c r="G356" s="143">
        <f>G45/SO2_MolWt*'Input &amp; Calculation Summary'!F120*$B355</f>
        <v>1.7397749144568007</v>
      </c>
      <c r="H356" s="143">
        <f>H45/SO2_MolWt*'Input &amp; Calculation Summary'!G120*$B355</f>
        <v>1.7397749144568007</v>
      </c>
    </row>
    <row r="357" spans="1:8" x14ac:dyDescent="0.3">
      <c r="A357" s="1" t="s">
        <v>656</v>
      </c>
      <c r="B357" s="90" t="s">
        <v>637</v>
      </c>
      <c r="C357" s="90"/>
      <c r="D357" s="143">
        <f>D356</f>
        <v>1.6338374220296337</v>
      </c>
      <c r="E357" s="143">
        <f>E356</f>
        <v>11.862101689478186</v>
      </c>
      <c r="F357" s="143">
        <f>F356</f>
        <v>6.24737355645851</v>
      </c>
      <c r="G357" s="143">
        <f>G356</f>
        <v>1.7397749144568007</v>
      </c>
      <c r="H357" s="143">
        <f>H356</f>
        <v>1.7397749144568007</v>
      </c>
    </row>
    <row r="358" spans="1:8" x14ac:dyDescent="0.3">
      <c r="A358" s="1" t="s">
        <v>534</v>
      </c>
      <c r="B358" s="90" t="s">
        <v>637</v>
      </c>
      <c r="C358" s="90"/>
      <c r="D358" s="143">
        <f>D356*0.5</f>
        <v>0.81691871101481683</v>
      </c>
      <c r="E358" s="143">
        <f>E356*0.5</f>
        <v>5.9310508447390928</v>
      </c>
      <c r="F358" s="143">
        <f>F356*0.5</f>
        <v>3.123686778229255</v>
      </c>
      <c r="G358" s="143">
        <f>G356*0.5</f>
        <v>0.86988745722840033</v>
      </c>
      <c r="H358" s="143">
        <f>H356*0.5</f>
        <v>0.86988745722840033</v>
      </c>
    </row>
    <row r="359" spans="1:8" x14ac:dyDescent="0.3">
      <c r="A359" s="1" t="s">
        <v>571</v>
      </c>
      <c r="B359" s="90" t="s">
        <v>637</v>
      </c>
      <c r="C359" s="90"/>
      <c r="D359" s="143">
        <f>D356</f>
        <v>1.6338374220296337</v>
      </c>
      <c r="E359" s="143">
        <f>E356</f>
        <v>11.862101689478186</v>
      </c>
      <c r="F359" s="143">
        <f>F356</f>
        <v>6.24737355645851</v>
      </c>
      <c r="G359" s="143">
        <f>G356</f>
        <v>1.7397749144568007</v>
      </c>
      <c r="H359" s="143">
        <f>H356</f>
        <v>1.7397749144568007</v>
      </c>
    </row>
    <row r="360" spans="1:8" x14ac:dyDescent="0.3">
      <c r="A360" s="1" t="s">
        <v>530</v>
      </c>
      <c r="B360" s="90" t="s">
        <v>327</v>
      </c>
      <c r="C360" s="90"/>
      <c r="D360" s="108">
        <f>D356*SO2_MolWt</f>
        <v>104.66820000000001</v>
      </c>
      <c r="E360" s="108">
        <f>E356*SO2_MolWt</f>
        <v>759.91944811270309</v>
      </c>
      <c r="F360" s="108">
        <f>F356*SO2_MolWt</f>
        <v>400.2242426726902</v>
      </c>
      <c r="G360" s="108">
        <f>G356*SO2_MolWt</f>
        <v>111.45485238986312</v>
      </c>
      <c r="H360" s="108">
        <f>H356*SO2_MolWt</f>
        <v>111.45485238986312</v>
      </c>
    </row>
    <row r="361" spans="1:8" x14ac:dyDescent="0.3">
      <c r="A361" s="1" t="s">
        <v>656</v>
      </c>
      <c r="B361" s="90" t="s">
        <v>327</v>
      </c>
      <c r="C361" s="90"/>
      <c r="D361" s="108">
        <f>D357*Ca_OH_2_MolWt</f>
        <v>121.0586936340591</v>
      </c>
      <c r="E361" s="108">
        <f>E357*Ca_OH_2_MolWt</f>
        <v>878.91886605137938</v>
      </c>
      <c r="F361" s="108">
        <f>F357*Ca_OH_2_MolWt</f>
        <v>462.89726945372638</v>
      </c>
      <c r="G361" s="108">
        <f>G357*Ca_OH_2_MolWt</f>
        <v>128.9081003542023</v>
      </c>
      <c r="H361" s="108">
        <f>H357*Ca_OH_2_MolWt</f>
        <v>128.9081003542023</v>
      </c>
    </row>
    <row r="362" spans="1:8" x14ac:dyDescent="0.3">
      <c r="A362" s="1" t="s">
        <v>534</v>
      </c>
      <c r="B362" s="90" t="s">
        <v>327</v>
      </c>
      <c r="C362" s="90"/>
      <c r="D362" s="108">
        <f>D358*H2O_MolWt</f>
        <v>14.717068331293669</v>
      </c>
      <c r="E362" s="108">
        <f>E358*H2O_MolWt</f>
        <v>106.84989752526197</v>
      </c>
      <c r="F362" s="108">
        <f>F358*H2O_MolWt</f>
        <v>56.274279363304622</v>
      </c>
      <c r="G362" s="108">
        <f>G358*H2O_MolWt</f>
        <v>15.671318303705089</v>
      </c>
      <c r="H362" s="108">
        <f>H358*H2O_MolWt</f>
        <v>15.671318303705089</v>
      </c>
    </row>
    <row r="363" spans="1:8" x14ac:dyDescent="0.3">
      <c r="A363" s="1" t="s">
        <v>571</v>
      </c>
      <c r="B363" s="90" t="s">
        <v>327</v>
      </c>
      <c r="C363" s="90"/>
      <c r="D363" s="108">
        <f>D359*CaSO3halfH2O_MolWt</f>
        <v>211.00993967138498</v>
      </c>
      <c r="E363" s="108">
        <f>E359*CaSO3halfH2O_MolWt</f>
        <v>1531.9892469859387</v>
      </c>
      <c r="F363" s="108">
        <f>F359*CaSO3halfH2O_MolWt</f>
        <v>806.84767007926098</v>
      </c>
      <c r="G363" s="108">
        <f>G359*CaSO3halfH2O_MolWt</f>
        <v>224.69175622460438</v>
      </c>
      <c r="H363" s="108">
        <f>H359*CaSO3halfH2O_MolWt</f>
        <v>224.69175622460438</v>
      </c>
    </row>
    <row r="364" spans="1:8" ht="13.5" x14ac:dyDescent="0.35">
      <c r="A364" s="211" t="s">
        <v>638</v>
      </c>
      <c r="B364" s="212">
        <v>0.2</v>
      </c>
      <c r="C364" s="90"/>
      <c r="D364" s="90"/>
      <c r="E364" s="90"/>
      <c r="F364" s="90"/>
      <c r="G364" s="90"/>
      <c r="H364" s="90"/>
    </row>
    <row r="365" spans="1:8" x14ac:dyDescent="0.3">
      <c r="A365" s="1" t="s">
        <v>656</v>
      </c>
      <c r="B365" s="90" t="s">
        <v>637</v>
      </c>
      <c r="C365" s="90"/>
      <c r="D365" s="143">
        <f>D366</f>
        <v>0.54461247400987789</v>
      </c>
      <c r="E365" s="143">
        <f>E366</f>
        <v>3.9540338964927289</v>
      </c>
      <c r="F365" s="143">
        <f>F366</f>
        <v>2.0824578521528365</v>
      </c>
      <c r="G365" s="143">
        <f>G366</f>
        <v>0.57992497148560029</v>
      </c>
      <c r="H365" s="143">
        <f>H366</f>
        <v>0.57992497148560029</v>
      </c>
    </row>
    <row r="366" spans="1:8" x14ac:dyDescent="0.3">
      <c r="A366" s="1" t="s">
        <v>530</v>
      </c>
      <c r="B366" s="90" t="s">
        <v>637</v>
      </c>
      <c r="C366" s="90"/>
      <c r="D366" s="143">
        <f>D45/SO2_MolWt*'Input &amp; Calculation Summary'!C120*$B364</f>
        <v>0.54461247400987789</v>
      </c>
      <c r="E366" s="143">
        <f>E45/SO2_MolWt*'Input &amp; Calculation Summary'!D120*$B364</f>
        <v>3.9540338964927289</v>
      </c>
      <c r="F366" s="143">
        <f>F45/SO2_MolWt*'Input &amp; Calculation Summary'!E120*$B364</f>
        <v>2.0824578521528365</v>
      </c>
      <c r="G366" s="143">
        <f>G45/SO2_MolWt*'Input &amp; Calculation Summary'!F120*$B364</f>
        <v>0.57992497148560029</v>
      </c>
      <c r="H366" s="143">
        <f>H45/SO2_MolWt*'Input &amp; Calculation Summary'!G120*$B364</f>
        <v>0.57992497148560029</v>
      </c>
    </row>
    <row r="367" spans="1:8" x14ac:dyDescent="0.3">
      <c r="A367" s="1" t="s">
        <v>531</v>
      </c>
      <c r="B367" s="90" t="s">
        <v>637</v>
      </c>
      <c r="C367" s="90"/>
      <c r="D367" s="143">
        <f>D366/2</f>
        <v>0.27230623700493894</v>
      </c>
      <c r="E367" s="143">
        <f>E366/2</f>
        <v>1.9770169482463644</v>
      </c>
      <c r="F367" s="143">
        <f>F366/2</f>
        <v>1.0412289260764183</v>
      </c>
      <c r="G367" s="143">
        <f>G366/2</f>
        <v>0.28996248574280015</v>
      </c>
      <c r="H367" s="143">
        <f>H366/2</f>
        <v>0.28996248574280015</v>
      </c>
    </row>
    <row r="368" spans="1:8" x14ac:dyDescent="0.3">
      <c r="A368" s="1" t="s">
        <v>534</v>
      </c>
      <c r="B368" s="90" t="s">
        <v>637</v>
      </c>
      <c r="C368" s="90"/>
      <c r="D368" s="143">
        <f>D366</f>
        <v>0.54461247400987789</v>
      </c>
      <c r="E368" s="143">
        <f>E366</f>
        <v>3.9540338964927289</v>
      </c>
      <c r="F368" s="143">
        <f>F366</f>
        <v>2.0824578521528365</v>
      </c>
      <c r="G368" s="143">
        <f>G366</f>
        <v>0.57992497148560029</v>
      </c>
      <c r="H368" s="143">
        <f>H366</f>
        <v>0.57992497148560029</v>
      </c>
    </row>
    <row r="369" spans="1:8" x14ac:dyDescent="0.3">
      <c r="A369" s="1" t="s">
        <v>572</v>
      </c>
      <c r="B369" s="90" t="s">
        <v>637</v>
      </c>
      <c r="C369" s="90"/>
      <c r="D369" s="143">
        <f>D366</f>
        <v>0.54461247400987789</v>
      </c>
      <c r="E369" s="143">
        <f>E366</f>
        <v>3.9540338964927289</v>
      </c>
      <c r="F369" s="143">
        <f>F366</f>
        <v>2.0824578521528365</v>
      </c>
      <c r="G369" s="143">
        <f>G366</f>
        <v>0.57992497148560029</v>
      </c>
      <c r="H369" s="143">
        <f>H366</f>
        <v>0.57992497148560029</v>
      </c>
    </row>
    <row r="370" spans="1:8" x14ac:dyDescent="0.3">
      <c r="A370" s="1" t="s">
        <v>656</v>
      </c>
      <c r="B370" s="90" t="s">
        <v>327</v>
      </c>
      <c r="C370" s="90"/>
      <c r="D370" s="108">
        <f>D365*Ca_OH_2_MolWt</f>
        <v>40.352897878019704</v>
      </c>
      <c r="E370" s="108">
        <f>E365*Ca_OH_2_MolWt</f>
        <v>292.97295535045981</v>
      </c>
      <c r="F370" s="108">
        <f>F365*Ca_OH_2_MolWt</f>
        <v>154.29908981790879</v>
      </c>
      <c r="G370" s="108">
        <f>G365*Ca_OH_2_MolWt</f>
        <v>42.969366784734113</v>
      </c>
      <c r="H370" s="108">
        <f>H365*Ca_OH_2_MolWt</f>
        <v>42.969366784734113</v>
      </c>
    </row>
    <row r="371" spans="1:8" x14ac:dyDescent="0.3">
      <c r="A371" s="1" t="s">
        <v>530</v>
      </c>
      <c r="B371" s="90" t="s">
        <v>327</v>
      </c>
      <c r="C371" s="90"/>
      <c r="D371" s="108">
        <f>D366*SO2_MolWt</f>
        <v>34.889400000000002</v>
      </c>
      <c r="E371" s="108">
        <f>E366*SO2_MolWt</f>
        <v>253.30648270423438</v>
      </c>
      <c r="F371" s="108">
        <f>F366*SO2_MolWt</f>
        <v>133.40808089089671</v>
      </c>
      <c r="G371" s="108">
        <f>G366*SO2_MolWt</f>
        <v>37.151617463287714</v>
      </c>
      <c r="H371" s="108">
        <f>H366*SO2_MolWt</f>
        <v>37.151617463287714</v>
      </c>
    </row>
    <row r="372" spans="1:8" x14ac:dyDescent="0.3">
      <c r="A372" s="1" t="s">
        <v>531</v>
      </c>
      <c r="B372" s="90" t="s">
        <v>327</v>
      </c>
      <c r="C372" s="90"/>
      <c r="D372" s="108">
        <f>D367*O2_MolWt</f>
        <v>8.7134728166736402</v>
      </c>
      <c r="E372" s="108">
        <f>E367*O2_MolWt</f>
        <v>63.262169923545763</v>
      </c>
      <c r="F372" s="108">
        <f>F367*O2_MolWt</f>
        <v>33.31807615973409</v>
      </c>
      <c r="G372" s="108">
        <f>G367*O2_MolWt</f>
        <v>9.2784515887867123</v>
      </c>
      <c r="H372" s="108">
        <f>H367*O2_MolWt</f>
        <v>9.2784515887867123</v>
      </c>
    </row>
    <row r="373" spans="1:8" x14ac:dyDescent="0.3">
      <c r="A373" s="1" t="s">
        <v>534</v>
      </c>
      <c r="B373" s="90" t="s">
        <v>327</v>
      </c>
      <c r="C373" s="90"/>
      <c r="D373" s="108">
        <f>D368*H2O_MolWt</f>
        <v>9.8113788875291128</v>
      </c>
      <c r="E373" s="108">
        <f>E368*H2O_MolWt</f>
        <v>71.233265016841315</v>
      </c>
      <c r="F373" s="108">
        <f>F368*H2O_MolWt</f>
        <v>37.516186242203077</v>
      </c>
      <c r="G373" s="108">
        <f>G368*H2O_MolWt</f>
        <v>10.447545535803393</v>
      </c>
      <c r="H373" s="108">
        <f>H368*H2O_MolWt</f>
        <v>10.447545535803393</v>
      </c>
    </row>
    <row r="374" spans="1:8" x14ac:dyDescent="0.3">
      <c r="A374" s="1" t="s">
        <v>572</v>
      </c>
      <c r="B374" s="90" t="s">
        <v>327</v>
      </c>
      <c r="C374" s="90"/>
      <c r="D374" s="108">
        <f>D369*CaSO4_2H2O_MolWt</f>
        <v>93.767182258970905</v>
      </c>
      <c r="E374" s="108">
        <f>E369*CaSO4_2H2O_MolWt</f>
        <v>680.77511023711509</v>
      </c>
      <c r="F374" s="108">
        <f>F369*CaSO4_2H2O_MolWt</f>
        <v>358.54155805821381</v>
      </c>
      <c r="G374" s="108">
        <f>G369*CaSO4_2H2O_MolWt</f>
        <v>99.84701616811023</v>
      </c>
      <c r="H374" s="108">
        <f>H369*CaSO4_2H2O_MolWt</f>
        <v>99.84701616811023</v>
      </c>
    </row>
    <row r="375" spans="1:8" x14ac:dyDescent="0.3">
      <c r="B375" s="90"/>
      <c r="C375" s="90"/>
      <c r="D375" s="108"/>
      <c r="E375" s="108"/>
      <c r="F375" s="108"/>
      <c r="G375" s="108"/>
      <c r="H375" s="108"/>
    </row>
    <row r="376" spans="1:8" ht="15.5" x14ac:dyDescent="0.35">
      <c r="A376" s="123" t="s">
        <v>681</v>
      </c>
      <c r="B376" s="90"/>
      <c r="C376" s="90"/>
      <c r="D376" s="108"/>
      <c r="E376" s="108"/>
      <c r="F376" s="108"/>
      <c r="G376" s="108"/>
      <c r="H376" s="108"/>
    </row>
    <row r="377" spans="1:8" ht="13.5" x14ac:dyDescent="0.35">
      <c r="A377" s="211" t="s">
        <v>636</v>
      </c>
      <c r="B377" s="212">
        <v>0.15</v>
      </c>
      <c r="C377" s="90"/>
      <c r="D377" s="90"/>
      <c r="E377" s="90"/>
      <c r="F377" s="90"/>
      <c r="G377" s="90"/>
      <c r="H377" s="90"/>
    </row>
    <row r="378" spans="1:8" x14ac:dyDescent="0.3">
      <c r="A378" s="1" t="s">
        <v>530</v>
      </c>
      <c r="B378" s="90" t="s">
        <v>637</v>
      </c>
      <c r="C378" s="90"/>
      <c r="D378" s="143">
        <f>D45/SO2_MolWt*'Input &amp; Calculation Summary'!C120*$B377*'Input &amp; Calculation Summary'!C129</f>
        <v>0.40845935550740842</v>
      </c>
      <c r="E378" s="143">
        <f>E45/SO2_MolWt*'Input &amp; Calculation Summary'!D120*$B377*'Input &amp; Calculation Summary'!D129</f>
        <v>2.9655254223695464</v>
      </c>
      <c r="F378" s="143">
        <f>F45/SO2_MolWt*'Input &amp; Calculation Summary'!E120*$B377*'Input &amp; Calculation Summary'!E129</f>
        <v>1.5618433891146275</v>
      </c>
      <c r="G378" s="143">
        <f>G45/SO2_MolWt*'Input &amp; Calculation Summary'!F120*$B377*'Input &amp; Calculation Summary'!F129</f>
        <v>0.43494372861420016</v>
      </c>
      <c r="H378" s="143">
        <f>H45/SO2_MolWt*'Input &amp; Calculation Summary'!G120*$B377*'Input &amp; Calculation Summary'!G129</f>
        <v>0.43494372861420016</v>
      </c>
    </row>
    <row r="379" spans="1:8" x14ac:dyDescent="0.3">
      <c r="A379" s="1" t="s">
        <v>656</v>
      </c>
      <c r="B379" s="90" t="s">
        <v>637</v>
      </c>
      <c r="C379" s="90"/>
      <c r="D379" s="143">
        <f>D378</f>
        <v>0.40845935550740842</v>
      </c>
      <c r="E379" s="143">
        <f>E378</f>
        <v>2.9655254223695464</v>
      </c>
      <c r="F379" s="143">
        <f>F378</f>
        <v>1.5618433891146275</v>
      </c>
      <c r="G379" s="143">
        <f>G378</f>
        <v>0.43494372861420016</v>
      </c>
      <c r="H379" s="143">
        <f>H378</f>
        <v>0.43494372861420016</v>
      </c>
    </row>
    <row r="380" spans="1:8" x14ac:dyDescent="0.3">
      <c r="A380" s="1" t="s">
        <v>534</v>
      </c>
      <c r="B380" s="90" t="s">
        <v>637</v>
      </c>
      <c r="C380" s="90"/>
      <c r="D380" s="143">
        <f>D378*0.5</f>
        <v>0.20422967775370421</v>
      </c>
      <c r="E380" s="143">
        <f>E378*0.5</f>
        <v>1.4827627111847732</v>
      </c>
      <c r="F380" s="143">
        <f>F378*0.5</f>
        <v>0.78092169455731375</v>
      </c>
      <c r="G380" s="143">
        <f>G378*0.5</f>
        <v>0.21747186430710008</v>
      </c>
      <c r="H380" s="143">
        <f>H378*0.5</f>
        <v>0.21747186430710008</v>
      </c>
    </row>
    <row r="381" spans="1:8" x14ac:dyDescent="0.3">
      <c r="A381" s="1" t="s">
        <v>571</v>
      </c>
      <c r="B381" s="90" t="s">
        <v>637</v>
      </c>
      <c r="C381" s="90"/>
      <c r="D381" s="143">
        <f>D378</f>
        <v>0.40845935550740842</v>
      </c>
      <c r="E381" s="143">
        <f>E378</f>
        <v>2.9655254223695464</v>
      </c>
      <c r="F381" s="143">
        <f>F378</f>
        <v>1.5618433891146275</v>
      </c>
      <c r="G381" s="143">
        <f>G378</f>
        <v>0.43494372861420016</v>
      </c>
      <c r="H381" s="143">
        <f>H378</f>
        <v>0.43494372861420016</v>
      </c>
    </row>
    <row r="382" spans="1:8" x14ac:dyDescent="0.3">
      <c r="A382" s="1" t="s">
        <v>530</v>
      </c>
      <c r="B382" s="90" t="s">
        <v>327</v>
      </c>
      <c r="C382" s="90"/>
      <c r="D382" s="108">
        <f>D378*SO2_MolWt</f>
        <v>26.167050000000003</v>
      </c>
      <c r="E382" s="108">
        <f>E378*SO2_MolWt</f>
        <v>189.97986202817577</v>
      </c>
      <c r="F382" s="108">
        <f>F378*SO2_MolWt</f>
        <v>100.05606066817255</v>
      </c>
      <c r="G382" s="108">
        <f>G378*SO2_MolWt</f>
        <v>27.86371309746578</v>
      </c>
      <c r="H382" s="108">
        <f>H378*SO2_MolWt</f>
        <v>27.86371309746578</v>
      </c>
    </row>
    <row r="383" spans="1:8" x14ac:dyDescent="0.3">
      <c r="A383" s="1" t="s">
        <v>656</v>
      </c>
      <c r="B383" s="90" t="s">
        <v>327</v>
      </c>
      <c r="C383" s="90"/>
      <c r="D383" s="108">
        <f>D379*Ca_OH_2_MolWt</f>
        <v>30.264673408514774</v>
      </c>
      <c r="E383" s="108">
        <f>E379*Ca_OH_2_MolWt</f>
        <v>219.72971651284485</v>
      </c>
      <c r="F383" s="108">
        <f>F379*Ca_OH_2_MolWt</f>
        <v>115.7243173634316</v>
      </c>
      <c r="G383" s="108">
        <f>G379*Ca_OH_2_MolWt</f>
        <v>32.227025088550576</v>
      </c>
      <c r="H383" s="108">
        <f>H379*Ca_OH_2_MolWt</f>
        <v>32.227025088550576</v>
      </c>
    </row>
    <row r="384" spans="1:8" x14ac:dyDescent="0.3">
      <c r="A384" s="1" t="s">
        <v>534</v>
      </c>
      <c r="B384" s="90" t="s">
        <v>327</v>
      </c>
      <c r="C384" s="90"/>
      <c r="D384" s="108">
        <f>D380*H2O_MolWt</f>
        <v>3.6792670828234173</v>
      </c>
      <c r="E384" s="108">
        <f>E380*H2O_MolWt</f>
        <v>26.712474381315491</v>
      </c>
      <c r="F384" s="108">
        <f>F380*H2O_MolWt</f>
        <v>14.068569840826155</v>
      </c>
      <c r="G384" s="108">
        <f>G380*H2O_MolWt</f>
        <v>3.9178295759262722</v>
      </c>
      <c r="H384" s="108">
        <f>H380*H2O_MolWt</f>
        <v>3.9178295759262722</v>
      </c>
    </row>
    <row r="385" spans="1:8" x14ac:dyDescent="0.3">
      <c r="A385" s="1" t="s">
        <v>571</v>
      </c>
      <c r="B385" s="90" t="s">
        <v>327</v>
      </c>
      <c r="C385" s="90"/>
      <c r="D385" s="108">
        <f>D381*CaSO3halfH2O_MolWt</f>
        <v>52.752484917846246</v>
      </c>
      <c r="E385" s="108">
        <f>E381*CaSO3halfH2O_MolWt</f>
        <v>382.99731174648468</v>
      </c>
      <c r="F385" s="108">
        <f>F381*CaSO3halfH2O_MolWt</f>
        <v>201.71191751981524</v>
      </c>
      <c r="G385" s="108">
        <f>G381*CaSO3halfH2O_MolWt</f>
        <v>56.172939056151094</v>
      </c>
      <c r="H385" s="108">
        <f>H381*CaSO3halfH2O_MolWt</f>
        <v>56.172939056151094</v>
      </c>
    </row>
    <row r="386" spans="1:8" ht="13.5" x14ac:dyDescent="0.35">
      <c r="A386" s="211" t="s">
        <v>638</v>
      </c>
      <c r="B386" s="212">
        <v>0.05</v>
      </c>
      <c r="C386" s="90"/>
      <c r="D386" s="90"/>
      <c r="E386" s="90"/>
      <c r="F386" s="90"/>
      <c r="G386" s="90"/>
      <c r="H386" s="90"/>
    </row>
    <row r="387" spans="1:8" x14ac:dyDescent="0.3">
      <c r="A387" s="1" t="s">
        <v>656</v>
      </c>
      <c r="B387" s="90" t="s">
        <v>637</v>
      </c>
      <c r="C387" s="90"/>
      <c r="D387" s="143">
        <f>D388</f>
        <v>0.13615311850246947</v>
      </c>
      <c r="E387" s="143">
        <f>E388</f>
        <v>0.98850847412318221</v>
      </c>
      <c r="F387" s="143">
        <f>F388</f>
        <v>0.52061446303820913</v>
      </c>
      <c r="G387" s="143">
        <f>G388</f>
        <v>0.14498124287140007</v>
      </c>
      <c r="H387" s="143">
        <f>H388</f>
        <v>0.14498124287140007</v>
      </c>
    </row>
    <row r="388" spans="1:8" x14ac:dyDescent="0.3">
      <c r="A388" s="1" t="s">
        <v>530</v>
      </c>
      <c r="B388" s="90" t="s">
        <v>637</v>
      </c>
      <c r="C388" s="90"/>
      <c r="D388" s="143">
        <f>D45/SO2_MolWt*'Input &amp; Calculation Summary'!C120*$B386*'Input &amp; Calculation Summary'!C129</f>
        <v>0.13615311850246947</v>
      </c>
      <c r="E388" s="143">
        <f>E45/SO2_MolWt*'Input &amp; Calculation Summary'!D120*$B386*'Input &amp; Calculation Summary'!D129</f>
        <v>0.98850847412318221</v>
      </c>
      <c r="F388" s="143">
        <f>F45/SO2_MolWt*'Input &amp; Calculation Summary'!E120*$B386*'Input &amp; Calculation Summary'!E129</f>
        <v>0.52061446303820913</v>
      </c>
      <c r="G388" s="143">
        <f>G45/SO2_MolWt*'Input &amp; Calculation Summary'!F120*$B386*'Input &amp; Calculation Summary'!F129</f>
        <v>0.14498124287140007</v>
      </c>
      <c r="H388" s="143">
        <f>H45/SO2_MolWt*'Input &amp; Calculation Summary'!G120*$B386*'Input &amp; Calculation Summary'!G129</f>
        <v>0.14498124287140007</v>
      </c>
    </row>
    <row r="389" spans="1:8" x14ac:dyDescent="0.3">
      <c r="A389" s="1" t="s">
        <v>531</v>
      </c>
      <c r="B389" s="90" t="s">
        <v>637</v>
      </c>
      <c r="C389" s="90"/>
      <c r="D389" s="143">
        <f>D388/2</f>
        <v>6.8076559251234736E-2</v>
      </c>
      <c r="E389" s="143">
        <f>E388/2</f>
        <v>0.49425423706159111</v>
      </c>
      <c r="F389" s="143">
        <f>F388/2</f>
        <v>0.26030723151910456</v>
      </c>
      <c r="G389" s="143">
        <f>G388/2</f>
        <v>7.2490621435700037E-2</v>
      </c>
      <c r="H389" s="143">
        <f>H388/2</f>
        <v>7.2490621435700037E-2</v>
      </c>
    </row>
    <row r="390" spans="1:8" x14ac:dyDescent="0.3">
      <c r="A390" s="1" t="s">
        <v>534</v>
      </c>
      <c r="B390" s="90" t="s">
        <v>637</v>
      </c>
      <c r="C390" s="90"/>
      <c r="D390" s="143">
        <f>D388</f>
        <v>0.13615311850246947</v>
      </c>
      <c r="E390" s="143">
        <f>E388</f>
        <v>0.98850847412318221</v>
      </c>
      <c r="F390" s="143">
        <f>F388</f>
        <v>0.52061446303820913</v>
      </c>
      <c r="G390" s="143">
        <f>G388</f>
        <v>0.14498124287140007</v>
      </c>
      <c r="H390" s="143">
        <f>H388</f>
        <v>0.14498124287140007</v>
      </c>
    </row>
    <row r="391" spans="1:8" x14ac:dyDescent="0.3">
      <c r="A391" s="1" t="s">
        <v>572</v>
      </c>
      <c r="B391" s="90" t="s">
        <v>637</v>
      </c>
      <c r="C391" s="90"/>
      <c r="D391" s="143">
        <f>D388</f>
        <v>0.13615311850246947</v>
      </c>
      <c r="E391" s="143">
        <f>E388</f>
        <v>0.98850847412318221</v>
      </c>
      <c r="F391" s="143">
        <f>F388</f>
        <v>0.52061446303820913</v>
      </c>
      <c r="G391" s="143">
        <f>G388</f>
        <v>0.14498124287140007</v>
      </c>
      <c r="H391" s="143">
        <f>H388</f>
        <v>0.14498124287140007</v>
      </c>
    </row>
    <row r="392" spans="1:8" x14ac:dyDescent="0.3">
      <c r="A392" s="1" t="s">
        <v>656</v>
      </c>
      <c r="B392" s="90" t="s">
        <v>327</v>
      </c>
      <c r="C392" s="90"/>
      <c r="D392" s="108">
        <f>D387*Ca_OH_2_MolWt</f>
        <v>10.088224469504926</v>
      </c>
      <c r="E392" s="108">
        <f>E387*Ca_OH_2_MolWt</f>
        <v>73.243238837614953</v>
      </c>
      <c r="F392" s="108">
        <f>F387*Ca_OH_2_MolWt</f>
        <v>38.574772454477198</v>
      </c>
      <c r="G392" s="108">
        <f>G387*Ca_OH_2_MolWt</f>
        <v>10.742341696183528</v>
      </c>
      <c r="H392" s="108">
        <f>H387*Ca_OH_2_MolWt</f>
        <v>10.742341696183528</v>
      </c>
    </row>
    <row r="393" spans="1:8" x14ac:dyDescent="0.3">
      <c r="A393" s="1" t="s">
        <v>530</v>
      </c>
      <c r="B393" s="90" t="s">
        <v>327</v>
      </c>
      <c r="C393" s="90"/>
      <c r="D393" s="108">
        <f>D388*SO2_MolWt</f>
        <v>8.7223500000000005</v>
      </c>
      <c r="E393" s="108">
        <f>E388*SO2_MolWt</f>
        <v>63.326620676058596</v>
      </c>
      <c r="F393" s="108">
        <f>F388*SO2_MolWt</f>
        <v>33.352020222724178</v>
      </c>
      <c r="G393" s="108">
        <f>G388*SO2_MolWt</f>
        <v>9.2879043658219285</v>
      </c>
      <c r="H393" s="108">
        <f>H388*SO2_MolWt</f>
        <v>9.2879043658219285</v>
      </c>
    </row>
    <row r="394" spans="1:8" x14ac:dyDescent="0.3">
      <c r="A394" s="1" t="s">
        <v>531</v>
      </c>
      <c r="B394" s="90" t="s">
        <v>327</v>
      </c>
      <c r="C394" s="90"/>
      <c r="D394" s="108">
        <f>D389*O2_MolWt</f>
        <v>2.17836820416841</v>
      </c>
      <c r="E394" s="108">
        <f>E389*O2_MolWt</f>
        <v>15.815542480886441</v>
      </c>
      <c r="F394" s="108">
        <f>F389*O2_MolWt</f>
        <v>8.3295190399335226</v>
      </c>
      <c r="G394" s="108">
        <f>G389*O2_MolWt</f>
        <v>2.3196128971966781</v>
      </c>
      <c r="H394" s="108">
        <f>H389*O2_MolWt</f>
        <v>2.3196128971966781</v>
      </c>
    </row>
    <row r="395" spans="1:8" x14ac:dyDescent="0.3">
      <c r="A395" s="1" t="s">
        <v>534</v>
      </c>
      <c r="B395" s="90" t="s">
        <v>327</v>
      </c>
      <c r="C395" s="90"/>
      <c r="D395" s="108">
        <f>D390*H2O_MolWt</f>
        <v>2.4528447218822782</v>
      </c>
      <c r="E395" s="108">
        <f>E390*H2O_MolWt</f>
        <v>17.808316254210329</v>
      </c>
      <c r="F395" s="108">
        <f>F390*H2O_MolWt</f>
        <v>9.3790465605507691</v>
      </c>
      <c r="G395" s="108">
        <f>G390*H2O_MolWt</f>
        <v>2.6118863839508482</v>
      </c>
      <c r="H395" s="108">
        <f>H390*H2O_MolWt</f>
        <v>2.6118863839508482</v>
      </c>
    </row>
    <row r="396" spans="1:8" x14ac:dyDescent="0.3">
      <c r="A396" s="1" t="s">
        <v>572</v>
      </c>
      <c r="B396" s="90" t="s">
        <v>327</v>
      </c>
      <c r="C396" s="90"/>
      <c r="D396" s="108">
        <f>D391*CaSO4_2H2O_MolWt</f>
        <v>23.441795564742726</v>
      </c>
      <c r="E396" s="108">
        <f>E391*CaSO4_2H2O_MolWt</f>
        <v>170.19377755927877</v>
      </c>
      <c r="F396" s="108">
        <f>F391*CaSO4_2H2O_MolWt</f>
        <v>89.635389514553452</v>
      </c>
      <c r="G396" s="108">
        <f>G391*CaSO4_2H2O_MolWt</f>
        <v>24.961754042027557</v>
      </c>
      <c r="H396" s="108">
        <f>H391*CaSO4_2H2O_MolWt</f>
        <v>24.961754042027557</v>
      </c>
    </row>
    <row r="397" spans="1:8" x14ac:dyDescent="0.3">
      <c r="B397" s="90"/>
      <c r="C397" s="90"/>
      <c r="D397" s="108"/>
      <c r="E397" s="108"/>
      <c r="F397" s="108"/>
      <c r="G397" s="108"/>
      <c r="H397" s="108"/>
    </row>
    <row r="398" spans="1:8" ht="15.5" x14ac:dyDescent="0.35">
      <c r="A398" s="123" t="s">
        <v>682</v>
      </c>
      <c r="B398" s="90"/>
      <c r="C398" s="90"/>
      <c r="D398" s="108"/>
      <c r="E398" s="108"/>
      <c r="F398" s="108"/>
      <c r="G398" s="108"/>
      <c r="H398" s="108"/>
    </row>
    <row r="399" spans="1:8" x14ac:dyDescent="0.3">
      <c r="A399" s="1" t="s">
        <v>571</v>
      </c>
      <c r="B399" s="90" t="s">
        <v>327</v>
      </c>
      <c r="C399" s="90"/>
      <c r="D399" s="108">
        <f>D1008</f>
        <v>519.9977214143604</v>
      </c>
      <c r="E399" s="108">
        <f>E1008</f>
        <v>5724.455646435169</v>
      </c>
      <c r="F399" s="108">
        <f>F1008</f>
        <v>3015.1789325236005</v>
      </c>
      <c r="G399" s="108">
        <f>G1008</f>
        <v>839.82207636257044</v>
      </c>
      <c r="H399" s="108">
        <f>H1008</f>
        <v>839.82207636257044</v>
      </c>
    </row>
    <row r="400" spans="1:8" x14ac:dyDescent="0.3">
      <c r="A400" s="1" t="s">
        <v>572</v>
      </c>
      <c r="B400" s="90" t="s">
        <v>327</v>
      </c>
      <c r="C400" s="90"/>
      <c r="D400" s="108">
        <f t="shared" ref="D400:H402" si="9">D1009</f>
        <v>231.07310107781649</v>
      </c>
      <c r="E400" s="108">
        <f t="shared" si="9"/>
        <v>2543.7952201143262</v>
      </c>
      <c r="F400" s="108">
        <f t="shared" si="9"/>
        <v>1339.8649985382181</v>
      </c>
      <c r="G400" s="108">
        <f t="shared" si="9"/>
        <v>373.19450364297461</v>
      </c>
      <c r="H400" s="108">
        <f t="shared" si="9"/>
        <v>373.19450364297461</v>
      </c>
    </row>
    <row r="401" spans="1:8" x14ac:dyDescent="0.3">
      <c r="A401" s="1" t="s">
        <v>565</v>
      </c>
      <c r="B401" s="90" t="s">
        <v>327</v>
      </c>
      <c r="C401" s="90"/>
      <c r="D401" s="108">
        <f t="shared" si="9"/>
        <v>8517.4832695146306</v>
      </c>
      <c r="E401" s="108">
        <f t="shared" si="9"/>
        <v>44734.394694169299</v>
      </c>
      <c r="F401" s="108">
        <f t="shared" si="9"/>
        <v>23559.898634922964</v>
      </c>
      <c r="G401" s="108">
        <f t="shared" si="9"/>
        <v>6560.8746620223537</v>
      </c>
      <c r="H401" s="108">
        <f t="shared" si="9"/>
        <v>6560.8746620223537</v>
      </c>
    </row>
    <row r="402" spans="1:8" x14ac:dyDescent="0.3">
      <c r="A402" s="1" t="s">
        <v>656</v>
      </c>
      <c r="B402" s="90" t="s">
        <v>327</v>
      </c>
      <c r="C402" s="90"/>
      <c r="D402" s="108">
        <f t="shared" si="9"/>
        <v>53.840704899048603</v>
      </c>
      <c r="E402" s="108">
        <f t="shared" si="9"/>
        <v>420.57283816794029</v>
      </c>
      <c r="F402" s="108">
        <f t="shared" si="9"/>
        <v>221.28579076223957</v>
      </c>
      <c r="G402" s="108">
        <f t="shared" si="9"/>
        <v>61.514123142154972</v>
      </c>
      <c r="H402" s="108">
        <f t="shared" si="9"/>
        <v>61.514123142154972</v>
      </c>
    </row>
    <row r="403" spans="1:8" x14ac:dyDescent="0.3">
      <c r="A403" s="1" t="s">
        <v>534</v>
      </c>
      <c r="B403" s="90" t="s">
        <v>327</v>
      </c>
      <c r="C403" s="90"/>
      <c r="D403" s="108"/>
      <c r="E403" s="108"/>
      <c r="F403" s="108"/>
      <c r="G403" s="108"/>
      <c r="H403" s="108"/>
    </row>
    <row r="404" spans="1:8" x14ac:dyDescent="0.3">
      <c r="A404" s="1" t="s">
        <v>312</v>
      </c>
      <c r="B404" s="90" t="s">
        <v>327</v>
      </c>
      <c r="C404" s="90"/>
      <c r="D404" s="108">
        <f>SUM(D399:D402)</f>
        <v>9322.3947969058554</v>
      </c>
      <c r="E404" s="108">
        <f>SUM(E399:E402)</f>
        <v>53423.21839888674</v>
      </c>
      <c r="F404" s="108">
        <f>SUM(F399:F402)</f>
        <v>28136.228356747022</v>
      </c>
      <c r="G404" s="108">
        <f>SUM(G399:G402)</f>
        <v>7835.4053651700542</v>
      </c>
      <c r="H404" s="108">
        <f>SUM(H399:H402)</f>
        <v>7835.4053651700542</v>
      </c>
    </row>
    <row r="405" spans="1:8" x14ac:dyDescent="0.3">
      <c r="B405" s="90"/>
      <c r="C405" s="90"/>
      <c r="D405" s="108"/>
      <c r="E405" s="108"/>
      <c r="F405" s="108"/>
      <c r="G405" s="108"/>
      <c r="H405" s="108"/>
    </row>
    <row r="406" spans="1:8" ht="15.5" x14ac:dyDescent="0.35">
      <c r="A406" s="123" t="s">
        <v>683</v>
      </c>
      <c r="B406" s="90"/>
      <c r="C406" s="90"/>
      <c r="D406" s="108"/>
      <c r="E406" s="108"/>
      <c r="F406" s="108"/>
      <c r="G406" s="108"/>
      <c r="H406" s="108"/>
    </row>
    <row r="407" spans="1:8" x14ac:dyDescent="0.3">
      <c r="A407" s="1" t="s">
        <v>571</v>
      </c>
      <c r="B407" s="90" t="s">
        <v>327</v>
      </c>
      <c r="C407" s="90"/>
      <c r="D407" s="108">
        <f>D399*0.1</f>
        <v>51.99977214143604</v>
      </c>
      <c r="E407" s="108">
        <f>E399*0.1</f>
        <v>572.44556464351695</v>
      </c>
      <c r="F407" s="108">
        <f>F399*0.1</f>
        <v>301.51789325236007</v>
      </c>
      <c r="G407" s="108">
        <f>G399*0.1</f>
        <v>83.982207636257044</v>
      </c>
      <c r="H407" s="108">
        <f>H399*0.1</f>
        <v>83.982207636257044</v>
      </c>
    </row>
    <row r="408" spans="1:8" x14ac:dyDescent="0.3">
      <c r="A408" s="1" t="s">
        <v>572</v>
      </c>
      <c r="B408" s="90" t="s">
        <v>327</v>
      </c>
      <c r="C408" s="90"/>
      <c r="D408" s="108">
        <f t="shared" ref="D408:H410" si="10">D400*0.1</f>
        <v>23.10731010778165</v>
      </c>
      <c r="E408" s="108">
        <f t="shared" si="10"/>
        <v>254.37952201143264</v>
      </c>
      <c r="F408" s="108">
        <f t="shared" si="10"/>
        <v>133.98649985382181</v>
      </c>
      <c r="G408" s="108">
        <f t="shared" si="10"/>
        <v>37.31945036429746</v>
      </c>
      <c r="H408" s="108">
        <f t="shared" si="10"/>
        <v>37.31945036429746</v>
      </c>
    </row>
    <row r="409" spans="1:8" x14ac:dyDescent="0.3">
      <c r="A409" s="1" t="s">
        <v>565</v>
      </c>
      <c r="B409" s="90" t="s">
        <v>327</v>
      </c>
      <c r="C409" s="90"/>
      <c r="D409" s="108">
        <f t="shared" si="10"/>
        <v>851.74832695146313</v>
      </c>
      <c r="E409" s="108">
        <f t="shared" si="10"/>
        <v>4473.4394694169305</v>
      </c>
      <c r="F409" s="108">
        <f t="shared" si="10"/>
        <v>2355.9898634922965</v>
      </c>
      <c r="G409" s="108">
        <f t="shared" si="10"/>
        <v>656.08746620223542</v>
      </c>
      <c r="H409" s="108">
        <f t="shared" si="10"/>
        <v>656.08746620223542</v>
      </c>
    </row>
    <row r="410" spans="1:8" x14ac:dyDescent="0.3">
      <c r="A410" s="1" t="s">
        <v>656</v>
      </c>
      <c r="B410" s="90" t="s">
        <v>327</v>
      </c>
      <c r="C410" s="90"/>
      <c r="D410" s="108">
        <f t="shared" si="10"/>
        <v>5.384070489904861</v>
      </c>
      <c r="E410" s="108">
        <f t="shared" si="10"/>
        <v>42.057283816794033</v>
      </c>
      <c r="F410" s="108">
        <f t="shared" si="10"/>
        <v>22.128579076223957</v>
      </c>
      <c r="G410" s="108">
        <f t="shared" si="10"/>
        <v>6.1514123142154977</v>
      </c>
      <c r="H410" s="108">
        <f t="shared" si="10"/>
        <v>6.1514123142154977</v>
      </c>
    </row>
    <row r="411" spans="1:8" x14ac:dyDescent="0.3">
      <c r="A411" s="1" t="s">
        <v>534</v>
      </c>
      <c r="B411" s="90" t="s">
        <v>327</v>
      </c>
      <c r="C411" s="90"/>
      <c r="D411" s="108">
        <f>SUM(D407:D410)*0.02/0.98</f>
        <v>19.025295503889502</v>
      </c>
      <c r="E411" s="108">
        <f>SUM(E407:E410)*0.02/0.98</f>
        <v>109.02697632425865</v>
      </c>
      <c r="F411" s="108">
        <f>SUM(F407:F410)*0.02/0.98</f>
        <v>57.420874197442913</v>
      </c>
      <c r="G411" s="108">
        <f>SUM(G407:G410)*0.02/0.98</f>
        <v>15.990623194224602</v>
      </c>
      <c r="H411" s="108">
        <f>SUM(H407:H410)*0.02/0.98</f>
        <v>15.990623194224602</v>
      </c>
    </row>
    <row r="412" spans="1:8" x14ac:dyDescent="0.3">
      <c r="A412" s="1" t="s">
        <v>312</v>
      </c>
      <c r="B412" s="90" t="s">
        <v>327</v>
      </c>
      <c r="C412" s="90"/>
      <c r="D412" s="108">
        <f>SUM(D407:D410)</f>
        <v>932.23947969058565</v>
      </c>
      <c r="E412" s="108">
        <f>SUM(E407:E410)</f>
        <v>5342.3218398886738</v>
      </c>
      <c r="F412" s="108">
        <f>SUM(F407:F410)</f>
        <v>2813.6228356747024</v>
      </c>
      <c r="G412" s="108">
        <f>SUM(G407:G410)</f>
        <v>783.54053651700542</v>
      </c>
      <c r="H412" s="108">
        <f>SUM(H407:H410)</f>
        <v>783.54053651700542</v>
      </c>
    </row>
    <row r="413" spans="1:8" x14ac:dyDescent="0.3">
      <c r="B413" s="90"/>
      <c r="C413" s="90"/>
      <c r="D413" s="108"/>
      <c r="E413" s="108"/>
      <c r="F413" s="108"/>
      <c r="G413" s="108"/>
      <c r="H413" s="108"/>
    </row>
    <row r="414" spans="1:8" ht="15.5" x14ac:dyDescent="0.35">
      <c r="A414" s="123" t="s">
        <v>684</v>
      </c>
      <c r="B414" s="90"/>
      <c r="C414" s="90"/>
      <c r="D414" s="108"/>
      <c r="E414" s="108"/>
      <c r="F414" s="108"/>
      <c r="G414" s="108"/>
      <c r="H414" s="108"/>
    </row>
    <row r="415" spans="1:8" x14ac:dyDescent="0.3">
      <c r="A415" s="1" t="s">
        <v>571</v>
      </c>
      <c r="B415" s="90" t="s">
        <v>327</v>
      </c>
      <c r="C415" s="90"/>
      <c r="D415" s="108">
        <f>(D399-D407)*'Input &amp; Calculation Summary'!C129+D385</f>
        <v>520.75043419077065</v>
      </c>
      <c r="E415" s="108">
        <f>(E399-E407)*'Input &amp; Calculation Summary'!D129+E385</f>
        <v>5535.007393538137</v>
      </c>
      <c r="F415" s="108">
        <f>(F399-F407)*'Input &amp; Calculation Summary'!E129+F385</f>
        <v>2915.3729567910559</v>
      </c>
      <c r="G415" s="108">
        <f>(G399-G407)*'Input &amp; Calculation Summary'!F129+G385</f>
        <v>812.01280778246451</v>
      </c>
      <c r="H415" s="108">
        <f>(H399-H407)*'Input &amp; Calculation Summary'!G129+H385</f>
        <v>812.01280778246451</v>
      </c>
    </row>
    <row r="416" spans="1:8" x14ac:dyDescent="0.3">
      <c r="A416" s="1" t="s">
        <v>572</v>
      </c>
      <c r="B416" s="90" t="s">
        <v>327</v>
      </c>
      <c r="C416" s="90"/>
      <c r="D416" s="108">
        <f>(D400-D408)*'Input &amp; Calculation Summary'!C129+'LSD Cost &amp; Tech. Results'!D396</f>
        <v>231.40758653477758</v>
      </c>
      <c r="E416" s="108">
        <f>(E400-E408)*'Input &amp; Calculation Summary'!D129+'LSD Cost &amp; Tech. Results'!E396</f>
        <v>2459.6094756621724</v>
      </c>
      <c r="F416" s="108">
        <f>(F400-F408)*'Input &amp; Calculation Summary'!E129+'LSD Cost &amp; Tech. Results'!F396</f>
        <v>1295.5138881989496</v>
      </c>
      <c r="G416" s="108">
        <f>(G400-G408)*'Input &amp; Calculation Summary'!F129+'LSD Cost &amp; Tech. Results'!G396</f>
        <v>360.83680732070474</v>
      </c>
      <c r="H416" s="108">
        <f>(H400-H408)*'Input &amp; Calculation Summary'!G129+'LSD Cost &amp; Tech. Results'!H396</f>
        <v>360.83680732070474</v>
      </c>
    </row>
    <row r="417" spans="1:8" x14ac:dyDescent="0.3">
      <c r="A417" s="1" t="s">
        <v>565</v>
      </c>
      <c r="B417" s="90" t="s">
        <v>327</v>
      </c>
      <c r="C417" s="90"/>
      <c r="D417" s="108">
        <f>(D401-D409)*'Input &amp; Calculation Summary'!C129</f>
        <v>7665.7349425631674</v>
      </c>
      <c r="E417" s="108">
        <f>(E401-E409)*'Input &amp; Calculation Summary'!D129</f>
        <v>40260.955224752368</v>
      </c>
      <c r="F417" s="108">
        <f>(F401-F409)*'Input &amp; Calculation Summary'!E129</f>
        <v>21203.908771430666</v>
      </c>
      <c r="G417" s="108">
        <f>(G401-G409)*'Input &amp; Calculation Summary'!F129</f>
        <v>5904.7871958201185</v>
      </c>
      <c r="H417" s="108">
        <f>(H401-H409)*'Input &amp; Calculation Summary'!G129</f>
        <v>5904.7871958201185</v>
      </c>
    </row>
    <row r="418" spans="1:8" x14ac:dyDescent="0.3">
      <c r="A418" s="1" t="s">
        <v>656</v>
      </c>
      <c r="B418" s="90" t="s">
        <v>327</v>
      </c>
      <c r="C418" s="90"/>
      <c r="D418" s="108">
        <f>(D402-D410)*'Input &amp; Calculation Summary'!C129-(D392+D383)</f>
        <v>8.1037365311240421</v>
      </c>
      <c r="E418" s="108">
        <f>(E402-E410)*'Input &amp; Calculation Summary'!D129-(E392+E383)</f>
        <v>85.542599000686437</v>
      </c>
      <c r="F418" s="108">
        <f>(F402-F410)*'Input &amp; Calculation Summary'!E129-(F392+F383)</f>
        <v>44.858121868106821</v>
      </c>
      <c r="G418" s="108">
        <f>(G402-G410)*'Input &amp; Calculation Summary'!F129-(G392+G383)</f>
        <v>12.393344043205367</v>
      </c>
      <c r="H418" s="108">
        <f>(H402-H410)*'Input &amp; Calculation Summary'!G129-(H392+H383)</f>
        <v>12.393344043205367</v>
      </c>
    </row>
    <row r="419" spans="1:8" x14ac:dyDescent="0.3">
      <c r="A419" s="1" t="s">
        <v>534</v>
      </c>
      <c r="B419" s="90" t="s">
        <v>327</v>
      </c>
      <c r="C419" s="90"/>
      <c r="D419" s="108"/>
      <c r="E419" s="108"/>
      <c r="F419" s="108"/>
      <c r="G419" s="108"/>
      <c r="H419" s="108"/>
    </row>
    <row r="420" spans="1:8" x14ac:dyDescent="0.3">
      <c r="A420" s="1" t="s">
        <v>312</v>
      </c>
      <c r="B420" s="90" t="s">
        <v>327</v>
      </c>
      <c r="C420" s="90"/>
      <c r="D420" s="108">
        <f>SUM(D415:D418)</f>
        <v>8425.9966998198397</v>
      </c>
      <c r="E420" s="108">
        <f>SUM(E415:E418)</f>
        <v>48341.114692953364</v>
      </c>
      <c r="F420" s="108">
        <f>SUM(F415:F418)</f>
        <v>25459.653738288776</v>
      </c>
      <c r="G420" s="108">
        <f>SUM(G415:G418)</f>
        <v>7090.0301549664937</v>
      </c>
      <c r="H420" s="108">
        <f>SUM(H415:H418)</f>
        <v>7090.0301549664937</v>
      </c>
    </row>
    <row r="421" spans="1:8" x14ac:dyDescent="0.3">
      <c r="B421" s="90"/>
      <c r="C421" s="90"/>
      <c r="D421" s="108"/>
      <c r="E421" s="108"/>
      <c r="F421" s="108"/>
      <c r="G421" s="108"/>
      <c r="H421" s="108"/>
    </row>
    <row r="422" spans="1:8" ht="15.5" x14ac:dyDescent="0.35">
      <c r="A422" s="123" t="s">
        <v>685</v>
      </c>
      <c r="B422" s="90"/>
      <c r="C422" s="90"/>
      <c r="D422" s="108"/>
      <c r="E422" s="108"/>
      <c r="F422" s="108"/>
      <c r="G422" s="108"/>
      <c r="H422" s="108"/>
    </row>
    <row r="423" spans="1:8" x14ac:dyDescent="0.3">
      <c r="A423" s="1" t="s">
        <v>571</v>
      </c>
      <c r="B423" s="90" t="s">
        <v>327</v>
      </c>
      <c r="C423" s="90"/>
      <c r="D423" s="108">
        <f>D415*D$157</f>
        <v>519.82501759474496</v>
      </c>
      <c r="E423" s="108">
        <f>E415*E$157</f>
        <v>5528.8774986674543</v>
      </c>
      <c r="F423" s="108">
        <f>F415*F$157</f>
        <v>2912.1442475114941</v>
      </c>
      <c r="G423" s="108">
        <f>G415*G$157</f>
        <v>811.11352205591515</v>
      </c>
      <c r="H423" s="108">
        <f>H415*H$157</f>
        <v>811.11352205591515</v>
      </c>
    </row>
    <row r="424" spans="1:8" x14ac:dyDescent="0.3">
      <c r="A424" s="1" t="s">
        <v>572</v>
      </c>
      <c r="B424" s="90" t="s">
        <v>327</v>
      </c>
      <c r="C424" s="90"/>
      <c r="D424" s="108">
        <f t="shared" ref="D424:H426" si="11">D416*D$157</f>
        <v>230.99635611236167</v>
      </c>
      <c r="E424" s="108">
        <f t="shared" si="11"/>
        <v>2456.8855140778851</v>
      </c>
      <c r="F424" s="108">
        <f t="shared" si="11"/>
        <v>1294.0791360164251</v>
      </c>
      <c r="G424" s="108">
        <f t="shared" si="11"/>
        <v>360.43718875887032</v>
      </c>
      <c r="H424" s="108">
        <f t="shared" si="11"/>
        <v>360.43718875887032</v>
      </c>
    </row>
    <row r="425" spans="1:8" x14ac:dyDescent="0.3">
      <c r="A425" s="1" t="s">
        <v>565</v>
      </c>
      <c r="B425" s="90" t="s">
        <v>327</v>
      </c>
      <c r="C425" s="90"/>
      <c r="D425" s="108">
        <f t="shared" si="11"/>
        <v>7652.1122974901855</v>
      </c>
      <c r="E425" s="108">
        <f t="shared" si="11"/>
        <v>40216.36713202297</v>
      </c>
      <c r="F425" s="108">
        <f t="shared" si="11"/>
        <v>21180.425924457752</v>
      </c>
      <c r="G425" s="108">
        <f t="shared" si="11"/>
        <v>5898.2477782239675</v>
      </c>
      <c r="H425" s="108">
        <f t="shared" si="11"/>
        <v>5898.2477782239675</v>
      </c>
    </row>
    <row r="426" spans="1:8" x14ac:dyDescent="0.3">
      <c r="A426" s="1" t="s">
        <v>656</v>
      </c>
      <c r="B426" s="90" t="s">
        <v>327</v>
      </c>
      <c r="C426" s="90"/>
      <c r="D426" s="108">
        <f t="shared" si="11"/>
        <v>8.0893355209983842</v>
      </c>
      <c r="E426" s="108">
        <f t="shared" si="11"/>
        <v>85.447862516783758</v>
      </c>
      <c r="F426" s="108">
        <f t="shared" si="11"/>
        <v>44.808442517819273</v>
      </c>
      <c r="G426" s="108">
        <f t="shared" si="11"/>
        <v>12.379618696393774</v>
      </c>
      <c r="H426" s="108">
        <f t="shared" si="11"/>
        <v>12.379618696393774</v>
      </c>
    </row>
    <row r="427" spans="1:8" x14ac:dyDescent="0.3">
      <c r="A427" s="1" t="s">
        <v>534</v>
      </c>
      <c r="B427" s="90" t="s">
        <v>327</v>
      </c>
      <c r="C427" s="90"/>
      <c r="D427" s="108">
        <f>SUM(D423:D426)*0.02/0.98</f>
        <v>171.65353074935288</v>
      </c>
      <c r="E427" s="108">
        <f>SUM(E423:E426)*0.02/0.98</f>
        <v>985.46077565887936</v>
      </c>
      <c r="F427" s="108">
        <f>SUM(F423:F426)*0.02/0.98</f>
        <v>519.00934184701009</v>
      </c>
      <c r="G427" s="108">
        <f>SUM(G423:G426)*0.02/0.98</f>
        <v>144.53424709663562</v>
      </c>
      <c r="H427" s="108">
        <f>SUM(H423:H426)*0.02/0.98</f>
        <v>144.53424709663562</v>
      </c>
    </row>
    <row r="428" spans="1:8" x14ac:dyDescent="0.3">
      <c r="A428" s="1" t="s">
        <v>312</v>
      </c>
      <c r="B428" s="90" t="s">
        <v>327</v>
      </c>
      <c r="C428" s="90"/>
      <c r="D428" s="108">
        <f>SUM(D423:D427)</f>
        <v>8582.6765374676434</v>
      </c>
      <c r="E428" s="108">
        <f>SUM(E423:E427)</f>
        <v>49273.038782943971</v>
      </c>
      <c r="F428" s="108">
        <f>SUM(F423:F427)</f>
        <v>25950.4670923505</v>
      </c>
      <c r="G428" s="108">
        <f>SUM(G423:G427)</f>
        <v>7226.7123548317813</v>
      </c>
      <c r="H428" s="108">
        <f>SUM(H423:H427)</f>
        <v>7226.7123548317813</v>
      </c>
    </row>
    <row r="429" spans="1:8" x14ac:dyDescent="0.3">
      <c r="B429" s="90"/>
      <c r="C429" s="90"/>
      <c r="D429" s="108"/>
      <c r="E429" s="108"/>
      <c r="F429" s="108"/>
      <c r="G429" s="108"/>
      <c r="H429" s="108"/>
    </row>
    <row r="430" spans="1:8" ht="15.5" x14ac:dyDescent="0.35">
      <c r="A430" s="123" t="s">
        <v>686</v>
      </c>
      <c r="B430" s="90"/>
      <c r="C430" s="90"/>
      <c r="D430" s="90"/>
      <c r="E430" s="90"/>
      <c r="F430" s="90"/>
      <c r="G430" s="90"/>
      <c r="H430" s="90"/>
    </row>
    <row r="431" spans="1:8" x14ac:dyDescent="0.3">
      <c r="A431" s="1" t="s">
        <v>571</v>
      </c>
      <c r="B431" s="90" t="s">
        <v>327</v>
      </c>
      <c r="C431" s="90"/>
      <c r="D431" s="108">
        <f>D363*'Input &amp; Calculation Summary'!C129+'LSD Cost &amp; Tech. Results'!D385</f>
        <v>263.76242458923122</v>
      </c>
      <c r="E431" s="108">
        <f>E363*'Input &amp; Calculation Summary'!D129+'LSD Cost &amp; Tech. Results'!E385</f>
        <v>1914.9865587324234</v>
      </c>
      <c r="F431" s="108">
        <f>F363*'Input &amp; Calculation Summary'!E129+'LSD Cost &amp; Tech. Results'!F385</f>
        <v>1008.5595875990762</v>
      </c>
      <c r="G431" s="108">
        <f>G363*'Input &amp; Calculation Summary'!F129+'LSD Cost &amp; Tech. Results'!G385</f>
        <v>280.86469528075548</v>
      </c>
      <c r="H431" s="108">
        <f>H363*'Input &amp; Calculation Summary'!G129+'LSD Cost &amp; Tech. Results'!H385</f>
        <v>280.86469528075548</v>
      </c>
    </row>
    <row r="432" spans="1:8" x14ac:dyDescent="0.3">
      <c r="A432" s="1" t="s">
        <v>572</v>
      </c>
      <c r="B432" s="90" t="s">
        <v>327</v>
      </c>
      <c r="C432" s="90"/>
      <c r="D432" s="108">
        <f>D374*'Input &amp; Calculation Summary'!C129+D396</f>
        <v>117.20897782371364</v>
      </c>
      <c r="E432" s="108">
        <f>E374*'Input &amp; Calculation Summary'!D129+E396</f>
        <v>850.9688877963938</v>
      </c>
      <c r="F432" s="108">
        <f>F374*'Input &amp; Calculation Summary'!E129+F396</f>
        <v>448.17694757276729</v>
      </c>
      <c r="G432" s="108">
        <f>G374*'Input &amp; Calculation Summary'!F129+G396</f>
        <v>124.80877021013779</v>
      </c>
      <c r="H432" s="108">
        <f>H374*'Input &amp; Calculation Summary'!G129+H396</f>
        <v>124.80877021013779</v>
      </c>
    </row>
    <row r="433" spans="1:8" x14ac:dyDescent="0.3">
      <c r="A433" s="1" t="s">
        <v>565</v>
      </c>
      <c r="B433" s="90" t="s">
        <v>327</v>
      </c>
      <c r="C433" s="90"/>
      <c r="D433" s="108">
        <f>D101+D35+(D32/HCl_MolWt*CaCl2_MolWt/2)</f>
        <v>3882.8903386252778</v>
      </c>
      <c r="E433" s="108">
        <f>E101+E35+(E32/HCl_MolWt*CaCl2_MolWt/2)</f>
        <v>13930.944470958602</v>
      </c>
      <c r="F433" s="108">
        <f>F101+F35+(F32/HCl_MolWt*CaCl2_MolWt/2)</f>
        <v>7336.9640880381976</v>
      </c>
      <c r="G433" s="108">
        <f>G101+G35+(G32/HCl_MolWt*CaCl2_MolWt/2)</f>
        <v>2043.2051890739288</v>
      </c>
      <c r="H433" s="108">
        <f>H101+H35+(H32/HCl_MolWt*CaCl2_MolWt/2)</f>
        <v>2043.2051890739288</v>
      </c>
    </row>
    <row r="434" spans="1:8" x14ac:dyDescent="0.3">
      <c r="A434" s="1" t="s">
        <v>656</v>
      </c>
      <c r="B434" s="90" t="s">
        <v>327</v>
      </c>
      <c r="C434" s="90"/>
      <c r="D434" s="108">
        <f>(D102/CaO_MolWt*Ca_OH_2_MolWt)-(D361+D370)*'Input &amp; Calculation Summary'!C129-(D383+D392)-(D32/HCl_MolWt*Ca_OH_2_MolWt/2)</f>
        <v>4.1176426406142497</v>
      </c>
      <c r="E434" s="108">
        <f>(E102/CaO_MolWt*Ca_OH_2_MolWt)-(E361+E370)*'Input &amp; Calculation Summary'!D129-(E383+E392)-(E32/HCl_MolWt*Ca_OH_2_MolWt/2)</f>
        <v>29.895199525556848</v>
      </c>
      <c r="F434" s="108">
        <f>(F102/CaO_MolWt*Ca_OH_2_MolWt)-(F361+F370)*'Input &amp; Calculation Summary'!E129-(F383+F392)-(F32/HCl_MolWt*Ca_OH_2_MolWt/2)</f>
        <v>15.744805083460051</v>
      </c>
      <c r="G434" s="108">
        <f>(G102/CaO_MolWt*Ca_OH_2_MolWt)-(G361+G370)*'Input &amp; Calculation Summary'!F129-(G383+G392)-(G32/HCl_MolWt*Ca_OH_2_MolWt/2)</f>
        <v>4.3846292637483799</v>
      </c>
      <c r="H434" s="108">
        <f>(H102/CaO_MolWt*Ca_OH_2_MolWt)-(H361+H370)*'Input &amp; Calculation Summary'!G129-(H383+H392)-(H32/HCl_MolWt*Ca_OH_2_MolWt/2)</f>
        <v>4.3846292637483799</v>
      </c>
    </row>
    <row r="435" spans="1:8" x14ac:dyDescent="0.3">
      <c r="A435" s="1" t="s">
        <v>534</v>
      </c>
      <c r="B435" s="90" t="s">
        <v>327</v>
      </c>
      <c r="C435" s="90"/>
      <c r="D435" s="90" t="s">
        <v>687</v>
      </c>
      <c r="E435" s="90" t="s">
        <v>687</v>
      </c>
      <c r="F435" s="90" t="s">
        <v>687</v>
      </c>
      <c r="G435" s="90" t="s">
        <v>687</v>
      </c>
      <c r="H435" s="90" t="s">
        <v>687</v>
      </c>
    </row>
    <row r="436" spans="1:8" x14ac:dyDescent="0.3">
      <c r="A436" s="1" t="s">
        <v>312</v>
      </c>
      <c r="B436" s="90" t="s">
        <v>327</v>
      </c>
      <c r="C436" s="90"/>
      <c r="D436" s="108">
        <f>SUM(D431:D434)</f>
        <v>4267.9793836788376</v>
      </c>
      <c r="E436" s="108">
        <f>SUM(E431:E434)</f>
        <v>16726.795117012975</v>
      </c>
      <c r="F436" s="108">
        <f>SUM(F431:F434)</f>
        <v>8809.4454282935003</v>
      </c>
      <c r="G436" s="108">
        <f>SUM(G431:G434)</f>
        <v>2453.2632838285704</v>
      </c>
      <c r="H436" s="108">
        <f>SUM(H431:H434)</f>
        <v>2453.2632838285704</v>
      </c>
    </row>
    <row r="437" spans="1:8" x14ac:dyDescent="0.3">
      <c r="A437" s="1" t="s">
        <v>571</v>
      </c>
      <c r="B437" s="90" t="s">
        <v>564</v>
      </c>
      <c r="C437" s="90"/>
      <c r="D437" s="98">
        <f>D431/D436</f>
        <v>6.1800304284009434E-2</v>
      </c>
      <c r="E437" s="98">
        <f>E431/E436</f>
        <v>0.11448616099713407</v>
      </c>
      <c r="F437" s="98">
        <f>F431/F436</f>
        <v>0.11448616099713405</v>
      </c>
      <c r="G437" s="98">
        <f>G431/G436</f>
        <v>0.11448616099713406</v>
      </c>
      <c r="H437" s="98">
        <f>H431/H436</f>
        <v>0.11448616099713406</v>
      </c>
    </row>
    <row r="438" spans="1:8" x14ac:dyDescent="0.3">
      <c r="A438" s="1" t="s">
        <v>572</v>
      </c>
      <c r="B438" s="90" t="s">
        <v>564</v>
      </c>
      <c r="C438" s="90"/>
      <c r="D438" s="98">
        <f>D432/D436</f>
        <v>2.7462404872884816E-2</v>
      </c>
      <c r="E438" s="98">
        <f>E432/E436</f>
        <v>5.0874592642727215E-2</v>
      </c>
      <c r="F438" s="98">
        <f>F432/F436</f>
        <v>5.0874592642727201E-2</v>
      </c>
      <c r="G438" s="98">
        <f>G432/G436</f>
        <v>5.0874592642727215E-2</v>
      </c>
      <c r="H438" s="98">
        <f>H432/H436</f>
        <v>5.0874592642727215E-2</v>
      </c>
    </row>
    <row r="439" spans="1:8" x14ac:dyDescent="0.3">
      <c r="A439" s="1" t="s">
        <v>565</v>
      </c>
      <c r="B439" s="90" t="s">
        <v>564</v>
      </c>
      <c r="C439" s="90"/>
      <c r="D439" s="98">
        <f>D433/D436</f>
        <v>0.90977251517985835</v>
      </c>
      <c r="E439" s="98">
        <f>E433/E436</f>
        <v>0.83285198231365387</v>
      </c>
      <c r="F439" s="98">
        <f>F433/F436</f>
        <v>0.83285198231365387</v>
      </c>
      <c r="G439" s="98">
        <f>G433/G436</f>
        <v>0.83285198231365376</v>
      </c>
      <c r="H439" s="98">
        <f>H433/H436</f>
        <v>0.83285198231365376</v>
      </c>
    </row>
    <row r="440" spans="1:8" x14ac:dyDescent="0.3">
      <c r="A440" s="1" t="s">
        <v>656</v>
      </c>
      <c r="B440" s="90" t="s">
        <v>564</v>
      </c>
      <c r="C440" s="90"/>
      <c r="D440" s="98">
        <f>D434/D436</f>
        <v>9.6477566324722891E-4</v>
      </c>
      <c r="E440" s="98">
        <f>E434/E436</f>
        <v>1.7872640464849222E-3</v>
      </c>
      <c r="F440" s="98">
        <f>F434/F436</f>
        <v>1.7872640464849348E-3</v>
      </c>
      <c r="G440" s="98">
        <f>G434/G436</f>
        <v>1.7872640464849389E-3</v>
      </c>
      <c r="H440" s="98">
        <f>H434/H436</f>
        <v>1.7872640464849389E-3</v>
      </c>
    </row>
    <row r="441" spans="1:8" x14ac:dyDescent="0.3">
      <c r="A441" s="1" t="s">
        <v>534</v>
      </c>
      <c r="B441" s="90" t="s">
        <v>564</v>
      </c>
      <c r="C441" s="90"/>
      <c r="D441" s="90" t="s">
        <v>687</v>
      </c>
      <c r="E441" s="90" t="s">
        <v>687</v>
      </c>
      <c r="F441" s="90" t="s">
        <v>687</v>
      </c>
      <c r="G441" s="90" t="s">
        <v>687</v>
      </c>
      <c r="H441" s="90" t="s">
        <v>687</v>
      </c>
    </row>
    <row r="442" spans="1:8" x14ac:dyDescent="0.3">
      <c r="A442" s="1" t="s">
        <v>312</v>
      </c>
      <c r="B442" s="90" t="s">
        <v>564</v>
      </c>
      <c r="C442" s="90"/>
      <c r="D442" s="216">
        <f>SUM(D437:D440)</f>
        <v>0.99999999999999989</v>
      </c>
      <c r="E442" s="216">
        <f>SUM(E437:E440)</f>
        <v>1</v>
      </c>
      <c r="F442" s="216">
        <f>SUM(F437:F440)</f>
        <v>1</v>
      </c>
      <c r="G442" s="216">
        <f>SUM(G437:G440)</f>
        <v>1</v>
      </c>
      <c r="H442" s="216">
        <f>SUM(H437:H440)</f>
        <v>1</v>
      </c>
    </row>
    <row r="443" spans="1:8" x14ac:dyDescent="0.3">
      <c r="B443" s="90"/>
      <c r="C443" s="90"/>
      <c r="D443" s="90"/>
      <c r="E443" s="90"/>
      <c r="F443" s="90"/>
      <c r="G443" s="90"/>
      <c r="H443" s="90"/>
    </row>
    <row r="444" spans="1:8" ht="15.5" x14ac:dyDescent="0.35">
      <c r="A444" s="123" t="s">
        <v>688</v>
      </c>
      <c r="B444" s="90"/>
      <c r="C444" s="90"/>
      <c r="D444" s="90"/>
      <c r="E444" s="90"/>
      <c r="F444" s="90"/>
      <c r="G444" s="90"/>
      <c r="H444" s="90"/>
    </row>
    <row r="445" spans="1:8" x14ac:dyDescent="0.3">
      <c r="A445" s="1" t="s">
        <v>571</v>
      </c>
      <c r="B445" s="90" t="s">
        <v>327</v>
      </c>
      <c r="C445" s="90"/>
      <c r="D445" s="140">
        <f>D450*D437</f>
        <v>0.92144253687458066</v>
      </c>
      <c r="E445" s="140">
        <f>E450*E437</f>
        <v>6.0962163438558941</v>
      </c>
      <c r="F445" s="140">
        <f>F450*F437</f>
        <v>3.2106739410974363</v>
      </c>
      <c r="G445" s="140">
        <f>G450*G437</f>
        <v>0.8941117304321976</v>
      </c>
      <c r="H445" s="140">
        <f>H450*H437</f>
        <v>0.8941117304321976</v>
      </c>
    </row>
    <row r="446" spans="1:8" x14ac:dyDescent="0.3">
      <c r="A446" s="1" t="s">
        <v>572</v>
      </c>
      <c r="B446" s="90" t="s">
        <v>327</v>
      </c>
      <c r="C446" s="90"/>
      <c r="D446" s="140">
        <f>D450*D438</f>
        <v>0.40946445665471259</v>
      </c>
      <c r="E446" s="140">
        <f>E450*E438</f>
        <v>2.7089957463362602</v>
      </c>
      <c r="F446" s="140">
        <f>F450*F438</f>
        <v>1.4267377597370965</v>
      </c>
      <c r="G446" s="140">
        <f>G450*G438</f>
        <v>0.39731937612931817</v>
      </c>
      <c r="H446" s="140">
        <f>H450*H438</f>
        <v>0.39731937612931817</v>
      </c>
    </row>
    <row r="447" spans="1:8" x14ac:dyDescent="0.3">
      <c r="A447" s="1" t="s">
        <v>565</v>
      </c>
      <c r="B447" s="90" t="s">
        <v>327</v>
      </c>
      <c r="C447" s="90"/>
      <c r="D447" s="140">
        <f>D450*D439</f>
        <v>13.564708201331689</v>
      </c>
      <c r="E447" s="140">
        <f>E450*E439</f>
        <v>44.348118780228596</v>
      </c>
      <c r="F447" s="140">
        <f>F450*F439</f>
        <v>23.356675890920396</v>
      </c>
      <c r="G447" s="140">
        <f>G450*G439</f>
        <v>6.5043907544335271</v>
      </c>
      <c r="H447" s="140">
        <f>H450*H439</f>
        <v>6.5043907544335271</v>
      </c>
    </row>
    <row r="448" spans="1:8" x14ac:dyDescent="0.3">
      <c r="A448" s="1" t="s">
        <v>656</v>
      </c>
      <c r="B448" s="90" t="s">
        <v>327</v>
      </c>
      <c r="C448" s="90"/>
      <c r="D448" s="140">
        <f>D450*D440</f>
        <v>1.4384805139016183E-2</v>
      </c>
      <c r="E448" s="140">
        <f>E450*E440</f>
        <v>9.5169129579252387E-2</v>
      </c>
      <c r="F448" s="140">
        <f>F450*F440</f>
        <v>5.0122408245073274E-2</v>
      </c>
      <c r="G448" s="140">
        <f>G450*G440</f>
        <v>1.3958139004957147E-2</v>
      </c>
      <c r="H448" s="140">
        <f>H450*H440</f>
        <v>1.3958139004957147E-2</v>
      </c>
    </row>
    <row r="449" spans="1:8" x14ac:dyDescent="0.3">
      <c r="A449" s="1" t="s">
        <v>534</v>
      </c>
      <c r="B449" s="90" t="s">
        <v>327</v>
      </c>
      <c r="C449" s="90"/>
      <c r="D449" s="90" t="s">
        <v>687</v>
      </c>
      <c r="E449" s="90" t="s">
        <v>687</v>
      </c>
      <c r="F449" s="90" t="s">
        <v>687</v>
      </c>
      <c r="G449" s="90" t="s">
        <v>687</v>
      </c>
      <c r="H449" s="90" t="s">
        <v>687</v>
      </c>
    </row>
    <row r="450" spans="1:8" x14ac:dyDescent="0.3">
      <c r="A450" s="1" t="s">
        <v>312</v>
      </c>
      <c r="B450" s="90" t="s">
        <v>327</v>
      </c>
      <c r="C450" s="90"/>
      <c r="D450" s="108">
        <f>D80</f>
        <v>14.91</v>
      </c>
      <c r="E450" s="108">
        <f>E80</f>
        <v>53.2485</v>
      </c>
      <c r="F450" s="108">
        <f>F80</f>
        <v>28.04421</v>
      </c>
      <c r="G450" s="108">
        <f>G80</f>
        <v>7.8097799999999999</v>
      </c>
      <c r="H450" s="108">
        <f>H80</f>
        <v>7.8097799999999999</v>
      </c>
    </row>
    <row r="451" spans="1:8" x14ac:dyDescent="0.3">
      <c r="B451" s="90"/>
      <c r="C451" s="90"/>
      <c r="D451" s="90"/>
      <c r="E451" s="90"/>
      <c r="F451" s="90"/>
      <c r="G451" s="90"/>
      <c r="H451" s="90"/>
    </row>
    <row r="452" spans="1:8" ht="15.5" x14ac:dyDescent="0.35">
      <c r="A452" s="123" t="s">
        <v>666</v>
      </c>
      <c r="B452" s="90"/>
      <c r="C452" s="90"/>
      <c r="D452" s="90"/>
      <c r="E452" s="90"/>
      <c r="F452" s="90"/>
      <c r="G452" s="90"/>
      <c r="H452" s="90"/>
    </row>
    <row r="453" spans="1:8" x14ac:dyDescent="0.3">
      <c r="A453" s="1" t="s">
        <v>571</v>
      </c>
      <c r="B453" s="90" t="s">
        <v>327</v>
      </c>
      <c r="C453" s="90"/>
      <c r="D453" s="108">
        <f>D458*(1-0.02)*D437</f>
        <v>262.84098205235665</v>
      </c>
      <c r="E453" s="108">
        <f>E458*(1-0.02)*E437</f>
        <v>1908.8903423885674</v>
      </c>
      <c r="F453" s="108">
        <f>F458*(1-0.02)*F437</f>
        <v>1005.3489136579788</v>
      </c>
      <c r="G453" s="108">
        <f>G458*(1-0.02)*G437</f>
        <v>279.97058355032328</v>
      </c>
      <c r="H453" s="108">
        <f>H458*(1-0.02)*H437</f>
        <v>279.97058355032328</v>
      </c>
    </row>
    <row r="454" spans="1:8" x14ac:dyDescent="0.3">
      <c r="A454" s="1" t="s">
        <v>572</v>
      </c>
      <c r="B454" s="90" t="s">
        <v>327</v>
      </c>
      <c r="C454" s="90"/>
      <c r="D454" s="108">
        <f>D458*(1-0.02)*D438</f>
        <v>116.79951336705894</v>
      </c>
      <c r="E454" s="108">
        <f>E458*(1-0.02)*E438</f>
        <v>848.25989205005749</v>
      </c>
      <c r="F454" s="108">
        <f>F458*(1-0.02)*F438</f>
        <v>446.75020981303021</v>
      </c>
      <c r="G454" s="108">
        <f>G458*(1-0.02)*G438</f>
        <v>124.41145083400848</v>
      </c>
      <c r="H454" s="108">
        <f>H458*(1-0.02)*H438</f>
        <v>124.41145083400848</v>
      </c>
    </row>
    <row r="455" spans="1:8" x14ac:dyDescent="0.3">
      <c r="A455" s="1" t="s">
        <v>565</v>
      </c>
      <c r="B455" s="90" t="s">
        <v>327</v>
      </c>
      <c r="C455" s="90"/>
      <c r="D455" s="108">
        <f>D458*(1-0.02)*D439</f>
        <v>3869.3256304239462</v>
      </c>
      <c r="E455" s="108">
        <f>E458*(1-0.02)*E439</f>
        <v>13886.596352178372</v>
      </c>
      <c r="F455" s="108">
        <f>F458*(1-0.02)*F439</f>
        <v>7313.6074121472766</v>
      </c>
      <c r="G455" s="108">
        <f>G458*(1-0.02)*G439</f>
        <v>2036.7007983194951</v>
      </c>
      <c r="H455" s="108">
        <f>H458*(1-0.02)*H439</f>
        <v>2036.7007983194951</v>
      </c>
    </row>
    <row r="456" spans="1:8" x14ac:dyDescent="0.3">
      <c r="A456" s="1" t="s">
        <v>656</v>
      </c>
      <c r="B456" s="90" t="s">
        <v>327</v>
      </c>
      <c r="C456" s="90"/>
      <c r="D456" s="108">
        <f>D458*(1-0.02)*D440</f>
        <v>4.103257835475234</v>
      </c>
      <c r="E456" s="108">
        <f>E458*(1-0.02)*E440</f>
        <v>29.800030395977593</v>
      </c>
      <c r="F456" s="108">
        <f>F458*(1-0.02)*F440</f>
        <v>15.694682675214978</v>
      </c>
      <c r="G456" s="108">
        <f>G458*(1-0.02)*G440</f>
        <v>4.3706711247434225</v>
      </c>
      <c r="H456" s="108">
        <f>H458*(1-0.02)*H440</f>
        <v>4.3706711247434225</v>
      </c>
    </row>
    <row r="457" spans="1:8" x14ac:dyDescent="0.3">
      <c r="A457" s="1" t="s">
        <v>534</v>
      </c>
      <c r="B457" s="90" t="s">
        <v>327</v>
      </c>
      <c r="C457" s="90"/>
      <c r="D457" s="108">
        <f>D458-SUM(D453:D456)</f>
        <v>86.797334360793684</v>
      </c>
      <c r="E457" s="108">
        <f>E458-SUM(E453:E456)</f>
        <v>340.27646157169147</v>
      </c>
      <c r="F457" s="108">
        <f>F458-SUM(F453:F456)</f>
        <v>179.21226976109028</v>
      </c>
      <c r="G457" s="108">
        <f>G458-SUM(G453:G456)</f>
        <v>49.907214363848198</v>
      </c>
      <c r="H457" s="108">
        <f>H458-SUM(H453:H456)</f>
        <v>49.907214363848198</v>
      </c>
    </row>
    <row r="458" spans="1:8" x14ac:dyDescent="0.3">
      <c r="A458" s="1" t="s">
        <v>312</v>
      </c>
      <c r="B458" s="90" t="s">
        <v>327</v>
      </c>
      <c r="C458" s="90"/>
      <c r="D458" s="108">
        <f>(D436-D450)/(1-0.02)</f>
        <v>4339.8667180396305</v>
      </c>
      <c r="E458" s="108">
        <f>(E436-E450)/(1-0.02)</f>
        <v>17013.823078584668</v>
      </c>
      <c r="F458" s="108">
        <f>(F436-F450)/(1-0.02)</f>
        <v>8960.6134880545924</v>
      </c>
      <c r="G458" s="108">
        <f>(G436-G450)/(1-0.02)</f>
        <v>2495.3607181924185</v>
      </c>
      <c r="H458" s="108">
        <f>(H436-H450)/(1-0.02)</f>
        <v>2495.3607181924185</v>
      </c>
    </row>
    <row r="459" spans="1:8" x14ac:dyDescent="0.3">
      <c r="B459" s="90"/>
      <c r="C459" s="90"/>
      <c r="D459" s="108"/>
      <c r="E459" s="90"/>
      <c r="F459" s="90"/>
      <c r="G459" s="90"/>
      <c r="H459" s="90"/>
    </row>
    <row r="460" spans="1:8" ht="13.5" x14ac:dyDescent="0.35">
      <c r="A460" s="218" t="s">
        <v>689</v>
      </c>
      <c r="B460" s="217"/>
      <c r="C460" s="217"/>
      <c r="D460" s="217"/>
      <c r="E460" s="217"/>
      <c r="F460" s="217"/>
      <c r="G460" s="217"/>
      <c r="H460" s="217"/>
    </row>
    <row r="461" spans="1:8" ht="15.5" x14ac:dyDescent="0.35">
      <c r="A461" s="123" t="s">
        <v>690</v>
      </c>
      <c r="B461" s="90"/>
      <c r="C461" s="90"/>
      <c r="D461" s="90"/>
      <c r="E461" s="90"/>
      <c r="F461" s="90"/>
      <c r="G461" s="90"/>
      <c r="H461" s="90"/>
    </row>
    <row r="462" spans="1:8" x14ac:dyDescent="0.3">
      <c r="A462" s="1" t="s">
        <v>571</v>
      </c>
      <c r="B462" s="90" t="s">
        <v>327</v>
      </c>
      <c r="C462" s="90"/>
      <c r="D462" s="108">
        <f>D467*D453/D458</f>
        <v>314.57941886613918</v>
      </c>
      <c r="E462" s="108">
        <f>E467*E453/E458</f>
        <v>4231.0239990459568</v>
      </c>
      <c r="F462" s="108">
        <f>F467*F453/F458</f>
        <v>2228.3393061642037</v>
      </c>
      <c r="G462" s="108">
        <f>G467*G453/G458</f>
        <v>620.5501865267405</v>
      </c>
      <c r="H462" s="108">
        <f>H467*H453/H458</f>
        <v>620.5501865267405</v>
      </c>
    </row>
    <row r="463" spans="1:8" x14ac:dyDescent="0.3">
      <c r="A463" s="1" t="s">
        <v>572</v>
      </c>
      <c r="B463" s="90" t="s">
        <v>327</v>
      </c>
      <c r="C463" s="90"/>
      <c r="D463" s="108">
        <f>D467*D454/D458</f>
        <v>139.7906930340805</v>
      </c>
      <c r="E463" s="108">
        <f>E467*E454/E458</f>
        <v>1880.1540774736447</v>
      </c>
      <c r="F463" s="108">
        <f>F467*F454/F458</f>
        <v>990.21448080278572</v>
      </c>
      <c r="G463" s="108">
        <f>G467*G454/G458</f>
        <v>275.75593136280122</v>
      </c>
      <c r="H463" s="108">
        <f>H467*H454/H458</f>
        <v>275.75593136280122</v>
      </c>
    </row>
    <row r="464" spans="1:8" x14ac:dyDescent="0.3">
      <c r="A464" s="1" t="s">
        <v>565</v>
      </c>
      <c r="B464" s="90" t="s">
        <v>327</v>
      </c>
      <c r="C464" s="90"/>
      <c r="D464" s="108">
        <f>D467*D455/D458</f>
        <v>4630.975728055073</v>
      </c>
      <c r="E464" s="108">
        <f>E467*E455/E458</f>
        <v>30779.412062828105</v>
      </c>
      <c r="F464" s="108">
        <f>F467*F455/F458</f>
        <v>16210.490353089464</v>
      </c>
      <c r="G464" s="108">
        <f>G467*G455/G458</f>
        <v>4514.3137692147893</v>
      </c>
      <c r="H464" s="108">
        <f>H467*H455/H458</f>
        <v>4514.3137692147893</v>
      </c>
    </row>
    <row r="465" spans="1:8" x14ac:dyDescent="0.3">
      <c r="A465" s="1" t="s">
        <v>656</v>
      </c>
      <c r="B465" s="90" t="s">
        <v>327</v>
      </c>
      <c r="C465" s="90"/>
      <c r="D465" s="108">
        <f>D467*D456/D458</f>
        <v>4.9109558762971375</v>
      </c>
      <c r="E465" s="108">
        <f>E467*E456/E458</f>
        <v>66.051276481346903</v>
      </c>
      <c r="F465" s="108">
        <f>F467*F456/F458</f>
        <v>34.787005613509606</v>
      </c>
      <c r="G465" s="108">
        <f>G467*G456/G458</f>
        <v>9.6875205505976378</v>
      </c>
      <c r="H465" s="108">
        <f>H467*H456/H458</f>
        <v>9.6875205505976378</v>
      </c>
    </row>
    <row r="466" spans="1:8" x14ac:dyDescent="0.3">
      <c r="A466" s="1" t="s">
        <v>534</v>
      </c>
      <c r="B466" s="90" t="s">
        <v>327</v>
      </c>
      <c r="C466" s="90"/>
      <c r="D466" s="108">
        <f>D467*D457/D458</f>
        <v>103.8827917516664</v>
      </c>
      <c r="E466" s="108">
        <f>E467*E457/E458</f>
        <v>754.21717175160916</v>
      </c>
      <c r="F466" s="108">
        <f>F467*F457/F458</f>
        <v>397.22104378917948</v>
      </c>
      <c r="G466" s="108">
        <f>G467*G457/G458</f>
        <v>110.61851852356958</v>
      </c>
      <c r="H466" s="108">
        <f>H467*H457/H458</f>
        <v>110.61851852356958</v>
      </c>
    </row>
    <row r="467" spans="1:8" x14ac:dyDescent="0.3">
      <c r="A467" s="1" t="s">
        <v>312</v>
      </c>
      <c r="B467" s="90" t="s">
        <v>327</v>
      </c>
      <c r="C467" s="90"/>
      <c r="D467" s="108">
        <f>D103*'Input &amp; Calculation Summary'!C126</f>
        <v>5194.1395875832559</v>
      </c>
      <c r="E467" s="108">
        <f>E103*'Input &amp; Calculation Summary'!D126</f>
        <v>37710.858587580668</v>
      </c>
      <c r="F467" s="108">
        <f>F103*'Input &amp; Calculation Summary'!E126</f>
        <v>19861.052189459147</v>
      </c>
      <c r="G467" s="108">
        <f>G103*'Input &amp; Calculation Summary'!F126</f>
        <v>5530.9259261784982</v>
      </c>
      <c r="H467" s="108">
        <f>H103*'Input &amp; Calculation Summary'!G126</f>
        <v>5530.9259261784982</v>
      </c>
    </row>
    <row r="468" spans="1:8" x14ac:dyDescent="0.3">
      <c r="B468" s="90"/>
      <c r="C468" s="90"/>
      <c r="D468" s="90"/>
      <c r="E468" s="90"/>
      <c r="F468" s="90"/>
      <c r="G468" s="90"/>
      <c r="H468" s="90"/>
    </row>
    <row r="469" spans="1:8" ht="15.5" x14ac:dyDescent="0.35">
      <c r="A469" s="123" t="s">
        <v>691</v>
      </c>
      <c r="B469" s="90"/>
      <c r="C469" s="90"/>
      <c r="D469" s="90"/>
      <c r="E469" s="90"/>
      <c r="F469" s="90"/>
      <c r="G469" s="90"/>
      <c r="H469" s="90"/>
    </row>
    <row r="470" spans="1:8" x14ac:dyDescent="0.3">
      <c r="A470" s="1" t="s">
        <v>571</v>
      </c>
      <c r="B470" s="90" t="s">
        <v>327</v>
      </c>
      <c r="C470" s="90"/>
      <c r="D470" s="108">
        <f>D462</f>
        <v>314.57941886613918</v>
      </c>
      <c r="E470" s="108">
        <f>E462</f>
        <v>4231.0239990459568</v>
      </c>
      <c r="F470" s="108">
        <f>F462</f>
        <v>2228.3393061642037</v>
      </c>
      <c r="G470" s="108">
        <f>G462</f>
        <v>620.5501865267405</v>
      </c>
      <c r="H470" s="108">
        <f>H462</f>
        <v>620.5501865267405</v>
      </c>
    </row>
    <row r="471" spans="1:8" x14ac:dyDescent="0.3">
      <c r="A471" s="1" t="s">
        <v>572</v>
      </c>
      <c r="B471" s="90" t="s">
        <v>327</v>
      </c>
      <c r="C471" s="90"/>
      <c r="D471" s="108">
        <f t="shared" ref="D471:H473" si="12">D463</f>
        <v>139.7906930340805</v>
      </c>
      <c r="E471" s="108">
        <f t="shared" si="12"/>
        <v>1880.1540774736447</v>
      </c>
      <c r="F471" s="108">
        <f t="shared" si="12"/>
        <v>990.21448080278572</v>
      </c>
      <c r="G471" s="108">
        <f t="shared" si="12"/>
        <v>275.75593136280122</v>
      </c>
      <c r="H471" s="108">
        <f t="shared" si="12"/>
        <v>275.75593136280122</v>
      </c>
    </row>
    <row r="472" spans="1:8" x14ac:dyDescent="0.3">
      <c r="A472" s="1" t="s">
        <v>565</v>
      </c>
      <c r="B472" s="90" t="s">
        <v>327</v>
      </c>
      <c r="C472" s="90"/>
      <c r="D472" s="108">
        <f t="shared" si="12"/>
        <v>4630.975728055073</v>
      </c>
      <c r="E472" s="108">
        <f t="shared" si="12"/>
        <v>30779.412062828105</v>
      </c>
      <c r="F472" s="108">
        <f t="shared" si="12"/>
        <v>16210.490353089464</v>
      </c>
      <c r="G472" s="108">
        <f t="shared" si="12"/>
        <v>4514.3137692147893</v>
      </c>
      <c r="H472" s="108">
        <f t="shared" si="12"/>
        <v>4514.3137692147893</v>
      </c>
    </row>
    <row r="473" spans="1:8" x14ac:dyDescent="0.3">
      <c r="A473" s="1" t="s">
        <v>656</v>
      </c>
      <c r="B473" s="90" t="s">
        <v>327</v>
      </c>
      <c r="C473" s="90"/>
      <c r="D473" s="108">
        <f t="shared" si="12"/>
        <v>4.9109558762971375</v>
      </c>
      <c r="E473" s="108">
        <f t="shared" si="12"/>
        <v>66.051276481346903</v>
      </c>
      <c r="F473" s="108">
        <f t="shared" si="12"/>
        <v>34.787005613509606</v>
      </c>
      <c r="G473" s="108">
        <f t="shared" si="12"/>
        <v>9.6875205505976378</v>
      </c>
      <c r="H473" s="108">
        <f t="shared" si="12"/>
        <v>9.6875205505976378</v>
      </c>
    </row>
    <row r="474" spans="1:8" x14ac:dyDescent="0.3">
      <c r="A474" s="1" t="s">
        <v>534</v>
      </c>
      <c r="B474" s="90" t="s">
        <v>327</v>
      </c>
      <c r="C474" s="90"/>
      <c r="D474" s="108">
        <f>SUM(D470:D473)/'Input &amp; Calculation Summary'!C$128*(1-'Input &amp; Calculation Summary'!C$128)</f>
        <v>9453.3340494015265</v>
      </c>
      <c r="E474" s="108">
        <f>SUM(E470:E473)/'Input &amp; Calculation Summary'!D$128*(1-'Input &amp; Calculation Summary'!D$128)</f>
        <v>68633.762629396821</v>
      </c>
      <c r="F474" s="108">
        <f>SUM(F470:F473)/'Input &amp; Calculation Summary'!E$128*(1-'Input &amp; Calculation Summary'!E$128)</f>
        <v>36147.114984815649</v>
      </c>
      <c r="G474" s="108">
        <f>SUM(G470:G473)/'Input &amp; Calculation Summary'!F$128*(1-'Input &amp; Calculation Summary'!F$128)</f>
        <v>10066.285185644867</v>
      </c>
      <c r="H474" s="108">
        <f>SUM(H470:H473)/'Input &amp; Calculation Summary'!G$128*(1-'Input &amp; Calculation Summary'!G$128)</f>
        <v>10066.285185644867</v>
      </c>
    </row>
    <row r="475" spans="1:8" x14ac:dyDescent="0.3">
      <c r="A475" s="1" t="s">
        <v>312</v>
      </c>
      <c r="B475" s="90" t="s">
        <v>327</v>
      </c>
      <c r="C475" s="90"/>
      <c r="D475" s="108">
        <f>SUM(D470:D474)</f>
        <v>14543.590845233117</v>
      </c>
      <c r="E475" s="108">
        <f>SUM(E470:E474)</f>
        <v>105590.40404522588</v>
      </c>
      <c r="F475" s="108">
        <f>SUM(F470:F474)</f>
        <v>55610.946130485609</v>
      </c>
      <c r="G475" s="108">
        <f>SUM(G470:G474)</f>
        <v>15486.592593299796</v>
      </c>
      <c r="H475" s="108">
        <f>SUM(H470:H474)</f>
        <v>15486.592593299796</v>
      </c>
    </row>
    <row r="476" spans="1:8" x14ac:dyDescent="0.3">
      <c r="B476" s="90"/>
      <c r="C476" s="90"/>
      <c r="D476" s="90"/>
      <c r="E476" s="90"/>
      <c r="F476" s="90"/>
      <c r="G476" s="90"/>
      <c r="H476" s="90"/>
    </row>
    <row r="477" spans="1:8" ht="15.5" x14ac:dyDescent="0.35">
      <c r="A477" s="123" t="s">
        <v>692</v>
      </c>
      <c r="B477" s="90"/>
      <c r="C477" s="90"/>
      <c r="D477" s="90"/>
      <c r="E477" s="90"/>
      <c r="F477" s="90"/>
      <c r="G477" s="90"/>
      <c r="H477" s="90"/>
    </row>
    <row r="478" spans="1:8" x14ac:dyDescent="0.3">
      <c r="A478" s="1" t="s">
        <v>571</v>
      </c>
      <c r="B478" s="90" t="s">
        <v>327</v>
      </c>
      <c r="C478" s="90"/>
      <c r="D478" s="108">
        <f>D470/'Input &amp; Calculation Summary'!C$129</f>
        <v>314.57941886613918</v>
      </c>
      <c r="E478" s="108">
        <f>E470/'Input &amp; Calculation Summary'!D$129</f>
        <v>4231.0239990459568</v>
      </c>
      <c r="F478" s="108">
        <f>F470/'Input &amp; Calculation Summary'!E$129</f>
        <v>2228.3393061642037</v>
      </c>
      <c r="G478" s="108">
        <f>G470/'Input &amp; Calculation Summary'!F$129</f>
        <v>620.5501865267405</v>
      </c>
      <c r="H478" s="108">
        <f>H470/'Input &amp; Calculation Summary'!G$129</f>
        <v>620.5501865267405</v>
      </c>
    </row>
    <row r="479" spans="1:8" x14ac:dyDescent="0.3">
      <c r="A479" s="1" t="s">
        <v>572</v>
      </c>
      <c r="B479" s="90" t="s">
        <v>327</v>
      </c>
      <c r="C479" s="90"/>
      <c r="D479" s="108">
        <f>D471/'Input &amp; Calculation Summary'!C$129</f>
        <v>139.7906930340805</v>
      </c>
      <c r="E479" s="108">
        <f>E471/'Input &amp; Calculation Summary'!D$129</f>
        <v>1880.1540774736447</v>
      </c>
      <c r="F479" s="108">
        <f>F471/'Input &amp; Calculation Summary'!E$129</f>
        <v>990.21448080278572</v>
      </c>
      <c r="G479" s="108">
        <f>G471/'Input &amp; Calculation Summary'!F$129</f>
        <v>275.75593136280122</v>
      </c>
      <c r="H479" s="108">
        <f>H471/'Input &amp; Calculation Summary'!G$129</f>
        <v>275.75593136280122</v>
      </c>
    </row>
    <row r="480" spans="1:8" x14ac:dyDescent="0.3">
      <c r="A480" s="1" t="s">
        <v>565</v>
      </c>
      <c r="B480" s="90" t="s">
        <v>327</v>
      </c>
      <c r="C480" s="90"/>
      <c r="D480" s="108">
        <f>D472/'Input &amp; Calculation Summary'!C$129+(D$117/'Input &amp; Calculation Summary'!C$129)</f>
        <v>4648.2895266803507</v>
      </c>
      <c r="E480" s="108">
        <f>E472/'Input &amp; Calculation Summary'!D$129+(E$117/'Input &amp; Calculation Summary'!D$129)</f>
        <v>30905.114924786707</v>
      </c>
      <c r="F480" s="108">
        <f>F472/'Input &amp; Calculation Summary'!E$129+(F$117/'Input &amp; Calculation Summary'!E$129)</f>
        <v>16276.693860387662</v>
      </c>
      <c r="G480" s="108">
        <f>G472/'Input &amp; Calculation Summary'!F$129+(G$117/'Input &amp; Calculation Summary'!F$129)</f>
        <v>4532.7501889687173</v>
      </c>
      <c r="H480" s="108">
        <f>H472/'Input &amp; Calculation Summary'!G$129+(H$117/'Input &amp; Calculation Summary'!G$129)</f>
        <v>4532.7501889687173</v>
      </c>
    </row>
    <row r="481" spans="1:8" x14ac:dyDescent="0.3">
      <c r="A481" s="1" t="s">
        <v>656</v>
      </c>
      <c r="B481" s="90" t="s">
        <v>327</v>
      </c>
      <c r="C481" s="90"/>
      <c r="D481" s="108">
        <f>D473/'Input &amp; Calculation Summary'!C$129+(D$116/'Input &amp; Calculation Summary'!C$129)</f>
        <v>210.79308790700992</v>
      </c>
      <c r="E481" s="108">
        <f>E473/'Input &amp; Calculation Summary'!D$129+(E$116/'Input &amp; Calculation Summary'!D$129)</f>
        <v>1560.8112527592027</v>
      </c>
      <c r="F481" s="108">
        <f>F473/'Input &amp; Calculation Summary'!E$129+(F$116/'Input &amp; Calculation Summary'!E$129)</f>
        <v>822.02725978651358</v>
      </c>
      <c r="G481" s="108">
        <f>G473/'Input &amp; Calculation Summary'!F$129+(G$116/'Input &amp; Calculation Summary'!F$129)</f>
        <v>228.91898373801655</v>
      </c>
      <c r="H481" s="108">
        <f>H473/'Input &amp; Calculation Summary'!G$129+(H$116/'Input &amp; Calculation Summary'!G$129)</f>
        <v>228.91898373801655</v>
      </c>
    </row>
    <row r="482" spans="1:8" x14ac:dyDescent="0.3">
      <c r="A482" s="1" t="s">
        <v>534</v>
      </c>
      <c r="B482" s="90" t="s">
        <v>327</v>
      </c>
      <c r="C482" s="90"/>
      <c r="D482" s="108">
        <f>D474/'Input &amp; Calculation Summary'!C$129+(D$118/'Input &amp; Calculation Summary'!C$129)</f>
        <v>9974.1245542655033</v>
      </c>
      <c r="E482" s="108">
        <f>E474/'Input &amp; Calculation Summary'!D$129+(E$118/'Input &amp; Calculation Summary'!D$129)</f>
        <v>72414.842585281891</v>
      </c>
      <c r="F482" s="108">
        <f>F474/'Input &amp; Calculation Summary'!E$129+(F$118/'Input &amp; Calculation Summary'!E$129)</f>
        <v>38138.483761581789</v>
      </c>
      <c r="G482" s="108">
        <f>G474/'Input &amp; Calculation Summary'!F$129+(G$118/'Input &amp; Calculation Summary'!F$129)</f>
        <v>10620.843579174678</v>
      </c>
      <c r="H482" s="108">
        <f>H474/'Input &amp; Calculation Summary'!G$129+(H$118/'Input &amp; Calculation Summary'!G$129)</f>
        <v>10620.843579174678</v>
      </c>
    </row>
    <row r="483" spans="1:8" x14ac:dyDescent="0.3">
      <c r="A483" s="1" t="s">
        <v>312</v>
      </c>
      <c r="B483" s="90" t="s">
        <v>327</v>
      </c>
      <c r="C483" s="90"/>
      <c r="D483" s="108">
        <f>SUM(D478:D482)</f>
        <v>15287.577280753085</v>
      </c>
      <c r="E483" s="108">
        <f>SUM(E478:E482)</f>
        <v>110991.94683934739</v>
      </c>
      <c r="F483" s="108">
        <f>SUM(F478:F482)</f>
        <v>58455.758668722956</v>
      </c>
      <c r="G483" s="108">
        <f>SUM(G478:G482)</f>
        <v>16278.818869770952</v>
      </c>
      <c r="H483" s="108">
        <f>SUM(H478:H482)</f>
        <v>16278.818869770952</v>
      </c>
    </row>
    <row r="484" spans="1:8" x14ac:dyDescent="0.3">
      <c r="B484" s="90"/>
      <c r="C484" s="90"/>
      <c r="D484" s="90"/>
      <c r="E484" s="90"/>
      <c r="F484" s="90"/>
      <c r="G484" s="90"/>
      <c r="H484" s="90"/>
    </row>
    <row r="485" spans="1:8" ht="15.5" x14ac:dyDescent="0.35">
      <c r="A485" s="123" t="s">
        <v>682</v>
      </c>
      <c r="B485" s="90"/>
      <c r="C485" s="90"/>
      <c r="D485" s="90"/>
      <c r="E485" s="90"/>
      <c r="F485" s="90"/>
      <c r="G485" s="90"/>
      <c r="H485" s="90"/>
    </row>
    <row r="486" spans="1:8" x14ac:dyDescent="0.3">
      <c r="A486" s="1" t="s">
        <v>571</v>
      </c>
      <c r="B486" s="90" t="s">
        <v>327</v>
      </c>
      <c r="C486" s="90"/>
      <c r="D486" s="108">
        <f>D478+D$363</f>
        <v>525.58935853752416</v>
      </c>
      <c r="E486" s="108">
        <f>E478+E$363</f>
        <v>5763.0132460318955</v>
      </c>
      <c r="F486" s="108">
        <f>F478+F$363</f>
        <v>3035.1869762434644</v>
      </c>
      <c r="G486" s="108">
        <f>G478+G$363</f>
        <v>845.24194275134482</v>
      </c>
      <c r="H486" s="108">
        <f>H478+H$363</f>
        <v>845.24194275134482</v>
      </c>
    </row>
    <row r="487" spans="1:8" x14ac:dyDescent="0.3">
      <c r="A487" s="1" t="s">
        <v>572</v>
      </c>
      <c r="B487" s="90" t="s">
        <v>327</v>
      </c>
      <c r="C487" s="90"/>
      <c r="D487" s="108">
        <f>D479+D$374</f>
        <v>233.55787529305141</v>
      </c>
      <c r="E487" s="108">
        <f>E479+E$374</f>
        <v>2560.9291877107598</v>
      </c>
      <c r="F487" s="108">
        <f>F479+F$374</f>
        <v>1348.7560388609995</v>
      </c>
      <c r="G487" s="108">
        <f>G479+G$374</f>
        <v>375.60294753091148</v>
      </c>
      <c r="H487" s="108">
        <f>H479+H$374</f>
        <v>375.60294753091148</v>
      </c>
    </row>
    <row r="488" spans="1:8" x14ac:dyDescent="0.3">
      <c r="A488" s="1" t="s">
        <v>565</v>
      </c>
      <c r="B488" s="90" t="s">
        <v>327</v>
      </c>
      <c r="C488" s="90"/>
      <c r="D488" s="108">
        <f>D480+D$50+(D$32/HCl_MolWt*CaCl2_MolWt/2/'Input &amp; Calculation Summary'!C$129)</f>
        <v>8513.8660666803517</v>
      </c>
      <c r="E488" s="108">
        <f>E480+E$50+(E$32/HCl_MolWt*CaCl2_MolWt/2/'Input &amp; Calculation Summary'!D$129)</f>
        <v>44710.356533786704</v>
      </c>
      <c r="F488" s="108">
        <f>F480+F$50+(F$32/HCl_MolWt*CaCl2_MolWt/2/'Input &amp; Calculation Summary'!E$129)</f>
        <v>23547.454441127662</v>
      </c>
      <c r="G488" s="108">
        <f>G480+G$50+(G$32/HCl_MolWt*CaCl2_MolWt/2/'Input &amp; Calculation Summary'!F$129)</f>
        <v>6557.5189582887178</v>
      </c>
      <c r="H488" s="108">
        <f>H480+H$50+(H$32/HCl_MolWt*CaCl2_MolWt/2/'Input &amp; Calculation Summary'!G$129)</f>
        <v>6557.5189582887178</v>
      </c>
    </row>
    <row r="489" spans="1:8" x14ac:dyDescent="0.3">
      <c r="A489" s="1" t="s">
        <v>656</v>
      </c>
      <c r="B489" s="90" t="s">
        <v>327</v>
      </c>
      <c r="C489" s="90"/>
      <c r="D489" s="108">
        <f>D481-(D$361+D$370)-(D$32/HCl_MolWt*Ca_OH_2_MolWt/2/'Input &amp; Calculation Summary'!C$129)</f>
        <v>49.381496394931105</v>
      </c>
      <c r="E489" s="108">
        <f>E481-(E$361+E$370)-(E$32/HCl_MolWt*Ca_OH_2_MolWt/2/'Input &amp; Calculation Summary'!D$129)</f>
        <v>388.91943135736346</v>
      </c>
      <c r="F489" s="108">
        <f>F481-(F$361+F$370)-(F$32/HCl_MolWt*Ca_OH_2_MolWt/2/'Input &amp; Calculation Summary'!E$129)</f>
        <v>204.83090051487841</v>
      </c>
      <c r="G489" s="108">
        <f>G481-(G$361+G$370)-(G$32/HCl_MolWt*Ca_OH_2_MolWt/2/'Input &amp; Calculation Summary'!F$129)</f>
        <v>57.041516599080126</v>
      </c>
      <c r="H489" s="108">
        <f>H481-(H$361+H$370)-(H$32/HCl_MolWt*Ca_OH_2_MolWt/2/'Input &amp; Calculation Summary'!G$129)</f>
        <v>57.041516599080126</v>
      </c>
    </row>
    <row r="490" spans="1:8" x14ac:dyDescent="0.3">
      <c r="A490" s="1" t="s">
        <v>534</v>
      </c>
      <c r="B490" s="90" t="s">
        <v>327</v>
      </c>
      <c r="C490" s="90"/>
      <c r="D490" s="90" t="s">
        <v>687</v>
      </c>
      <c r="E490" s="90" t="s">
        <v>687</v>
      </c>
      <c r="F490" s="90" t="s">
        <v>687</v>
      </c>
      <c r="G490" s="90" t="s">
        <v>687</v>
      </c>
      <c r="H490" s="90" t="s">
        <v>687</v>
      </c>
    </row>
    <row r="491" spans="1:8" x14ac:dyDescent="0.3">
      <c r="A491" s="1" t="s">
        <v>312</v>
      </c>
      <c r="B491" s="90" t="s">
        <v>327</v>
      </c>
      <c r="C491" s="90"/>
      <c r="D491" s="108">
        <f>SUM(D486:D489)</f>
        <v>9322.394796905859</v>
      </c>
      <c r="E491" s="108">
        <f>SUM(E486:E489)</f>
        <v>53423.218398886718</v>
      </c>
      <c r="F491" s="108">
        <f>SUM(F486:F489)</f>
        <v>28136.228356747</v>
      </c>
      <c r="G491" s="108">
        <f>SUM(G486:G489)</f>
        <v>7835.4053651700542</v>
      </c>
      <c r="H491" s="108">
        <f>SUM(H486:H489)</f>
        <v>7835.4053651700542</v>
      </c>
    </row>
    <row r="492" spans="1:8" x14ac:dyDescent="0.3">
      <c r="B492" s="90"/>
      <c r="C492" s="90"/>
      <c r="D492" s="90"/>
      <c r="E492" s="90"/>
      <c r="F492" s="90"/>
      <c r="G492" s="90"/>
      <c r="H492" s="90"/>
    </row>
    <row r="493" spans="1:8" ht="15.5" x14ac:dyDescent="0.35">
      <c r="A493" s="123" t="s">
        <v>693</v>
      </c>
      <c r="B493" s="90"/>
      <c r="C493" s="90"/>
      <c r="D493" s="90"/>
      <c r="E493" s="90"/>
      <c r="F493" s="90"/>
      <c r="G493" s="90"/>
      <c r="H493" s="90"/>
    </row>
    <row r="494" spans="1:8" x14ac:dyDescent="0.3">
      <c r="A494" s="1" t="s">
        <v>571</v>
      </c>
      <c r="B494" s="90" t="s">
        <v>327</v>
      </c>
      <c r="C494" s="90"/>
      <c r="D494" s="108">
        <f>D486*0.1</f>
        <v>52.558935853752416</v>
      </c>
      <c r="E494" s="108">
        <f>E486*0.1</f>
        <v>576.30132460318953</v>
      </c>
      <c r="F494" s="108">
        <f>F486*0.1</f>
        <v>303.51869762434643</v>
      </c>
      <c r="G494" s="108">
        <f>G486*0.1</f>
        <v>84.524194275134491</v>
      </c>
      <c r="H494" s="108">
        <f>H486*0.1</f>
        <v>84.524194275134491</v>
      </c>
    </row>
    <row r="495" spans="1:8" x14ac:dyDescent="0.3">
      <c r="A495" s="1" t="s">
        <v>572</v>
      </c>
      <c r="B495" s="90" t="s">
        <v>327</v>
      </c>
      <c r="C495" s="90"/>
      <c r="D495" s="108">
        <f t="shared" ref="D495:H497" si="13">D487*0.1</f>
        <v>23.355787529305143</v>
      </c>
      <c r="E495" s="108">
        <f t="shared" si="13"/>
        <v>256.09291877107597</v>
      </c>
      <c r="F495" s="108">
        <f t="shared" si="13"/>
        <v>134.87560388609995</v>
      </c>
      <c r="G495" s="108">
        <f t="shared" si="13"/>
        <v>37.560294753091149</v>
      </c>
      <c r="H495" s="108">
        <f t="shared" si="13"/>
        <v>37.560294753091149</v>
      </c>
    </row>
    <row r="496" spans="1:8" x14ac:dyDescent="0.3">
      <c r="A496" s="1" t="s">
        <v>565</v>
      </c>
      <c r="B496" s="90" t="s">
        <v>327</v>
      </c>
      <c r="C496" s="90"/>
      <c r="D496" s="108">
        <f t="shared" si="13"/>
        <v>851.38660666803526</v>
      </c>
      <c r="E496" s="108">
        <f t="shared" si="13"/>
        <v>4471.0356533786708</v>
      </c>
      <c r="F496" s="108">
        <f t="shared" si="13"/>
        <v>2354.7454441127661</v>
      </c>
      <c r="G496" s="108">
        <f t="shared" si="13"/>
        <v>655.75189582887185</v>
      </c>
      <c r="H496" s="108">
        <f t="shared" si="13"/>
        <v>655.75189582887185</v>
      </c>
    </row>
    <row r="497" spans="1:8" x14ac:dyDescent="0.3">
      <c r="A497" s="1" t="s">
        <v>656</v>
      </c>
      <c r="B497" s="90" t="s">
        <v>327</v>
      </c>
      <c r="C497" s="90"/>
      <c r="D497" s="108">
        <f t="shared" si="13"/>
        <v>4.938149639493111</v>
      </c>
      <c r="E497" s="108">
        <f t="shared" si="13"/>
        <v>38.891943135736348</v>
      </c>
      <c r="F497" s="108">
        <f t="shared" si="13"/>
        <v>20.483090051487842</v>
      </c>
      <c r="G497" s="108">
        <f t="shared" si="13"/>
        <v>5.7041516599080131</v>
      </c>
      <c r="H497" s="108">
        <f t="shared" si="13"/>
        <v>5.7041516599080131</v>
      </c>
    </row>
    <row r="498" spans="1:8" x14ac:dyDescent="0.3">
      <c r="A498" s="1" t="s">
        <v>534</v>
      </c>
      <c r="B498" s="90" t="s">
        <v>327</v>
      </c>
      <c r="C498" s="90"/>
      <c r="D498" s="108">
        <f>SUM(D494:D497)*0.02/0.98</f>
        <v>19.02529550388951</v>
      </c>
      <c r="E498" s="108">
        <f>SUM(E494:E497)*0.02/0.98</f>
        <v>109.02697632425861</v>
      </c>
      <c r="F498" s="108">
        <f>SUM(F494:F497)*0.02/0.98</f>
        <v>57.420874197442878</v>
      </c>
      <c r="G498" s="108">
        <f>SUM(G494:G497)*0.02/0.98</f>
        <v>15.990623194224604</v>
      </c>
      <c r="H498" s="108">
        <f>SUM(H494:H497)*0.02/0.98</f>
        <v>15.990623194224604</v>
      </c>
    </row>
    <row r="499" spans="1:8" x14ac:dyDescent="0.3">
      <c r="A499" s="1" t="s">
        <v>312</v>
      </c>
      <c r="B499" s="90" t="s">
        <v>327</v>
      </c>
      <c r="C499" s="90"/>
      <c r="D499" s="108">
        <f>SUM(D494:D498)</f>
        <v>951.26477519447542</v>
      </c>
      <c r="E499" s="108">
        <f>SUM(E494:E498)</f>
        <v>5451.3488162129306</v>
      </c>
      <c r="F499" s="108">
        <f>SUM(F494:F498)</f>
        <v>2871.0437098721436</v>
      </c>
      <c r="G499" s="108">
        <f>SUM(G494:G498)</f>
        <v>799.53115971123009</v>
      </c>
      <c r="H499" s="108">
        <f>SUM(H494:H498)</f>
        <v>799.53115971123009</v>
      </c>
    </row>
    <row r="500" spans="1:8" x14ac:dyDescent="0.3">
      <c r="B500" s="90"/>
      <c r="C500" s="90"/>
      <c r="D500" s="90"/>
      <c r="E500" s="90"/>
      <c r="F500" s="90"/>
      <c r="G500" s="90"/>
      <c r="H500" s="90"/>
    </row>
    <row r="501" spans="1:8" ht="15.5" x14ac:dyDescent="0.35">
      <c r="A501" s="123" t="s">
        <v>684</v>
      </c>
      <c r="B501" s="90"/>
      <c r="C501" s="90"/>
      <c r="D501" s="90"/>
      <c r="E501" s="90"/>
      <c r="F501" s="90"/>
      <c r="G501" s="90"/>
      <c r="H501" s="90"/>
    </row>
    <row r="502" spans="1:8" x14ac:dyDescent="0.3">
      <c r="A502" s="1" t="s">
        <v>571</v>
      </c>
      <c r="B502" s="90" t="s">
        <v>327</v>
      </c>
      <c r="C502" s="90"/>
      <c r="D502" s="108">
        <f>(D486-D494)*'Input &amp; Calculation Summary'!C$129+D$385</f>
        <v>525.78290760161804</v>
      </c>
      <c r="E502" s="108">
        <f>(E486-E494)*'Input &amp; Calculation Summary'!D$129+E$385</f>
        <v>5569.7092331751901</v>
      </c>
      <c r="F502" s="108">
        <f>(F486-F494)*'Input &amp; Calculation Summary'!E$129+F$385</f>
        <v>2933.3801961389336</v>
      </c>
      <c r="G502" s="108">
        <f>(G486-G494)*'Input &amp; Calculation Summary'!F$129+G$385</f>
        <v>816.89068753236143</v>
      </c>
      <c r="H502" s="108">
        <f>(H486-H494)*'Input &amp; Calculation Summary'!G$129+H$385</f>
        <v>816.89068753236143</v>
      </c>
    </row>
    <row r="503" spans="1:8" x14ac:dyDescent="0.3">
      <c r="A503" s="1" t="s">
        <v>572</v>
      </c>
      <c r="B503" s="90" t="s">
        <v>327</v>
      </c>
      <c r="C503" s="90"/>
      <c r="D503" s="108">
        <f>(D487-D495)*'Input &amp; Calculation Summary'!C$129+D$396</f>
        <v>233.64388332848901</v>
      </c>
      <c r="E503" s="108">
        <f>(E487-E495)*'Input &amp; Calculation Summary'!D$129+E$396</f>
        <v>2475.0300464989627</v>
      </c>
      <c r="F503" s="108">
        <f>(F487-F495)*'Input &amp; Calculation Summary'!E$129+F$396</f>
        <v>1303.5158244894531</v>
      </c>
      <c r="G503" s="108">
        <f>(G487-G495)*'Input &amp; Calculation Summary'!F$129+G$396</f>
        <v>363.00440681984787</v>
      </c>
      <c r="H503" s="108">
        <f>(H487-H495)*'Input &amp; Calculation Summary'!G$129+H$396</f>
        <v>363.00440681984787</v>
      </c>
    </row>
    <row r="504" spans="1:8" x14ac:dyDescent="0.3">
      <c r="A504" s="1" t="s">
        <v>565</v>
      </c>
      <c r="B504" s="90" t="s">
        <v>327</v>
      </c>
      <c r="C504" s="90"/>
      <c r="D504" s="108">
        <f>(D488-D496)*'Input &amp; Calculation Summary'!C$129</f>
        <v>7662.4794600123168</v>
      </c>
      <c r="E504" s="108">
        <f>(E488-E496)*'Input &amp; Calculation Summary'!D$129</f>
        <v>40239.320880408035</v>
      </c>
      <c r="F504" s="108">
        <f>(F488-F496)*'Input &amp; Calculation Summary'!E$129</f>
        <v>21192.708997014895</v>
      </c>
      <c r="G504" s="108">
        <f>(G488-G496)*'Input &amp; Calculation Summary'!F$129</f>
        <v>5901.7670624598459</v>
      </c>
      <c r="H504" s="108">
        <f>(H488-H496)*'Input &amp; Calculation Summary'!G$129</f>
        <v>5901.7670624598459</v>
      </c>
    </row>
    <row r="505" spans="1:8" x14ac:dyDescent="0.3">
      <c r="A505" s="1" t="s">
        <v>656</v>
      </c>
      <c r="B505" s="90" t="s">
        <v>327</v>
      </c>
      <c r="C505" s="90"/>
      <c r="D505" s="108">
        <f>(D489-D497)*'Input &amp; Calculation Summary'!C$129-(D$383+D$392)</f>
        <v>4.0904488774182894</v>
      </c>
      <c r="E505" s="108">
        <f>(E489-E497)*'Input &amp; Calculation Summary'!D$129-(E$383+E$392)</f>
        <v>57.054532871167282</v>
      </c>
      <c r="F505" s="108">
        <f>(F489-F497)*'Input &amp; Calculation Summary'!E$129-(F$383+F$392)</f>
        <v>30.048720645481779</v>
      </c>
      <c r="G505" s="108">
        <f>(G489-G497)*'Input &amp; Calculation Summary'!F$129-(G$383+G$392)</f>
        <v>8.3679981544380055</v>
      </c>
      <c r="H505" s="108">
        <f>(H489-H497)*'Input &amp; Calculation Summary'!G$129-(H$383+H$392)</f>
        <v>8.3679981544380055</v>
      </c>
    </row>
    <row r="506" spans="1:8" x14ac:dyDescent="0.3">
      <c r="A506" s="1" t="s">
        <v>534</v>
      </c>
      <c r="B506" s="90" t="s">
        <v>327</v>
      </c>
      <c r="C506" s="90"/>
      <c r="D506" s="108"/>
      <c r="E506" s="108"/>
      <c r="F506" s="108"/>
      <c r="G506" s="108"/>
      <c r="H506" s="108"/>
    </row>
    <row r="507" spans="1:8" x14ac:dyDescent="0.3">
      <c r="A507" s="1" t="s">
        <v>312</v>
      </c>
      <c r="B507" s="90" t="s">
        <v>327</v>
      </c>
      <c r="C507" s="90"/>
      <c r="D507" s="108">
        <f>SUM(D502:D505)</f>
        <v>8425.9966998198415</v>
      </c>
      <c r="E507" s="108">
        <f>SUM(E502:E505)</f>
        <v>48341.114692953357</v>
      </c>
      <c r="F507" s="108">
        <f>SUM(F502:F505)</f>
        <v>25459.653738288765</v>
      </c>
      <c r="G507" s="108">
        <f>SUM(G502:G505)</f>
        <v>7090.0301549664937</v>
      </c>
      <c r="H507" s="108">
        <f>SUM(H502:H505)</f>
        <v>7090.0301549664937</v>
      </c>
    </row>
    <row r="508" spans="1:8" x14ac:dyDescent="0.3">
      <c r="A508" s="1" t="s">
        <v>571</v>
      </c>
      <c r="B508" s="90" t="s">
        <v>694</v>
      </c>
      <c r="C508" s="90"/>
      <c r="D508" s="215">
        <f>D502/(D507-D506)</f>
        <v>6.2400084682309447E-2</v>
      </c>
      <c r="E508" s="215">
        <f>E502/(E507-E506)</f>
        <v>0.11521681426984309</v>
      </c>
      <c r="F508" s="215">
        <f>F502/(F507-F506)</f>
        <v>0.11521681426984311</v>
      </c>
      <c r="G508" s="215">
        <f>G502/(G507-G506)</f>
        <v>0.11521681426984311</v>
      </c>
      <c r="H508" s="215">
        <f>H502/(H507-H506)</f>
        <v>0.11521681426984311</v>
      </c>
    </row>
    <row r="509" spans="1:8" x14ac:dyDescent="0.3">
      <c r="A509" s="1" t="s">
        <v>572</v>
      </c>
      <c r="B509" s="90" t="s">
        <v>694</v>
      </c>
      <c r="C509" s="90"/>
      <c r="D509" s="215">
        <f>D503/(D507-D506)</f>
        <v>2.7728931265008045E-2</v>
      </c>
      <c r="E509" s="215">
        <f>E503/(E507-E506)</f>
        <v>5.1199275445333196E-2</v>
      </c>
      <c r="F509" s="215">
        <f>F503/(F507-F506)</f>
        <v>5.1199275445333176E-2</v>
      </c>
      <c r="G509" s="215">
        <f>G503/(G507-G506)</f>
        <v>5.1199275445333189E-2</v>
      </c>
      <c r="H509" s="215">
        <f>H503/(H507-H506)</f>
        <v>5.1199275445333189E-2</v>
      </c>
    </row>
    <row r="510" spans="1:8" x14ac:dyDescent="0.3">
      <c r="A510" s="1" t="s">
        <v>565</v>
      </c>
      <c r="B510" s="90" t="s">
        <v>694</v>
      </c>
      <c r="C510" s="90"/>
      <c r="D510" s="215">
        <f>D504/(D507-D506)</f>
        <v>0.90938552826351693</v>
      </c>
      <c r="E510" s="215">
        <f>E504/(E507-E506)</f>
        <v>0.83240366168622271</v>
      </c>
      <c r="F510" s="215">
        <f>F504/(F507-F506)</f>
        <v>0.83240366168622271</v>
      </c>
      <c r="G510" s="215">
        <f>G504/(G507-G506)</f>
        <v>0.8324036616862226</v>
      </c>
      <c r="H510" s="215">
        <f>H504/(H507-H506)</f>
        <v>0.8324036616862226</v>
      </c>
    </row>
    <row r="511" spans="1:8" x14ac:dyDescent="0.3">
      <c r="A511" s="1" t="s">
        <v>656</v>
      </c>
      <c r="B511" s="90" t="s">
        <v>694</v>
      </c>
      <c r="C511" s="90"/>
      <c r="D511" s="215">
        <f>D505/(D507-D506)</f>
        <v>4.8545578916566015E-4</v>
      </c>
      <c r="E511" s="215">
        <f>E505/(E507-E506)</f>
        <v>1.1802485986009766E-3</v>
      </c>
      <c r="F511" s="215">
        <f>F505/(F507-F506)</f>
        <v>1.1802485986009902E-3</v>
      </c>
      <c r="G511" s="215">
        <f>G505/(G507-G506)</f>
        <v>1.1802485986009959E-3</v>
      </c>
      <c r="H511" s="215">
        <f>H505/(H507-H506)</f>
        <v>1.1802485986009959E-3</v>
      </c>
    </row>
    <row r="512" spans="1:8" x14ac:dyDescent="0.3">
      <c r="A512" s="1" t="s">
        <v>534</v>
      </c>
      <c r="B512" s="90" t="s">
        <v>694</v>
      </c>
      <c r="C512" s="90"/>
      <c r="D512" s="215"/>
      <c r="E512" s="215"/>
      <c r="F512" s="215"/>
      <c r="G512" s="215"/>
      <c r="H512" s="215"/>
    </row>
    <row r="513" spans="1:8" x14ac:dyDescent="0.3">
      <c r="A513" s="1" t="s">
        <v>312</v>
      </c>
      <c r="B513" s="90" t="s">
        <v>694</v>
      </c>
      <c r="C513" s="90"/>
      <c r="D513" s="215">
        <f>SUM(D508:D511)</f>
        <v>1</v>
      </c>
      <c r="E513" s="215">
        <f>SUM(E508:E511)</f>
        <v>1</v>
      </c>
      <c r="F513" s="215">
        <f>SUM(F508:F511)</f>
        <v>1</v>
      </c>
      <c r="G513" s="215">
        <f>SUM(G508:G511)</f>
        <v>0.99999999999999989</v>
      </c>
      <c r="H513" s="215">
        <f>SUM(H508:H511)</f>
        <v>0.99999999999999989</v>
      </c>
    </row>
    <row r="514" spans="1:8" x14ac:dyDescent="0.3">
      <c r="B514" s="90"/>
      <c r="C514" s="90"/>
      <c r="D514" s="90"/>
      <c r="E514" s="90"/>
      <c r="F514" s="90"/>
      <c r="G514" s="90"/>
      <c r="H514" s="90"/>
    </row>
    <row r="515" spans="1:8" ht="15.5" x14ac:dyDescent="0.35">
      <c r="A515" s="123" t="s">
        <v>666</v>
      </c>
      <c r="B515" s="90"/>
      <c r="C515" s="90"/>
      <c r="D515" s="90"/>
      <c r="E515" s="90"/>
      <c r="F515" s="90"/>
      <c r="G515" s="90"/>
      <c r="H515" s="90"/>
    </row>
    <row r="516" spans="1:8" x14ac:dyDescent="0.3">
      <c r="A516" s="1" t="s">
        <v>571</v>
      </c>
      <c r="B516" s="90" t="s">
        <v>327</v>
      </c>
      <c r="C516" s="90"/>
      <c r="D516" s="108">
        <f>D508*(D521-D520)</f>
        <v>265.39188970129715</v>
      </c>
      <c r="E516" s="108">
        <f>E508*(E521-E520)</f>
        <v>1921.0729237919543</v>
      </c>
      <c r="F516" s="108">
        <f>F508*(F521-F520)</f>
        <v>1011.7650731970962</v>
      </c>
      <c r="G516" s="108">
        <f>G508*(G521-G520)</f>
        <v>281.75736215615342</v>
      </c>
      <c r="H516" s="108">
        <f>H508*(H521-H520)</f>
        <v>281.75736215615342</v>
      </c>
    </row>
    <row r="517" spans="1:8" x14ac:dyDescent="0.3">
      <c r="A517" s="1" t="s">
        <v>572</v>
      </c>
      <c r="B517" s="90" t="s">
        <v>327</v>
      </c>
      <c r="C517" s="90"/>
      <c r="D517" s="108">
        <f>D509*(D521-D520)</f>
        <v>117.93306860534062</v>
      </c>
      <c r="E517" s="108">
        <f>E509*(E521-E520)</f>
        <v>853.67350589505065</v>
      </c>
      <c r="F517" s="108">
        <f>F509*(F521-F520)</f>
        <v>449.60137977139323</v>
      </c>
      <c r="G517" s="108">
        <f>G509*(G521-G520)</f>
        <v>125.20544753127413</v>
      </c>
      <c r="H517" s="108">
        <f>H509*(H521-H520)</f>
        <v>125.20544753127413</v>
      </c>
    </row>
    <row r="518" spans="1:8" x14ac:dyDescent="0.3">
      <c r="A518" s="1" t="s">
        <v>565</v>
      </c>
      <c r="B518" s="90" t="s">
        <v>327</v>
      </c>
      <c r="C518" s="90"/>
      <c r="D518" s="108">
        <f>D510*(D521-D520)</f>
        <v>3867.6797482181701</v>
      </c>
      <c r="E518" s="108">
        <f>E510*(E521-E520)</f>
        <v>13879.121257297529</v>
      </c>
      <c r="F518" s="108">
        <f>F510*(F521-F520)</f>
        <v>7309.6705288433668</v>
      </c>
      <c r="G518" s="108">
        <f>G510*(G521-G520)</f>
        <v>2035.604451070305</v>
      </c>
      <c r="H518" s="108">
        <f>H510*(H521-H520)</f>
        <v>2035.604451070305</v>
      </c>
    </row>
    <row r="519" spans="1:8" x14ac:dyDescent="0.3">
      <c r="A519" s="1" t="s">
        <v>656</v>
      </c>
      <c r="B519" s="90" t="s">
        <v>327</v>
      </c>
      <c r="C519" s="90"/>
      <c r="D519" s="108">
        <f>D511*(D521-D520)</f>
        <v>2.0646771540301181</v>
      </c>
      <c r="E519" s="108">
        <f>E511*(E521-E520)</f>
        <v>19.678930028437616</v>
      </c>
      <c r="F519" s="108">
        <f>F511*(F521-F520)</f>
        <v>10.364236481643932</v>
      </c>
      <c r="G519" s="108">
        <f>G511*(G521-G520)</f>
        <v>2.886243070837565</v>
      </c>
      <c r="H519" s="108">
        <f>H511*(H521-H520)</f>
        <v>2.886243070837565</v>
      </c>
    </row>
    <row r="520" spans="1:8" x14ac:dyDescent="0.3">
      <c r="A520" s="1" t="s">
        <v>534</v>
      </c>
      <c r="B520" s="90" t="s">
        <v>327</v>
      </c>
      <c r="C520" s="90"/>
      <c r="D520" s="108">
        <f>D521*0.02</f>
        <v>86.797334360792618</v>
      </c>
      <c r="E520" s="108">
        <f>E521*0.02</f>
        <v>340.27646157169335</v>
      </c>
      <c r="F520" s="108">
        <f>F521*0.02</f>
        <v>179.21226976109185</v>
      </c>
      <c r="G520" s="108">
        <f>G521*0.02</f>
        <v>49.907214363848368</v>
      </c>
      <c r="H520" s="108">
        <f>H521*0.02</f>
        <v>49.907214363848368</v>
      </c>
    </row>
    <row r="521" spans="1:8" x14ac:dyDescent="0.3">
      <c r="A521" s="1" t="s">
        <v>312</v>
      </c>
      <c r="B521" s="90" t="s">
        <v>327</v>
      </c>
      <c r="C521" s="90"/>
      <c r="D521" s="108">
        <f>D$458</f>
        <v>4339.8667180396305</v>
      </c>
      <c r="E521" s="108">
        <f>E$458</f>
        <v>17013.823078584668</v>
      </c>
      <c r="F521" s="108">
        <f>F$458</f>
        <v>8960.6134880545924</v>
      </c>
      <c r="G521" s="108">
        <f>G$458</f>
        <v>2495.3607181924185</v>
      </c>
      <c r="H521" s="108">
        <f>H$458</f>
        <v>2495.3607181924185</v>
      </c>
    </row>
    <row r="522" spans="1:8" x14ac:dyDescent="0.3">
      <c r="B522" s="90"/>
      <c r="C522" s="90"/>
      <c r="D522" s="90"/>
      <c r="E522" s="90"/>
      <c r="F522" s="90"/>
      <c r="G522" s="90"/>
      <c r="H522" s="90"/>
    </row>
    <row r="523" spans="1:8" ht="15.5" x14ac:dyDescent="0.35">
      <c r="A523" s="123" t="s">
        <v>695</v>
      </c>
      <c r="B523" s="90"/>
      <c r="C523" s="90"/>
      <c r="D523" s="90"/>
      <c r="E523" s="90"/>
      <c r="F523" s="90"/>
      <c r="G523" s="90"/>
      <c r="H523" s="90"/>
    </row>
    <row r="524" spans="1:8" x14ac:dyDescent="0.3">
      <c r="A524" s="1" t="s">
        <v>571</v>
      </c>
      <c r="B524" s="90" t="s">
        <v>327</v>
      </c>
      <c r="C524" s="90"/>
      <c r="D524" s="208">
        <f>D508*D529</f>
        <v>0.93038526261323384</v>
      </c>
      <c r="E524" s="208">
        <f>E508*E529</f>
        <v>6.1351225346477403</v>
      </c>
      <c r="F524" s="208">
        <f>F508*F529</f>
        <v>3.2311645349144769</v>
      </c>
      <c r="G524" s="208">
        <f>G508*G529</f>
        <v>0.89981797174833533</v>
      </c>
      <c r="H524" s="208">
        <f>H508*H529</f>
        <v>0.89981797174833533</v>
      </c>
    </row>
    <row r="525" spans="1:8" x14ac:dyDescent="0.3">
      <c r="A525" s="1" t="s">
        <v>572</v>
      </c>
      <c r="B525" s="90" t="s">
        <v>327</v>
      </c>
      <c r="C525" s="90"/>
      <c r="D525" s="208">
        <f>D509*D529</f>
        <v>0.41343836516126997</v>
      </c>
      <c r="E525" s="208">
        <f>E509*E529</f>
        <v>2.7262846185508245</v>
      </c>
      <c r="F525" s="208">
        <f>F509*F529</f>
        <v>1.4358432324367671</v>
      </c>
      <c r="G525" s="208">
        <f>G509*G529</f>
        <v>0.39985507738745424</v>
      </c>
      <c r="H525" s="208">
        <f>H509*H529</f>
        <v>0.39985507738745424</v>
      </c>
    </row>
    <row r="526" spans="1:8" x14ac:dyDescent="0.3">
      <c r="A526" s="1" t="s">
        <v>565</v>
      </c>
      <c r="B526" s="90" t="s">
        <v>327</v>
      </c>
      <c r="C526" s="90"/>
      <c r="D526" s="208">
        <f>D510*D529</f>
        <v>13.558938226409037</v>
      </c>
      <c r="E526" s="208">
        <f>E510*E529</f>
        <v>44.324246379298827</v>
      </c>
      <c r="F526" s="208">
        <f>F510*F529</f>
        <v>23.344103093097385</v>
      </c>
      <c r="G526" s="208">
        <f>G510*G529</f>
        <v>6.5008894689638277</v>
      </c>
      <c r="H526" s="208">
        <f>H510*H529</f>
        <v>6.5008894689638277</v>
      </c>
    </row>
    <row r="527" spans="1:8" x14ac:dyDescent="0.3">
      <c r="A527" s="1" t="s">
        <v>656</v>
      </c>
      <c r="B527" s="90" t="s">
        <v>327</v>
      </c>
      <c r="C527" s="90"/>
      <c r="D527" s="208">
        <f>D511*D529</f>
        <v>7.238145816459993E-3</v>
      </c>
      <c r="E527" s="208">
        <f>E511*E529</f>
        <v>6.28464675026041E-2</v>
      </c>
      <c r="F527" s="208">
        <f>F511*F529</f>
        <v>3.3099139551371878E-2</v>
      </c>
      <c r="G527" s="208">
        <f>G511*G529</f>
        <v>9.2174819003820862E-3</v>
      </c>
      <c r="H527" s="208">
        <f>H511*H529</f>
        <v>9.2174819003820862E-3</v>
      </c>
    </row>
    <row r="528" spans="1:8" x14ac:dyDescent="0.3">
      <c r="A528" s="1" t="s">
        <v>534</v>
      </c>
      <c r="B528" s="90" t="s">
        <v>327</v>
      </c>
      <c r="C528" s="90"/>
      <c r="D528" s="90"/>
      <c r="E528" s="90"/>
      <c r="F528" s="90"/>
      <c r="G528" s="90"/>
      <c r="H528" s="90"/>
    </row>
    <row r="529" spans="1:8" x14ac:dyDescent="0.3">
      <c r="A529" s="1" t="s">
        <v>312</v>
      </c>
      <c r="B529" s="90" t="s">
        <v>327</v>
      </c>
      <c r="C529" s="90"/>
      <c r="D529" s="108">
        <f>D$80</f>
        <v>14.91</v>
      </c>
      <c r="E529" s="108">
        <f>E$80</f>
        <v>53.2485</v>
      </c>
      <c r="F529" s="108">
        <f>F$80</f>
        <v>28.04421</v>
      </c>
      <c r="G529" s="108">
        <f>G$80</f>
        <v>7.8097799999999999</v>
      </c>
      <c r="H529" s="108">
        <f>H$80</f>
        <v>7.8097799999999999</v>
      </c>
    </row>
    <row r="530" spans="1:8" x14ac:dyDescent="0.3">
      <c r="B530" s="90"/>
      <c r="C530" s="90"/>
      <c r="D530" s="90"/>
      <c r="E530" s="90"/>
      <c r="F530" s="90"/>
      <c r="G530" s="90"/>
      <c r="H530" s="90"/>
    </row>
    <row r="531" spans="1:8" ht="15.5" x14ac:dyDescent="0.35">
      <c r="A531" s="123" t="s">
        <v>696</v>
      </c>
      <c r="B531" s="90"/>
      <c r="C531" s="90"/>
      <c r="D531" s="90"/>
      <c r="E531" s="90"/>
      <c r="F531" s="90"/>
      <c r="G531" s="90"/>
      <c r="H531" s="90"/>
    </row>
    <row r="532" spans="1:8" x14ac:dyDescent="0.3">
      <c r="A532" s="1" t="s">
        <v>571</v>
      </c>
      <c r="B532" s="90" t="s">
        <v>327</v>
      </c>
      <c r="C532" s="90"/>
      <c r="D532" s="108">
        <f>D502-D516-D524</f>
        <v>259.46063263770765</v>
      </c>
      <c r="E532" s="108">
        <f>E502-E516-E524</f>
        <v>3642.5011868485881</v>
      </c>
      <c r="F532" s="108">
        <f>F502-F516-F524</f>
        <v>1918.3839584069228</v>
      </c>
      <c r="G532" s="108">
        <f>G502-G516-G524</f>
        <v>534.2335074044596</v>
      </c>
      <c r="H532" s="108">
        <f>H502-H516-H524</f>
        <v>534.2335074044596</v>
      </c>
    </row>
    <row r="533" spans="1:8" x14ac:dyDescent="0.3">
      <c r="A533" s="1" t="s">
        <v>572</v>
      </c>
      <c r="B533" s="90" t="s">
        <v>327</v>
      </c>
      <c r="C533" s="90"/>
      <c r="D533" s="108">
        <f t="shared" ref="D533:H535" si="14">D503-D517-D525</f>
        <v>115.29737635798712</v>
      </c>
      <c r="E533" s="108">
        <f t="shared" si="14"/>
        <v>1618.6302559853611</v>
      </c>
      <c r="F533" s="108">
        <f t="shared" si="14"/>
        <v>852.47860148562302</v>
      </c>
      <c r="G533" s="108">
        <f t="shared" si="14"/>
        <v>237.39910421118628</v>
      </c>
      <c r="H533" s="108">
        <f t="shared" si="14"/>
        <v>237.39910421118628</v>
      </c>
    </row>
    <row r="534" spans="1:8" x14ac:dyDescent="0.3">
      <c r="A534" s="1" t="s">
        <v>565</v>
      </c>
      <c r="B534" s="90" t="s">
        <v>327</v>
      </c>
      <c r="C534" s="90"/>
      <c r="D534" s="108">
        <f t="shared" si="14"/>
        <v>3781.240773567738</v>
      </c>
      <c r="E534" s="108">
        <f t="shared" si="14"/>
        <v>26315.875376731208</v>
      </c>
      <c r="F534" s="108">
        <f t="shared" si="14"/>
        <v>13859.694365078432</v>
      </c>
      <c r="G534" s="108">
        <f t="shared" si="14"/>
        <v>3859.6617219205768</v>
      </c>
      <c r="H534" s="108">
        <f t="shared" si="14"/>
        <v>3859.6617219205768</v>
      </c>
    </row>
    <row r="535" spans="1:8" x14ac:dyDescent="0.3">
      <c r="A535" s="1" t="s">
        <v>656</v>
      </c>
      <c r="B535" s="90" t="s">
        <v>327</v>
      </c>
      <c r="C535" s="90"/>
      <c r="D535" s="108">
        <f t="shared" si="14"/>
        <v>2.0185335775717115</v>
      </c>
      <c r="E535" s="108">
        <f t="shared" si="14"/>
        <v>37.31275637522706</v>
      </c>
      <c r="F535" s="108">
        <f t="shared" si="14"/>
        <v>19.651385024286476</v>
      </c>
      <c r="G535" s="108">
        <f t="shared" si="14"/>
        <v>5.4725376017000578</v>
      </c>
      <c r="H535" s="108">
        <f t="shared" si="14"/>
        <v>5.4725376017000578</v>
      </c>
    </row>
    <row r="536" spans="1:8" x14ac:dyDescent="0.3">
      <c r="A536" s="1" t="s">
        <v>534</v>
      </c>
      <c r="B536" s="90" t="s">
        <v>327</v>
      </c>
      <c r="C536" s="90"/>
      <c r="D536" s="108">
        <f>D537-SUM(D532:D535)</f>
        <v>84.857496247775998</v>
      </c>
      <c r="E536" s="108">
        <f>E537-SUM(E532:E535)</f>
        <v>645.19019542735623</v>
      </c>
      <c r="F536" s="108">
        <f>F537-SUM(F532:F535)</f>
        <v>339.800169591741</v>
      </c>
      <c r="G536" s="108">
        <f>G537-SUM(G532:G535)</f>
        <v>94.627895329345847</v>
      </c>
      <c r="H536" s="108">
        <f>H537-SUM(H532:H535)</f>
        <v>94.627895329345847</v>
      </c>
    </row>
    <row r="537" spans="1:8" x14ac:dyDescent="0.3">
      <c r="A537" s="1" t="s">
        <v>312</v>
      </c>
      <c r="B537" s="90" t="s">
        <v>327</v>
      </c>
      <c r="C537" s="90"/>
      <c r="D537" s="108">
        <f>SUM(D532:D535)/0.98</f>
        <v>4242.8748123887799</v>
      </c>
      <c r="E537" s="108">
        <f>SUM(E532:E535)/0.98</f>
        <v>32259.509771367742</v>
      </c>
      <c r="F537" s="108">
        <f>SUM(F532:F535)/0.98</f>
        <v>16990.008479587006</v>
      </c>
      <c r="G537" s="108">
        <f>SUM(G532:G535)/0.98</f>
        <v>4731.3947664672687</v>
      </c>
      <c r="H537" s="108">
        <f>SUM(H532:H535)/0.98</f>
        <v>4731.3947664672687</v>
      </c>
    </row>
    <row r="538" spans="1:8" x14ac:dyDescent="0.3">
      <c r="B538" s="90"/>
      <c r="C538" s="90"/>
      <c r="D538" s="90"/>
      <c r="E538" s="90"/>
      <c r="F538" s="90"/>
      <c r="G538" s="90"/>
      <c r="H538" s="90"/>
    </row>
    <row r="539" spans="1:8" ht="15.5" x14ac:dyDescent="0.35">
      <c r="A539" s="123" t="s">
        <v>697</v>
      </c>
      <c r="B539" s="90"/>
      <c r="C539" s="90"/>
      <c r="D539" s="90"/>
      <c r="E539" s="90"/>
      <c r="F539" s="90"/>
      <c r="G539" s="90"/>
      <c r="H539" s="90"/>
    </row>
    <row r="540" spans="1:8" x14ac:dyDescent="0.3">
      <c r="A540" s="1" t="s">
        <v>571</v>
      </c>
      <c r="B540" s="90" t="s">
        <v>327</v>
      </c>
      <c r="C540" s="90"/>
      <c r="D540" s="108">
        <f>D494*'Input &amp; Calculation Summary'!C$129+D532</f>
        <v>312.01956849146006</v>
      </c>
      <c r="E540" s="108">
        <f>E494*'Input &amp; Calculation Summary'!D$129+E532</f>
        <v>4218.8025114517777</v>
      </c>
      <c r="F540" s="108">
        <f>F494*'Input &amp; Calculation Summary'!E$129+F532</f>
        <v>2221.9026560312691</v>
      </c>
      <c r="G540" s="108">
        <f>G494*'Input &amp; Calculation Summary'!F$129+G532</f>
        <v>618.75770167959411</v>
      </c>
      <c r="H540" s="108">
        <f>H494*'Input &amp; Calculation Summary'!G$129+H532</f>
        <v>618.75770167959411</v>
      </c>
    </row>
    <row r="541" spans="1:8" x14ac:dyDescent="0.3">
      <c r="A541" s="1" t="s">
        <v>572</v>
      </c>
      <c r="B541" s="90" t="s">
        <v>327</v>
      </c>
      <c r="C541" s="90"/>
      <c r="D541" s="108">
        <f>D495*'Input &amp; Calculation Summary'!C$129+D533</f>
        <v>138.65316388729227</v>
      </c>
      <c r="E541" s="108">
        <f>E495*'Input &amp; Calculation Summary'!D$129+E533</f>
        <v>1874.7231747564372</v>
      </c>
      <c r="F541" s="108">
        <f>F495*'Input &amp; Calculation Summary'!E$129+F533</f>
        <v>987.35420537172297</v>
      </c>
      <c r="G541" s="108">
        <f>G495*'Input &amp; Calculation Summary'!F$129+G533</f>
        <v>274.95939896427745</v>
      </c>
      <c r="H541" s="108">
        <f>H495*'Input &amp; Calculation Summary'!G$129+H533</f>
        <v>274.95939896427745</v>
      </c>
    </row>
    <row r="542" spans="1:8" x14ac:dyDescent="0.3">
      <c r="A542" s="1" t="s">
        <v>565</v>
      </c>
      <c r="B542" s="90" t="s">
        <v>327</v>
      </c>
      <c r="C542" s="90"/>
      <c r="D542" s="108">
        <f>D496*'Input &amp; Calculation Summary'!C$129+D534</f>
        <v>4632.6273802357737</v>
      </c>
      <c r="E542" s="108">
        <f>E496*'Input &amp; Calculation Summary'!D$129+E534</f>
        <v>30786.911030109877</v>
      </c>
      <c r="F542" s="108">
        <f>F496*'Input &amp; Calculation Summary'!E$129+F534</f>
        <v>16214.439809191199</v>
      </c>
      <c r="G542" s="108">
        <f>G496*'Input &amp; Calculation Summary'!F$129+G534</f>
        <v>4515.4136177494483</v>
      </c>
      <c r="H542" s="108">
        <f>H496*'Input &amp; Calculation Summary'!G$129+H534</f>
        <v>4515.4136177494483</v>
      </c>
    </row>
    <row r="543" spans="1:8" x14ac:dyDescent="0.3">
      <c r="A543" s="1" t="s">
        <v>656</v>
      </c>
      <c r="B543" s="90" t="s">
        <v>327</v>
      </c>
      <c r="C543" s="90"/>
      <c r="D543" s="108">
        <f>D497*'Input &amp; Calculation Summary'!C$129+D535</f>
        <v>6.956683217064823</v>
      </c>
      <c r="E543" s="108">
        <f>E497*'Input &amp; Calculation Summary'!D$129+E535</f>
        <v>76.204699510963408</v>
      </c>
      <c r="F543" s="108">
        <f>F497*'Input &amp; Calculation Summary'!E$129+F535</f>
        <v>40.134475075774318</v>
      </c>
      <c r="G543" s="108">
        <f>G497*'Input &amp; Calculation Summary'!F$129+G535</f>
        <v>11.176689261608072</v>
      </c>
      <c r="H543" s="108">
        <f>H497*'Input &amp; Calculation Summary'!G$129+H535</f>
        <v>11.176689261608072</v>
      </c>
    </row>
    <row r="544" spans="1:8" x14ac:dyDescent="0.3">
      <c r="A544" s="1" t="s">
        <v>534</v>
      </c>
      <c r="B544" s="90" t="s">
        <v>327</v>
      </c>
      <c r="C544" s="90"/>
      <c r="D544" s="108">
        <f>D498*'Input &amp; Calculation Summary'!C$129+D536</f>
        <v>103.88279175166551</v>
      </c>
      <c r="E544" s="108">
        <f>E498*'Input &amp; Calculation Summary'!D$129+E536</f>
        <v>754.21717175161484</v>
      </c>
      <c r="F544" s="108">
        <f>F498*'Input &amp; Calculation Summary'!E$129+F536</f>
        <v>397.22104378918385</v>
      </c>
      <c r="G544" s="108">
        <f>G498*'Input &amp; Calculation Summary'!F$129+G536</f>
        <v>110.61851852357046</v>
      </c>
      <c r="H544" s="108">
        <f>H498*'Input &amp; Calculation Summary'!G$129+H536</f>
        <v>110.61851852357046</v>
      </c>
    </row>
    <row r="545" spans="1:8" x14ac:dyDescent="0.3">
      <c r="A545" s="1" t="s">
        <v>312</v>
      </c>
      <c r="B545" s="90" t="s">
        <v>327</v>
      </c>
      <c r="C545" s="90"/>
      <c r="D545" s="108">
        <f>SUM(D540:D544)</f>
        <v>5194.1395875832568</v>
      </c>
      <c r="E545" s="108">
        <f>SUM(E540:E544)</f>
        <v>37710.858587580675</v>
      </c>
      <c r="F545" s="108">
        <f>SUM(F540:F544)</f>
        <v>19861.052189459151</v>
      </c>
      <c r="G545" s="108">
        <f>SUM(G540:G544)</f>
        <v>5530.9259261784991</v>
      </c>
      <c r="H545" s="108">
        <f>SUM(H540:H544)</f>
        <v>5530.9259261784991</v>
      </c>
    </row>
    <row r="546" spans="1:8" x14ac:dyDescent="0.3">
      <c r="A546" s="219"/>
      <c r="B546" s="220"/>
      <c r="C546" s="220"/>
      <c r="D546" s="220"/>
      <c r="E546" s="220"/>
      <c r="F546" s="220"/>
      <c r="G546" s="220"/>
      <c r="H546" s="220"/>
    </row>
    <row r="547" spans="1:8" ht="13.5" x14ac:dyDescent="0.35">
      <c r="A547" s="218" t="s">
        <v>698</v>
      </c>
      <c r="B547" s="217"/>
      <c r="C547" s="217"/>
      <c r="D547" s="217"/>
      <c r="E547" s="217"/>
      <c r="F547" s="217"/>
      <c r="G547" s="217"/>
      <c r="H547" s="217"/>
    </row>
    <row r="548" spans="1:8" ht="15.5" x14ac:dyDescent="0.35">
      <c r="A548" s="123" t="s">
        <v>690</v>
      </c>
      <c r="B548" s="90"/>
      <c r="C548" s="90"/>
      <c r="D548" s="90"/>
      <c r="E548" s="90"/>
      <c r="F548" s="90"/>
      <c r="G548" s="90"/>
      <c r="H548" s="90"/>
    </row>
    <row r="549" spans="1:8" x14ac:dyDescent="0.3">
      <c r="A549" s="1" t="s">
        <v>571</v>
      </c>
      <c r="B549" s="90" t="s">
        <v>327</v>
      </c>
      <c r="C549" s="90"/>
      <c r="D549" s="108">
        <f>IF(ABS(D540-D462)&lt;1,D540,D540+D540-D462)</f>
        <v>309.45971811678095</v>
      </c>
      <c r="E549" s="108">
        <f>IF(ABS(E540-E462)&lt;1,E540,E540+E540-E462)</f>
        <v>4206.5810238575987</v>
      </c>
      <c r="F549" s="108">
        <f>IF(ABS(F540-F462)&lt;1,F540,F540+F540-F462)</f>
        <v>2215.4660058983345</v>
      </c>
      <c r="G549" s="108">
        <f>IF(ABS(G540-G462)&lt;1,G540,G540+G540-G462)</f>
        <v>616.96521683244771</v>
      </c>
      <c r="H549" s="108">
        <f>IF(ABS(H540-H462)&lt;1,H540,H540+H540-H462)</f>
        <v>616.96521683244771</v>
      </c>
    </row>
    <row r="550" spans="1:8" x14ac:dyDescent="0.3">
      <c r="A550" s="1" t="s">
        <v>572</v>
      </c>
      <c r="B550" s="90" t="s">
        <v>327</v>
      </c>
      <c r="C550" s="90"/>
      <c r="D550" s="108">
        <f>IF(ABS(D540-D462)&lt;1,D541,D541+D541-D463)</f>
        <v>137.51563474050403</v>
      </c>
      <c r="E550" s="108">
        <f>IF(ABS(E540-E462)&lt;1,E541,E541+E541-E463)</f>
        <v>1869.2922720392296</v>
      </c>
      <c r="F550" s="108">
        <f>IF(ABS(F540-F462)&lt;1,F541,F541+F541-F463)</f>
        <v>984.49392994066022</v>
      </c>
      <c r="G550" s="108">
        <f>IF(ABS(G540-G462)&lt;1,G541,G541+G541-G463)</f>
        <v>274.16286656575369</v>
      </c>
      <c r="H550" s="108">
        <f>IF(ABS(H540-H462)&lt;1,H541,H541+H541-H463)</f>
        <v>274.16286656575369</v>
      </c>
    </row>
    <row r="551" spans="1:8" x14ac:dyDescent="0.3">
      <c r="A551" s="1" t="s">
        <v>565</v>
      </c>
      <c r="B551" s="90" t="s">
        <v>327</v>
      </c>
      <c r="C551" s="90"/>
      <c r="D551" s="108">
        <f>IF(ABS(D540-D462)&lt;1,D542,D542-(D540-D462+D541-D463)/2)</f>
        <v>4634.4760699965072</v>
      </c>
      <c r="E551" s="108">
        <f>IF(ABS(E540-E462)&lt;1,E542,E542-(E540-E462+E541-E463)/2)</f>
        <v>30795.73722526557</v>
      </c>
      <c r="F551" s="108">
        <f>IF(ABS(F540-F462)&lt;1,F542,F542-(F540-F462+F541-F463)/2)</f>
        <v>16219.088271973198</v>
      </c>
      <c r="G551" s="108">
        <f>IF(ABS(G540-G462)&lt;1,G542,G542-(G540-G462+G541-G463)/2)</f>
        <v>4516.708126372283</v>
      </c>
      <c r="H551" s="108">
        <f>IF(ABS(H540-H462)&lt;1,H542,H542-(H540-H462+H541-H463)/2)</f>
        <v>4516.708126372283</v>
      </c>
    </row>
    <row r="552" spans="1:8" x14ac:dyDescent="0.3">
      <c r="A552" s="1" t="s">
        <v>656</v>
      </c>
      <c r="B552" s="90" t="s">
        <v>327</v>
      </c>
      <c r="C552" s="90"/>
      <c r="D552" s="108">
        <f>IF(ABS(D540-D462)&lt;1,D543,D543-(D540-D462+D541-D463)/2)</f>
        <v>8.8053729777985001</v>
      </c>
      <c r="E552" s="108">
        <f>IF(ABS(E540-E462)&lt;1,E543,E543-(E540-E462+E541-E463)/2)</f>
        <v>85.030894666656721</v>
      </c>
      <c r="F552" s="108">
        <f>IF(ABS(F540-F462)&lt;1,F543,F543-(F540-F462+F541-F463)/2)</f>
        <v>44.782937857772978</v>
      </c>
      <c r="G552" s="108">
        <f>IF(ABS(G540-G462)&lt;1,G543,G543-(G540-G462+G541-G463)/2)</f>
        <v>12.471197884443153</v>
      </c>
      <c r="H552" s="108">
        <f>IF(ABS(H540-H462)&lt;1,H543,H543-(H540-H462+H541-H463)/2)</f>
        <v>12.471197884443153</v>
      </c>
    </row>
    <row r="553" spans="1:8" x14ac:dyDescent="0.3">
      <c r="A553" s="1" t="s">
        <v>534</v>
      </c>
      <c r="B553" s="90" t="s">
        <v>327</v>
      </c>
      <c r="C553" s="90"/>
      <c r="D553" s="108">
        <f>D544</f>
        <v>103.88279175166551</v>
      </c>
      <c r="E553" s="108">
        <f>E544</f>
        <v>754.21717175161484</v>
      </c>
      <c r="F553" s="108">
        <f>F544</f>
        <v>397.22104378918385</v>
      </c>
      <c r="G553" s="108">
        <f>G544</f>
        <v>110.61851852357046</v>
      </c>
      <c r="H553" s="108">
        <f>H544</f>
        <v>110.61851852357046</v>
      </c>
    </row>
    <row r="554" spans="1:8" x14ac:dyDescent="0.3">
      <c r="A554" s="1" t="s">
        <v>312</v>
      </c>
      <c r="B554" s="90" t="s">
        <v>327</v>
      </c>
      <c r="C554" s="90"/>
      <c r="D554" s="108">
        <f>SUM(D549:D553)</f>
        <v>5194.1395875832559</v>
      </c>
      <c r="E554" s="108">
        <f>SUM(E549:E553)</f>
        <v>37710.858587580668</v>
      </c>
      <c r="F554" s="108">
        <f>SUM(F549:F553)</f>
        <v>19861.052189459151</v>
      </c>
      <c r="G554" s="108">
        <f>SUM(G549:G553)</f>
        <v>5530.9259261784991</v>
      </c>
      <c r="H554" s="108">
        <f>SUM(H549:H553)</f>
        <v>5530.9259261784991</v>
      </c>
    </row>
    <row r="555" spans="1:8" x14ac:dyDescent="0.3">
      <c r="B555" s="90"/>
      <c r="C555" s="90"/>
      <c r="D555" s="90"/>
      <c r="E555" s="90"/>
      <c r="F555" s="90"/>
      <c r="G555" s="90"/>
      <c r="H555" s="90"/>
    </row>
    <row r="556" spans="1:8" ht="15.5" x14ac:dyDescent="0.35">
      <c r="A556" s="123" t="s">
        <v>691</v>
      </c>
      <c r="B556" s="90"/>
      <c r="C556" s="90"/>
      <c r="D556" s="90"/>
      <c r="E556" s="90"/>
      <c r="F556" s="90"/>
      <c r="G556" s="90"/>
      <c r="H556" s="90"/>
    </row>
    <row r="557" spans="1:8" x14ac:dyDescent="0.3">
      <c r="A557" s="1" t="s">
        <v>571</v>
      </c>
      <c r="B557" s="90" t="s">
        <v>327</v>
      </c>
      <c r="C557" s="90"/>
      <c r="D557" s="108">
        <f>D549</f>
        <v>309.45971811678095</v>
      </c>
      <c r="E557" s="108">
        <f>E549</f>
        <v>4206.5810238575987</v>
      </c>
      <c r="F557" s="108">
        <f>F549</f>
        <v>2215.4660058983345</v>
      </c>
      <c r="G557" s="108">
        <f>G549</f>
        <v>616.96521683244771</v>
      </c>
      <c r="H557" s="108">
        <f>H549</f>
        <v>616.96521683244771</v>
      </c>
    </row>
    <row r="558" spans="1:8" x14ac:dyDescent="0.3">
      <c r="A558" s="1" t="s">
        <v>572</v>
      </c>
      <c r="B558" s="90" t="s">
        <v>327</v>
      </c>
      <c r="C558" s="90"/>
      <c r="D558" s="108">
        <f t="shared" ref="D558:H560" si="15">D550</f>
        <v>137.51563474050403</v>
      </c>
      <c r="E558" s="108">
        <f t="shared" si="15"/>
        <v>1869.2922720392296</v>
      </c>
      <c r="F558" s="108">
        <f t="shared" si="15"/>
        <v>984.49392994066022</v>
      </c>
      <c r="G558" s="108">
        <f t="shared" si="15"/>
        <v>274.16286656575369</v>
      </c>
      <c r="H558" s="108">
        <f t="shared" si="15"/>
        <v>274.16286656575369</v>
      </c>
    </row>
    <row r="559" spans="1:8" x14ac:dyDescent="0.3">
      <c r="A559" s="1" t="s">
        <v>565</v>
      </c>
      <c r="B559" s="90" t="s">
        <v>327</v>
      </c>
      <c r="C559" s="90"/>
      <c r="D559" s="108">
        <f t="shared" si="15"/>
        <v>4634.4760699965072</v>
      </c>
      <c r="E559" s="108">
        <f t="shared" si="15"/>
        <v>30795.73722526557</v>
      </c>
      <c r="F559" s="108">
        <f t="shared" si="15"/>
        <v>16219.088271973198</v>
      </c>
      <c r="G559" s="108">
        <f t="shared" si="15"/>
        <v>4516.708126372283</v>
      </c>
      <c r="H559" s="108">
        <f t="shared" si="15"/>
        <v>4516.708126372283</v>
      </c>
    </row>
    <row r="560" spans="1:8" x14ac:dyDescent="0.3">
      <c r="A560" s="1" t="s">
        <v>656</v>
      </c>
      <c r="B560" s="90" t="s">
        <v>327</v>
      </c>
      <c r="C560" s="90"/>
      <c r="D560" s="108">
        <f t="shared" si="15"/>
        <v>8.8053729777985001</v>
      </c>
      <c r="E560" s="108">
        <f t="shared" si="15"/>
        <v>85.030894666656721</v>
      </c>
      <c r="F560" s="108">
        <f t="shared" si="15"/>
        <v>44.782937857772978</v>
      </c>
      <c r="G560" s="108">
        <f t="shared" si="15"/>
        <v>12.471197884443153</v>
      </c>
      <c r="H560" s="108">
        <f t="shared" si="15"/>
        <v>12.471197884443153</v>
      </c>
    </row>
    <row r="561" spans="1:8" x14ac:dyDescent="0.3">
      <c r="A561" s="1" t="s">
        <v>534</v>
      </c>
      <c r="B561" s="90" t="s">
        <v>327</v>
      </c>
      <c r="C561" s="90"/>
      <c r="D561" s="108">
        <f>SUM(D557:D560)/'Input &amp; Calculation Summary'!C$128*(1-'Input &amp; Calculation Summary'!C$128)</f>
        <v>9453.3340494015265</v>
      </c>
      <c r="E561" s="108">
        <f>SUM(E557:E560)/'Input &amp; Calculation Summary'!D$128*(1-'Input &amp; Calculation Summary'!D$128)</f>
        <v>68633.762629396821</v>
      </c>
      <c r="F561" s="108">
        <f>SUM(F557:F560)/'Input &amp; Calculation Summary'!E$128*(1-'Input &amp; Calculation Summary'!E$128)</f>
        <v>36147.114984815656</v>
      </c>
      <c r="G561" s="108">
        <f>SUM(G557:G560)/'Input &amp; Calculation Summary'!F$128*(1-'Input &amp; Calculation Summary'!F$128)</f>
        <v>10066.285185644867</v>
      </c>
      <c r="H561" s="108">
        <f>SUM(H557:H560)/'Input &amp; Calculation Summary'!G$128*(1-'Input &amp; Calculation Summary'!G$128)</f>
        <v>10066.285185644867</v>
      </c>
    </row>
    <row r="562" spans="1:8" x14ac:dyDescent="0.3">
      <c r="A562" s="1" t="s">
        <v>312</v>
      </c>
      <c r="B562" s="90" t="s">
        <v>327</v>
      </c>
      <c r="C562" s="90"/>
      <c r="D562" s="108">
        <f>SUM(D557:D561)</f>
        <v>14543.590845233117</v>
      </c>
      <c r="E562" s="108">
        <f>SUM(E557:E561)</f>
        <v>105590.40404522588</v>
      </c>
      <c r="F562" s="108">
        <f>SUM(F557:F561)</f>
        <v>55610.946130485623</v>
      </c>
      <c r="G562" s="108">
        <f>SUM(G557:G561)</f>
        <v>15486.592593299796</v>
      </c>
      <c r="H562" s="108">
        <f>SUM(H557:H561)</f>
        <v>15486.592593299796</v>
      </c>
    </row>
    <row r="563" spans="1:8" x14ac:dyDescent="0.3">
      <c r="B563" s="90"/>
      <c r="C563" s="90"/>
      <c r="D563" s="90"/>
      <c r="E563" s="90"/>
      <c r="F563" s="90"/>
      <c r="G563" s="90"/>
      <c r="H563" s="90"/>
    </row>
    <row r="564" spans="1:8" ht="15.5" x14ac:dyDescent="0.35">
      <c r="A564" s="123" t="s">
        <v>692</v>
      </c>
      <c r="B564" s="90"/>
      <c r="C564" s="90"/>
      <c r="D564" s="90"/>
      <c r="E564" s="90"/>
      <c r="F564" s="90"/>
      <c r="G564" s="90"/>
      <c r="H564" s="90"/>
    </row>
    <row r="565" spans="1:8" x14ac:dyDescent="0.3">
      <c r="A565" s="1" t="s">
        <v>571</v>
      </c>
      <c r="B565" s="90" t="s">
        <v>327</v>
      </c>
      <c r="C565" s="90"/>
      <c r="D565" s="108">
        <f>D557/'Input &amp; Calculation Summary'!C$129</f>
        <v>309.45971811678095</v>
      </c>
      <c r="E565" s="108">
        <f>E557/'Input &amp; Calculation Summary'!D$129</f>
        <v>4206.5810238575987</v>
      </c>
      <c r="F565" s="108">
        <f>F557/'Input &amp; Calculation Summary'!E$129</f>
        <v>2215.4660058983345</v>
      </c>
      <c r="G565" s="108">
        <f>G557/'Input &amp; Calculation Summary'!F$129</f>
        <v>616.96521683244771</v>
      </c>
      <c r="H565" s="108">
        <f>H557/'Input &amp; Calculation Summary'!G$129</f>
        <v>616.96521683244771</v>
      </c>
    </row>
    <row r="566" spans="1:8" x14ac:dyDescent="0.3">
      <c r="A566" s="1" t="s">
        <v>572</v>
      </c>
      <c r="B566" s="90" t="s">
        <v>327</v>
      </c>
      <c r="C566" s="90"/>
      <c r="D566" s="108">
        <f>D558/'Input &amp; Calculation Summary'!C$129</f>
        <v>137.51563474050403</v>
      </c>
      <c r="E566" s="108">
        <f>E558/'Input &amp; Calculation Summary'!D$129</f>
        <v>1869.2922720392296</v>
      </c>
      <c r="F566" s="108">
        <f>F558/'Input &amp; Calculation Summary'!E$129</f>
        <v>984.49392994066022</v>
      </c>
      <c r="G566" s="108">
        <f>G558/'Input &amp; Calculation Summary'!F$129</f>
        <v>274.16286656575369</v>
      </c>
      <c r="H566" s="108">
        <f>H558/'Input &amp; Calculation Summary'!G$129</f>
        <v>274.16286656575369</v>
      </c>
    </row>
    <row r="567" spans="1:8" x14ac:dyDescent="0.3">
      <c r="A567" s="1" t="s">
        <v>565</v>
      </c>
      <c r="B567" s="90" t="s">
        <v>327</v>
      </c>
      <c r="C567" s="90"/>
      <c r="D567" s="108">
        <f>D559/'Input &amp; Calculation Summary'!C$129+(D$117/'Input &amp; Calculation Summary'!C$129)</f>
        <v>4651.789868621785</v>
      </c>
      <c r="E567" s="108">
        <f>E559/'Input &amp; Calculation Summary'!D$129+(E$117/'Input &amp; Calculation Summary'!D$129)</f>
        <v>30921.440087224171</v>
      </c>
      <c r="F567" s="108">
        <f>F559/'Input &amp; Calculation Summary'!E$129+(F$117/'Input &amp; Calculation Summary'!E$129)</f>
        <v>16285.291779271396</v>
      </c>
      <c r="G567" s="108">
        <f>G559/'Input &amp; Calculation Summary'!F$129+(G$117/'Input &amp; Calculation Summary'!F$129)</f>
        <v>4535.144546126211</v>
      </c>
      <c r="H567" s="108">
        <f>H559/'Input &amp; Calculation Summary'!G$129+(H$117/'Input &amp; Calculation Summary'!G$129)</f>
        <v>4535.144546126211</v>
      </c>
    </row>
    <row r="568" spans="1:8" x14ac:dyDescent="0.3">
      <c r="A568" s="1" t="s">
        <v>656</v>
      </c>
      <c r="B568" s="90" t="s">
        <v>327</v>
      </c>
      <c r="C568" s="90"/>
      <c r="D568" s="108">
        <f>D560/'Input &amp; Calculation Summary'!C$129+(D$116/'Input &amp; Calculation Summary'!C$129)</f>
        <v>214.68750500851127</v>
      </c>
      <c r="E568" s="108">
        <f>E560/'Input &amp; Calculation Summary'!D$129+(E$116/'Input &amp; Calculation Summary'!D$129)</f>
        <v>1579.7908709445126</v>
      </c>
      <c r="F568" s="108">
        <f>F560/'Input &amp; Calculation Summary'!E$129+(F$116/'Input &amp; Calculation Summary'!E$129)</f>
        <v>832.02319203077695</v>
      </c>
      <c r="G568" s="108">
        <f>G560/'Input &amp; Calculation Summary'!F$129+(G$116/'Input &amp; Calculation Summary'!F$129)</f>
        <v>231.70266107186205</v>
      </c>
      <c r="H568" s="108">
        <f>H560/'Input &amp; Calculation Summary'!G$129+(H$116/'Input &amp; Calculation Summary'!G$129)</f>
        <v>231.70266107186205</v>
      </c>
    </row>
    <row r="569" spans="1:8" x14ac:dyDescent="0.3">
      <c r="A569" s="1" t="s">
        <v>534</v>
      </c>
      <c r="B569" s="90" t="s">
        <v>327</v>
      </c>
      <c r="C569" s="90"/>
      <c r="D569" s="108">
        <f>D561/'Input &amp; Calculation Summary'!C$129+(D$118/'Input &amp; Calculation Summary'!C$129)</f>
        <v>9974.1245542655033</v>
      </c>
      <c r="E569" s="108">
        <f>E561/'Input &amp; Calculation Summary'!D$129+(E$118/'Input &amp; Calculation Summary'!D$129)</f>
        <v>72414.842585281891</v>
      </c>
      <c r="F569" s="108">
        <f>F561/'Input &amp; Calculation Summary'!E$129+(F$118/'Input &amp; Calculation Summary'!E$129)</f>
        <v>38138.483761581796</v>
      </c>
      <c r="G569" s="108">
        <f>G561/'Input &amp; Calculation Summary'!F$129+(G$118/'Input &amp; Calculation Summary'!F$129)</f>
        <v>10620.843579174678</v>
      </c>
      <c r="H569" s="108">
        <f>H561/'Input &amp; Calculation Summary'!G$129+(H$118/'Input &amp; Calculation Summary'!G$129)</f>
        <v>10620.843579174678</v>
      </c>
    </row>
    <row r="570" spans="1:8" x14ac:dyDescent="0.3">
      <c r="A570" s="1" t="s">
        <v>312</v>
      </c>
      <c r="B570" s="90" t="s">
        <v>327</v>
      </c>
      <c r="C570" s="90"/>
      <c r="D570" s="108">
        <f>SUM(D565:D569)</f>
        <v>15287.577280753085</v>
      </c>
      <c r="E570" s="108">
        <f>SUM(E565:E569)</f>
        <v>110991.94683934739</v>
      </c>
      <c r="F570" s="108">
        <f>SUM(F565:F569)</f>
        <v>58455.758668722963</v>
      </c>
      <c r="G570" s="108">
        <f>SUM(G565:G569)</f>
        <v>16278.818869770952</v>
      </c>
      <c r="H570" s="108">
        <f>SUM(H565:H569)</f>
        <v>16278.818869770952</v>
      </c>
    </row>
    <row r="571" spans="1:8" x14ac:dyDescent="0.3">
      <c r="B571" s="90"/>
      <c r="C571" s="90"/>
      <c r="D571" s="90"/>
      <c r="E571" s="90"/>
      <c r="F571" s="90"/>
      <c r="G571" s="90"/>
      <c r="H571" s="90"/>
    </row>
    <row r="572" spans="1:8" ht="15.5" x14ac:dyDescent="0.35">
      <c r="A572" s="123" t="s">
        <v>682</v>
      </c>
      <c r="B572" s="90"/>
      <c r="C572" s="90"/>
      <c r="D572" s="90"/>
      <c r="E572" s="90"/>
      <c r="F572" s="90"/>
      <c r="G572" s="90"/>
      <c r="H572" s="90"/>
    </row>
    <row r="573" spans="1:8" x14ac:dyDescent="0.3">
      <c r="A573" s="1" t="s">
        <v>571</v>
      </c>
      <c r="B573" s="90" t="s">
        <v>327</v>
      </c>
      <c r="C573" s="90"/>
      <c r="D573" s="108">
        <f>D565+D$363</f>
        <v>520.46965778816593</v>
      </c>
      <c r="E573" s="108">
        <f>E565+E$363</f>
        <v>5738.5702708435374</v>
      </c>
      <c r="F573" s="108">
        <f>F565+F$363</f>
        <v>3022.3136759775953</v>
      </c>
      <c r="G573" s="108">
        <f>G565+G$363</f>
        <v>841.65697305705203</v>
      </c>
      <c r="H573" s="108">
        <f>H565+H$363</f>
        <v>841.65697305705203</v>
      </c>
    </row>
    <row r="574" spans="1:8" x14ac:dyDescent="0.3">
      <c r="A574" s="1" t="s">
        <v>572</v>
      </c>
      <c r="B574" s="90" t="s">
        <v>327</v>
      </c>
      <c r="C574" s="90"/>
      <c r="D574" s="108">
        <f>D566+D$374</f>
        <v>231.28281699947493</v>
      </c>
      <c r="E574" s="108">
        <f>E566+E$374</f>
        <v>2550.0673822763447</v>
      </c>
      <c r="F574" s="108">
        <f>F566+F$374</f>
        <v>1343.035487998874</v>
      </c>
      <c r="G574" s="108">
        <f>G566+G$374</f>
        <v>374.00988273386395</v>
      </c>
      <c r="H574" s="108">
        <f>H566+H$374</f>
        <v>374.00988273386395</v>
      </c>
    </row>
    <row r="575" spans="1:8" x14ac:dyDescent="0.3">
      <c r="A575" s="1" t="s">
        <v>565</v>
      </c>
      <c r="B575" s="90" t="s">
        <v>327</v>
      </c>
      <c r="C575" s="90"/>
      <c r="D575" s="108">
        <f>D567+D$50+(D$32/HCl_MolWt*CaCl2_MolWt/2/'Input &amp; Calculation Summary'!C$129)</f>
        <v>8517.366408621785</v>
      </c>
      <c r="E575" s="108">
        <f>E567+E$50+(E$32/HCl_MolWt*CaCl2_MolWt/2/'Input &amp; Calculation Summary'!D$129)</f>
        <v>44726.681696224172</v>
      </c>
      <c r="F575" s="108">
        <f>F567+F$50+(F$32/HCl_MolWt*CaCl2_MolWt/2/'Input &amp; Calculation Summary'!E$129)</f>
        <v>23556.052360011396</v>
      </c>
      <c r="G575" s="108">
        <f>G567+G$50+(G$32/HCl_MolWt*CaCl2_MolWt/2/'Input &amp; Calculation Summary'!F$129)</f>
        <v>6559.9133154462115</v>
      </c>
      <c r="H575" s="108">
        <f>H567+H$50+(H$32/HCl_MolWt*CaCl2_MolWt/2/'Input &amp; Calculation Summary'!G$129)</f>
        <v>6559.9133154462115</v>
      </c>
    </row>
    <row r="576" spans="1:8" x14ac:dyDescent="0.3">
      <c r="A576" s="1" t="s">
        <v>656</v>
      </c>
      <c r="B576" s="90" t="s">
        <v>327</v>
      </c>
      <c r="C576" s="90"/>
      <c r="D576" s="108">
        <f>D568-(D$361+D$370)-(D$32/HCl_MolWt*Ca_OH_2_MolWt/2/'Input &amp; Calculation Summary'!C$129)</f>
        <v>53.275913496432452</v>
      </c>
      <c r="E576" s="108">
        <f>E568-(E$361+E$370)-(E$32/HCl_MolWt*Ca_OH_2_MolWt/2/'Input &amp; Calculation Summary'!D$129)</f>
        <v>407.89904954267331</v>
      </c>
      <c r="F576" s="108">
        <f>F568-(F$361+F$370)-(F$32/HCl_MolWt*Ca_OH_2_MolWt/2/'Input &amp; Calculation Summary'!E$129)</f>
        <v>214.82683275914178</v>
      </c>
      <c r="G576" s="108">
        <f>G568-(G$361+G$370)-(G$32/HCl_MolWt*Ca_OH_2_MolWt/2/'Input &amp; Calculation Summary'!F$129)</f>
        <v>59.825193932925629</v>
      </c>
      <c r="H576" s="108">
        <f>H568-(H$361+H$370)-(H$32/HCl_MolWt*Ca_OH_2_MolWt/2/'Input &amp; Calculation Summary'!G$129)</f>
        <v>59.825193932925629</v>
      </c>
    </row>
    <row r="577" spans="1:8" x14ac:dyDescent="0.3">
      <c r="A577" s="1" t="s">
        <v>534</v>
      </c>
      <c r="B577" s="90" t="s">
        <v>327</v>
      </c>
      <c r="C577" s="90"/>
      <c r="D577" s="90" t="s">
        <v>687</v>
      </c>
      <c r="E577" s="90" t="s">
        <v>687</v>
      </c>
      <c r="F577" s="90" t="s">
        <v>687</v>
      </c>
      <c r="G577" s="90" t="s">
        <v>687</v>
      </c>
      <c r="H577" s="90" t="s">
        <v>687</v>
      </c>
    </row>
    <row r="578" spans="1:8" x14ac:dyDescent="0.3">
      <c r="A578" s="1" t="s">
        <v>312</v>
      </c>
      <c r="B578" s="90" t="s">
        <v>327</v>
      </c>
      <c r="C578" s="90"/>
      <c r="D578" s="108">
        <f>SUM(D573:D576)</f>
        <v>9322.394796905859</v>
      </c>
      <c r="E578" s="108">
        <f>SUM(E573:E576)</f>
        <v>53423.218398886733</v>
      </c>
      <c r="F578" s="108">
        <f>SUM(F573:F576)</f>
        <v>28136.228356747008</v>
      </c>
      <c r="G578" s="108">
        <f>SUM(G573:G576)</f>
        <v>7835.4053651700533</v>
      </c>
      <c r="H578" s="108">
        <f>SUM(H573:H576)</f>
        <v>7835.4053651700533</v>
      </c>
    </row>
    <row r="579" spans="1:8" x14ac:dyDescent="0.3">
      <c r="B579" s="90"/>
      <c r="C579" s="90"/>
      <c r="D579" s="90"/>
      <c r="E579" s="90"/>
      <c r="F579" s="90"/>
      <c r="G579" s="90"/>
      <c r="H579" s="90"/>
    </row>
    <row r="580" spans="1:8" ht="15.5" x14ac:dyDescent="0.35">
      <c r="A580" s="123" t="s">
        <v>693</v>
      </c>
      <c r="B580" s="90"/>
      <c r="C580" s="90"/>
      <c r="D580" s="90"/>
      <c r="E580" s="90"/>
      <c r="F580" s="90"/>
      <c r="G580" s="90"/>
      <c r="H580" s="90"/>
    </row>
    <row r="581" spans="1:8" x14ac:dyDescent="0.3">
      <c r="A581" s="1" t="s">
        <v>571</v>
      </c>
      <c r="B581" s="90" t="s">
        <v>327</v>
      </c>
      <c r="C581" s="90"/>
      <c r="D581" s="108">
        <f>D573*0.1</f>
        <v>52.046965778816599</v>
      </c>
      <c r="E581" s="108">
        <f>E573*0.1</f>
        <v>573.85702708435372</v>
      </c>
      <c r="F581" s="108">
        <f>F573*0.1</f>
        <v>302.23136759775952</v>
      </c>
      <c r="G581" s="108">
        <f>G573*0.1</f>
        <v>84.165697305705208</v>
      </c>
      <c r="H581" s="108">
        <f>H573*0.1</f>
        <v>84.165697305705208</v>
      </c>
    </row>
    <row r="582" spans="1:8" x14ac:dyDescent="0.3">
      <c r="A582" s="1" t="s">
        <v>572</v>
      </c>
      <c r="B582" s="90" t="s">
        <v>327</v>
      </c>
      <c r="C582" s="90"/>
      <c r="D582" s="108">
        <f t="shared" ref="D582:H584" si="16">D574*0.1</f>
        <v>23.128281699947493</v>
      </c>
      <c r="E582" s="108">
        <f t="shared" si="16"/>
        <v>255.00673822763449</v>
      </c>
      <c r="F582" s="108">
        <f t="shared" si="16"/>
        <v>134.30354879988741</v>
      </c>
      <c r="G582" s="108">
        <f t="shared" si="16"/>
        <v>37.400988273386396</v>
      </c>
      <c r="H582" s="108">
        <f t="shared" si="16"/>
        <v>37.400988273386396</v>
      </c>
    </row>
    <row r="583" spans="1:8" x14ac:dyDescent="0.3">
      <c r="A583" s="1" t="s">
        <v>565</v>
      </c>
      <c r="B583" s="90" t="s">
        <v>327</v>
      </c>
      <c r="C583" s="90"/>
      <c r="D583" s="108">
        <f t="shared" si="16"/>
        <v>851.73664086217855</v>
      </c>
      <c r="E583" s="108">
        <f t="shared" si="16"/>
        <v>4472.6681696224177</v>
      </c>
      <c r="F583" s="108">
        <f t="shared" si="16"/>
        <v>2355.6052360011395</v>
      </c>
      <c r="G583" s="108">
        <f t="shared" si="16"/>
        <v>655.99133154462118</v>
      </c>
      <c r="H583" s="108">
        <f t="shared" si="16"/>
        <v>655.99133154462118</v>
      </c>
    </row>
    <row r="584" spans="1:8" x14ac:dyDescent="0.3">
      <c r="A584" s="1" t="s">
        <v>656</v>
      </c>
      <c r="B584" s="90" t="s">
        <v>327</v>
      </c>
      <c r="C584" s="90"/>
      <c r="D584" s="108">
        <f t="shared" si="16"/>
        <v>5.3275913496432459</v>
      </c>
      <c r="E584" s="108">
        <f t="shared" si="16"/>
        <v>40.789904954267335</v>
      </c>
      <c r="F584" s="108">
        <f t="shared" si="16"/>
        <v>21.48268327591418</v>
      </c>
      <c r="G584" s="108">
        <f t="shared" si="16"/>
        <v>5.9825193932925629</v>
      </c>
      <c r="H584" s="108">
        <f t="shared" si="16"/>
        <v>5.9825193932925629</v>
      </c>
    </row>
    <row r="585" spans="1:8" x14ac:dyDescent="0.3">
      <c r="A585" s="1" t="s">
        <v>534</v>
      </c>
      <c r="B585" s="90" t="s">
        <v>327</v>
      </c>
      <c r="C585" s="90"/>
      <c r="D585" s="108">
        <f>SUM(D581:D584)*0.02/0.98</f>
        <v>19.02529550388951</v>
      </c>
      <c r="E585" s="108">
        <f>SUM(E581:E584)*0.02/0.98</f>
        <v>109.02697632425865</v>
      </c>
      <c r="F585" s="108">
        <f>SUM(F581:F584)*0.02/0.98</f>
        <v>57.420874197442878</v>
      </c>
      <c r="G585" s="108">
        <f>SUM(G581:G584)*0.02/0.98</f>
        <v>15.990623194224598</v>
      </c>
      <c r="H585" s="108">
        <f>SUM(H581:H584)*0.02/0.98</f>
        <v>15.990623194224598</v>
      </c>
    </row>
    <row r="586" spans="1:8" x14ac:dyDescent="0.3">
      <c r="A586" s="1" t="s">
        <v>312</v>
      </c>
      <c r="B586" s="90" t="s">
        <v>327</v>
      </c>
      <c r="C586" s="90"/>
      <c r="D586" s="108">
        <f>SUM(D581:D585)</f>
        <v>951.26477519447542</v>
      </c>
      <c r="E586" s="108">
        <f>SUM(E581:E585)</f>
        <v>5451.3488162129324</v>
      </c>
      <c r="F586" s="108">
        <f>SUM(F581:F585)</f>
        <v>2871.0437098721436</v>
      </c>
      <c r="G586" s="108">
        <f>SUM(G581:G585)</f>
        <v>799.53115971122986</v>
      </c>
      <c r="H586" s="108">
        <f>SUM(H581:H585)</f>
        <v>799.53115971122986</v>
      </c>
    </row>
    <row r="587" spans="1:8" x14ac:dyDescent="0.3">
      <c r="B587" s="90"/>
      <c r="C587" s="90"/>
      <c r="D587" s="90"/>
      <c r="E587" s="90"/>
      <c r="F587" s="90"/>
      <c r="G587" s="90"/>
      <c r="H587" s="90"/>
    </row>
    <row r="588" spans="1:8" ht="15.5" x14ac:dyDescent="0.35">
      <c r="A588" s="123" t="s">
        <v>684</v>
      </c>
      <c r="B588" s="90"/>
      <c r="C588" s="90"/>
      <c r="D588" s="90"/>
      <c r="E588" s="90"/>
      <c r="F588" s="90"/>
      <c r="G588" s="90"/>
      <c r="H588" s="90"/>
    </row>
    <row r="589" spans="1:8" x14ac:dyDescent="0.3">
      <c r="A589" s="1" t="s">
        <v>571</v>
      </c>
      <c r="B589" s="90" t="s">
        <v>327</v>
      </c>
      <c r="C589" s="90"/>
      <c r="D589" s="108">
        <f>(D573-D581)*'Input &amp; Calculation Summary'!C$129+D$385</f>
        <v>521.17517692719559</v>
      </c>
      <c r="E589" s="108">
        <f>(E573-E581)*'Input &amp; Calculation Summary'!D$129+E$385</f>
        <v>5547.7105555056678</v>
      </c>
      <c r="F589" s="108">
        <f>(F573-F581)*'Input &amp; Calculation Summary'!E$129+F$385</f>
        <v>2921.7942258996513</v>
      </c>
      <c r="G589" s="108">
        <f>(G573-G581)*'Input &amp; Calculation Summary'!F$129+G$385</f>
        <v>813.66421480749796</v>
      </c>
      <c r="H589" s="108">
        <f>(H573-H581)*'Input &amp; Calculation Summary'!G$129+H$385</f>
        <v>813.66421480749796</v>
      </c>
    </row>
    <row r="590" spans="1:8" x14ac:dyDescent="0.3">
      <c r="A590" s="1" t="s">
        <v>572</v>
      </c>
      <c r="B590" s="90" t="s">
        <v>327</v>
      </c>
      <c r="C590" s="90"/>
      <c r="D590" s="108">
        <f>(D574-D582)*'Input &amp; Calculation Summary'!C$129+D$396</f>
        <v>231.59633086427016</v>
      </c>
      <c r="E590" s="108">
        <f>(E574-E582)*'Input &amp; Calculation Summary'!D$129+E$396</f>
        <v>2465.2544216079891</v>
      </c>
      <c r="F590" s="108">
        <f>(F574-F582)*'Input &amp; Calculation Summary'!E$129+F$396</f>
        <v>1298.36732871354</v>
      </c>
      <c r="G590" s="108">
        <f>(G574-G582)*'Input &amp; Calculation Summary'!F$129+G$396</f>
        <v>361.57064850250509</v>
      </c>
      <c r="H590" s="108">
        <f>(H574-H582)*'Input &amp; Calculation Summary'!G$129+H$396</f>
        <v>361.57064850250509</v>
      </c>
    </row>
    <row r="591" spans="1:8" x14ac:dyDescent="0.3">
      <c r="A591" s="1" t="s">
        <v>565</v>
      </c>
      <c r="B591" s="90" t="s">
        <v>327</v>
      </c>
      <c r="C591" s="90"/>
      <c r="D591" s="108">
        <f>(D575-D583)*'Input &amp; Calculation Summary'!C$129</f>
        <v>7665.6297677596067</v>
      </c>
      <c r="E591" s="108">
        <f>(E575-E583)*'Input &amp; Calculation Summary'!D$129</f>
        <v>40254.013526601753</v>
      </c>
      <c r="F591" s="108">
        <f>(F575-F583)*'Input &amp; Calculation Summary'!E$129</f>
        <v>21200.447124010258</v>
      </c>
      <c r="G591" s="108">
        <f>(G575-G583)*'Input &amp; Calculation Summary'!F$129</f>
        <v>5903.9219839015905</v>
      </c>
      <c r="H591" s="108">
        <f>(H575-H583)*'Input &amp; Calculation Summary'!G$129</f>
        <v>5903.9219839015905</v>
      </c>
    </row>
    <row r="592" spans="1:8" x14ac:dyDescent="0.3">
      <c r="A592" s="1" t="s">
        <v>656</v>
      </c>
      <c r="B592" s="90" t="s">
        <v>327</v>
      </c>
      <c r="C592" s="90"/>
      <c r="D592" s="108">
        <f>(D576-D584)*'Input &amp; Calculation Summary'!C$129-(D$383+D$392)</f>
        <v>7.5954242687695057</v>
      </c>
      <c r="E592" s="108">
        <f>(E576-E584)*'Input &amp; Calculation Summary'!D$129-(E$383+E$392)</f>
        <v>74.136189237946155</v>
      </c>
      <c r="F592" s="108">
        <f>(F576-F584)*'Input &amp; Calculation Summary'!E$129-(F$383+F$392)</f>
        <v>39.045059665318803</v>
      </c>
      <c r="G592" s="108">
        <f>(G576-G584)*'Input &amp; Calculation Summary'!F$129-(G$383+G$392)</f>
        <v>10.87330775489896</v>
      </c>
      <c r="H592" s="108">
        <f>(H576-H584)*'Input &amp; Calculation Summary'!G$129-(H$383+H$392)</f>
        <v>10.87330775489896</v>
      </c>
    </row>
    <row r="593" spans="1:8" x14ac:dyDescent="0.3">
      <c r="A593" s="1" t="s">
        <v>534</v>
      </c>
      <c r="B593" s="90" t="s">
        <v>327</v>
      </c>
      <c r="C593" s="90"/>
      <c r="D593" s="108"/>
      <c r="E593" s="108"/>
      <c r="F593" s="108"/>
      <c r="G593" s="108"/>
      <c r="H593" s="108"/>
    </row>
    <row r="594" spans="1:8" x14ac:dyDescent="0.3">
      <c r="A594" s="1" t="s">
        <v>312</v>
      </c>
      <c r="B594" s="90" t="s">
        <v>327</v>
      </c>
      <c r="C594" s="90"/>
      <c r="D594" s="108">
        <f>SUM(D589:D592)</f>
        <v>8425.9966998198415</v>
      </c>
      <c r="E594" s="108">
        <f>SUM(E589:E592)</f>
        <v>48341.11469295335</v>
      </c>
      <c r="F594" s="108">
        <f>SUM(F589:F592)</f>
        <v>25459.653738288765</v>
      </c>
      <c r="G594" s="108">
        <f>SUM(G589:G592)</f>
        <v>7090.0301549664919</v>
      </c>
      <c r="H594" s="108">
        <f>SUM(H589:H592)</f>
        <v>7090.0301549664919</v>
      </c>
    </row>
    <row r="595" spans="1:8" x14ac:dyDescent="0.3">
      <c r="A595" s="1" t="s">
        <v>571</v>
      </c>
      <c r="B595" s="90" t="s">
        <v>694</v>
      </c>
      <c r="C595" s="90"/>
      <c r="D595" s="215">
        <f>D589/(D594-D593)</f>
        <v>6.1853237723003024E-2</v>
      </c>
      <c r="E595" s="215">
        <f>E589/(E594-E593)</f>
        <v>0.11476174247827912</v>
      </c>
      <c r="F595" s="215">
        <f>F589/(F594-F593)</f>
        <v>0.11476174247827911</v>
      </c>
      <c r="G595" s="215">
        <f>G589/(G594-G593)</f>
        <v>0.11476174247827912</v>
      </c>
      <c r="H595" s="215">
        <f>H589/(H594-H593)</f>
        <v>0.11476174247827912</v>
      </c>
    </row>
    <row r="596" spans="1:8" x14ac:dyDescent="0.3">
      <c r="A596" s="1" t="s">
        <v>572</v>
      </c>
      <c r="B596" s="90" t="s">
        <v>694</v>
      </c>
      <c r="C596" s="90"/>
      <c r="D596" s="215">
        <f>D590/(D594-D593)</f>
        <v>2.7485927079608515E-2</v>
      </c>
      <c r="E596" s="215">
        <f>E590/(E594-E593)</f>
        <v>5.0997053693661462E-2</v>
      </c>
      <c r="F596" s="215">
        <f>F590/(F594-F593)</f>
        <v>5.0997053693661427E-2</v>
      </c>
      <c r="G596" s="215">
        <f>G590/(G594-G593)</f>
        <v>5.0997053693661462E-2</v>
      </c>
      <c r="H596" s="215">
        <f>H590/(H594-H593)</f>
        <v>5.0997053693661462E-2</v>
      </c>
    </row>
    <row r="597" spans="1:8" x14ac:dyDescent="0.3">
      <c r="A597" s="1" t="s">
        <v>565</v>
      </c>
      <c r="B597" s="90" t="s">
        <v>694</v>
      </c>
      <c r="C597" s="90"/>
      <c r="D597" s="215">
        <f>D591/(D594-D593)</f>
        <v>0.90975940780080145</v>
      </c>
      <c r="E597" s="215">
        <f>E591/(E594-E593)</f>
        <v>0.83270759853763887</v>
      </c>
      <c r="F597" s="215">
        <f>F591/(F594-F593)</f>
        <v>0.83270759853763887</v>
      </c>
      <c r="G597" s="215">
        <f>G591/(G594-G593)</f>
        <v>0.83270759853763876</v>
      </c>
      <c r="H597" s="215">
        <f>H591/(H594-H593)</f>
        <v>0.83270759853763876</v>
      </c>
    </row>
    <row r="598" spans="1:8" x14ac:dyDescent="0.3">
      <c r="A598" s="1" t="s">
        <v>656</v>
      </c>
      <c r="B598" s="90" t="s">
        <v>694</v>
      </c>
      <c r="C598" s="90"/>
      <c r="D598" s="215">
        <f>D592/(D594-D593)</f>
        <v>9.0142739658702993E-4</v>
      </c>
      <c r="E598" s="215">
        <f>E592/(E594-E593)</f>
        <v>1.5336052904206807E-3</v>
      </c>
      <c r="F598" s="215">
        <f>F592/(F594-F593)</f>
        <v>1.5336052904207E-3</v>
      </c>
      <c r="G598" s="215">
        <f>G592/(G594-G593)</f>
        <v>1.5336052904207074E-3</v>
      </c>
      <c r="H598" s="215">
        <f>H592/(H594-H593)</f>
        <v>1.5336052904207074E-3</v>
      </c>
    </row>
    <row r="599" spans="1:8" x14ac:dyDescent="0.3">
      <c r="A599" s="1" t="s">
        <v>534</v>
      </c>
      <c r="B599" s="90" t="s">
        <v>694</v>
      </c>
      <c r="C599" s="90"/>
      <c r="D599" s="215"/>
      <c r="E599" s="215"/>
      <c r="F599" s="215"/>
      <c r="G599" s="215"/>
      <c r="H599" s="215"/>
    </row>
    <row r="600" spans="1:8" x14ac:dyDescent="0.3">
      <c r="A600" s="1" t="s">
        <v>312</v>
      </c>
      <c r="B600" s="90" t="s">
        <v>694</v>
      </c>
      <c r="C600" s="90"/>
      <c r="D600" s="215">
        <f>SUM(D595:D598)</f>
        <v>1</v>
      </c>
      <c r="E600" s="215">
        <f>SUM(E595:E598)</f>
        <v>1</v>
      </c>
      <c r="F600" s="215">
        <f>SUM(F595:F598)</f>
        <v>1.0000000000000002</v>
      </c>
      <c r="G600" s="215">
        <f>SUM(G595:G598)</f>
        <v>1</v>
      </c>
      <c r="H600" s="215">
        <f>SUM(H595:H598)</f>
        <v>1</v>
      </c>
    </row>
    <row r="601" spans="1:8" x14ac:dyDescent="0.3">
      <c r="B601" s="90"/>
      <c r="C601" s="90"/>
      <c r="D601" s="90"/>
      <c r="E601" s="90"/>
      <c r="F601" s="90"/>
      <c r="G601" s="90"/>
      <c r="H601" s="90"/>
    </row>
    <row r="602" spans="1:8" ht="15.5" x14ac:dyDescent="0.35">
      <c r="A602" s="123" t="s">
        <v>666</v>
      </c>
      <c r="B602" s="90"/>
      <c r="C602" s="90"/>
      <c r="D602" s="90"/>
      <c r="E602" s="90"/>
      <c r="F602" s="90"/>
      <c r="G602" s="90"/>
      <c r="H602" s="90"/>
    </row>
    <row r="603" spans="1:8" x14ac:dyDescent="0.3">
      <c r="A603" s="1" t="s">
        <v>571</v>
      </c>
      <c r="B603" s="90" t="s">
        <v>327</v>
      </c>
      <c r="C603" s="90"/>
      <c r="D603" s="108">
        <f>D595*(D608-D607)</f>
        <v>263.06611164111308</v>
      </c>
      <c r="E603" s="108">
        <f>E595*(E608-E607)</f>
        <v>1913.4852630612249</v>
      </c>
      <c r="F603" s="108">
        <f>F595*(F608-F607)</f>
        <v>1007.7689052122452</v>
      </c>
      <c r="G603" s="108">
        <f>G595*(G608-G607)</f>
        <v>280.64450524897978</v>
      </c>
      <c r="H603" s="108">
        <f>H595*(H608-H607)</f>
        <v>280.64450524897978</v>
      </c>
    </row>
    <row r="604" spans="1:8" x14ac:dyDescent="0.3">
      <c r="A604" s="1" t="s">
        <v>572</v>
      </c>
      <c r="B604" s="90" t="s">
        <v>327</v>
      </c>
      <c r="C604" s="90"/>
      <c r="D604" s="108">
        <f>D596*(D608-D607)</f>
        <v>116.89955494431206</v>
      </c>
      <c r="E604" s="108">
        <f>E596*(E608-E607)</f>
        <v>850.30175209157801</v>
      </c>
      <c r="F604" s="108">
        <f>F596*(F608-F607)</f>
        <v>447.82558943489749</v>
      </c>
      <c r="G604" s="108">
        <f>G596*(G608-G607)</f>
        <v>124.71092364009816</v>
      </c>
      <c r="H604" s="108">
        <f>H596*(H608-H607)</f>
        <v>124.71092364009816</v>
      </c>
    </row>
    <row r="605" spans="1:8" x14ac:dyDescent="0.3">
      <c r="A605" s="1" t="s">
        <v>565</v>
      </c>
      <c r="B605" s="90" t="s">
        <v>327</v>
      </c>
      <c r="C605" s="90"/>
      <c r="D605" s="108">
        <f>D597*(D608-D607)</f>
        <v>3869.269883831379</v>
      </c>
      <c r="E605" s="108">
        <f>E597*(E608-E607)</f>
        <v>13884.188962558246</v>
      </c>
      <c r="F605" s="108">
        <f>F597*(F608-F607)</f>
        <v>7312.3395202806769</v>
      </c>
      <c r="G605" s="108">
        <f>G597*(G608-G607)</f>
        <v>2036.3477145085433</v>
      </c>
      <c r="H605" s="108">
        <f>H597*(H608-H607)</f>
        <v>2036.3477145085433</v>
      </c>
    </row>
    <row r="606" spans="1:8" x14ac:dyDescent="0.3">
      <c r="A606" s="1" t="s">
        <v>656</v>
      </c>
      <c r="B606" s="90" t="s">
        <v>327</v>
      </c>
      <c r="C606" s="90"/>
      <c r="D606" s="108">
        <f>D598*(D608-D607)</f>
        <v>3.8338332620336186</v>
      </c>
      <c r="E606" s="108">
        <f>E598*(E608-E607)</f>
        <v>25.570639301926938</v>
      </c>
      <c r="F606" s="108">
        <f>F598*(F608-F607)</f>
        <v>13.467203365681693</v>
      </c>
      <c r="G606" s="108">
        <f>G598*(G608-G607)</f>
        <v>3.750360430949351</v>
      </c>
      <c r="H606" s="108">
        <f>H598*(H608-H607)</f>
        <v>3.750360430949351</v>
      </c>
    </row>
    <row r="607" spans="1:8" x14ac:dyDescent="0.3">
      <c r="A607" s="1" t="s">
        <v>534</v>
      </c>
      <c r="B607" s="90" t="s">
        <v>327</v>
      </c>
      <c r="C607" s="90"/>
      <c r="D607" s="108">
        <f>D608*0.02</f>
        <v>86.797334360792618</v>
      </c>
      <c r="E607" s="108">
        <f>E608*0.02</f>
        <v>340.27646157169335</v>
      </c>
      <c r="F607" s="108">
        <f>F608*0.02</f>
        <v>179.21226976109185</v>
      </c>
      <c r="G607" s="108">
        <f>G608*0.02</f>
        <v>49.907214363848368</v>
      </c>
      <c r="H607" s="108">
        <f>H608*0.02</f>
        <v>49.907214363848368</v>
      </c>
    </row>
    <row r="608" spans="1:8" x14ac:dyDescent="0.3">
      <c r="A608" s="1" t="s">
        <v>312</v>
      </c>
      <c r="B608" s="90" t="s">
        <v>327</v>
      </c>
      <c r="C608" s="90"/>
      <c r="D608" s="108">
        <f>D$458</f>
        <v>4339.8667180396305</v>
      </c>
      <c r="E608" s="108">
        <f>E$458</f>
        <v>17013.823078584668</v>
      </c>
      <c r="F608" s="108">
        <f>F$458</f>
        <v>8960.6134880545924</v>
      </c>
      <c r="G608" s="108">
        <f>G$458</f>
        <v>2495.3607181924185</v>
      </c>
      <c r="H608" s="108">
        <f>H$458</f>
        <v>2495.3607181924185</v>
      </c>
    </row>
    <row r="609" spans="1:8" x14ac:dyDescent="0.3">
      <c r="B609" s="90"/>
      <c r="C609" s="90"/>
      <c r="D609" s="90"/>
      <c r="E609" s="90"/>
      <c r="F609" s="90"/>
      <c r="G609" s="90"/>
      <c r="H609" s="90"/>
    </row>
    <row r="610" spans="1:8" ht="15.5" x14ac:dyDescent="0.35">
      <c r="A610" s="123" t="s">
        <v>695</v>
      </c>
      <c r="B610" s="90"/>
      <c r="C610" s="90"/>
      <c r="D610" s="90"/>
      <c r="E610" s="90"/>
      <c r="F610" s="90"/>
      <c r="G610" s="90"/>
      <c r="H610" s="90"/>
    </row>
    <row r="611" spans="1:8" x14ac:dyDescent="0.3">
      <c r="A611" s="1" t="s">
        <v>571</v>
      </c>
      <c r="B611" s="90" t="s">
        <v>327</v>
      </c>
      <c r="C611" s="90"/>
      <c r="D611" s="208">
        <f>D595*D616</f>
        <v>0.92223177444997506</v>
      </c>
      <c r="E611" s="208">
        <f>E595*E616</f>
        <v>6.1108906443546456</v>
      </c>
      <c r="F611" s="208">
        <f>F595*F616</f>
        <v>3.21840240602678</v>
      </c>
      <c r="G611" s="208">
        <f>G595*G616</f>
        <v>0.89626396117201479</v>
      </c>
      <c r="H611" s="208">
        <f>H595*H616</f>
        <v>0.89626396117201479</v>
      </c>
    </row>
    <row r="612" spans="1:8" x14ac:dyDescent="0.3">
      <c r="A612" s="1" t="s">
        <v>572</v>
      </c>
      <c r="B612" s="90" t="s">
        <v>327</v>
      </c>
      <c r="C612" s="90"/>
      <c r="D612" s="208">
        <f>D596*D616</f>
        <v>0.40981517275696294</v>
      </c>
      <c r="E612" s="208">
        <f>E596*E616</f>
        <v>2.7155166136069324</v>
      </c>
      <c r="F612" s="208">
        <f>F596*F616</f>
        <v>1.4301720831663167</v>
      </c>
      <c r="G612" s="208">
        <f>G596*G616</f>
        <v>0.39827576999568343</v>
      </c>
      <c r="H612" s="208">
        <f>H596*H616</f>
        <v>0.39827576999568343</v>
      </c>
    </row>
    <row r="613" spans="1:8" x14ac:dyDescent="0.3">
      <c r="A613" s="1" t="s">
        <v>565</v>
      </c>
      <c r="B613" s="90" t="s">
        <v>327</v>
      </c>
      <c r="C613" s="90"/>
      <c r="D613" s="208">
        <f>D597*D616</f>
        <v>13.56451277030995</v>
      </c>
      <c r="E613" s="208">
        <f>E597*E616</f>
        <v>44.340430560731463</v>
      </c>
      <c r="F613" s="208">
        <f>F597*F616</f>
        <v>23.352626761985238</v>
      </c>
      <c r="G613" s="208">
        <f>G597*G616</f>
        <v>6.5032631489072807</v>
      </c>
      <c r="H613" s="208">
        <f>H597*H616</f>
        <v>6.5032631489072807</v>
      </c>
    </row>
    <row r="614" spans="1:8" x14ac:dyDescent="0.3">
      <c r="A614" s="1" t="s">
        <v>656</v>
      </c>
      <c r="B614" s="90" t="s">
        <v>327</v>
      </c>
      <c r="C614" s="90"/>
      <c r="D614" s="208">
        <f>D598*D616</f>
        <v>1.3440282483112617E-2</v>
      </c>
      <c r="E614" s="208">
        <f>E598*E616</f>
        <v>8.166218130696562E-2</v>
      </c>
      <c r="F614" s="208">
        <f>F598*F616</f>
        <v>4.30087488216691E-2</v>
      </c>
      <c r="G614" s="208">
        <f>G598*G616</f>
        <v>1.1977119925021831E-2</v>
      </c>
      <c r="H614" s="208">
        <f>H598*H616</f>
        <v>1.1977119925021831E-2</v>
      </c>
    </row>
    <row r="615" spans="1:8" x14ac:dyDescent="0.3">
      <c r="A615" s="1" t="s">
        <v>534</v>
      </c>
      <c r="B615" s="90" t="s">
        <v>327</v>
      </c>
      <c r="C615" s="90"/>
      <c r="D615" s="90"/>
      <c r="E615" s="90"/>
      <c r="F615" s="90"/>
      <c r="G615" s="90"/>
      <c r="H615" s="90"/>
    </row>
    <row r="616" spans="1:8" x14ac:dyDescent="0.3">
      <c r="A616" s="1" t="s">
        <v>312</v>
      </c>
      <c r="B616" s="90" t="s">
        <v>327</v>
      </c>
      <c r="C616" s="90"/>
      <c r="D616" s="108">
        <f>D$80</f>
        <v>14.91</v>
      </c>
      <c r="E616" s="108">
        <f>E$80</f>
        <v>53.2485</v>
      </c>
      <c r="F616" s="108">
        <f>F$80</f>
        <v>28.04421</v>
      </c>
      <c r="G616" s="108">
        <f>G$80</f>
        <v>7.8097799999999999</v>
      </c>
      <c r="H616" s="108">
        <f>H$80</f>
        <v>7.8097799999999999</v>
      </c>
    </row>
    <row r="617" spans="1:8" x14ac:dyDescent="0.3">
      <c r="B617" s="90"/>
      <c r="C617" s="90"/>
      <c r="D617" s="90"/>
      <c r="E617" s="90"/>
      <c r="F617" s="90"/>
      <c r="G617" s="90"/>
      <c r="H617" s="90"/>
    </row>
    <row r="618" spans="1:8" ht="15.5" x14ac:dyDescent="0.35">
      <c r="A618" s="123" t="s">
        <v>696</v>
      </c>
      <c r="B618" s="90"/>
      <c r="C618" s="90"/>
      <c r="D618" s="90"/>
      <c r="E618" s="90"/>
      <c r="F618" s="90"/>
      <c r="G618" s="90"/>
      <c r="H618" s="90"/>
    </row>
    <row r="619" spans="1:8" x14ac:dyDescent="0.3">
      <c r="A619" s="1" t="s">
        <v>571</v>
      </c>
      <c r="B619" s="90" t="s">
        <v>327</v>
      </c>
      <c r="C619" s="90"/>
      <c r="D619" s="108">
        <f>D589-D603-D611</f>
        <v>257.18683351163253</v>
      </c>
      <c r="E619" s="108">
        <f>E589-E603-E611</f>
        <v>3628.1144018000882</v>
      </c>
      <c r="F619" s="108">
        <f>F589-F603-F611</f>
        <v>1910.8069182813795</v>
      </c>
      <c r="G619" s="108">
        <f>G589-G603-G611</f>
        <v>532.12344559734606</v>
      </c>
      <c r="H619" s="108">
        <f>H589-H603-H611</f>
        <v>532.12344559734606</v>
      </c>
    </row>
    <row r="620" spans="1:8" x14ac:dyDescent="0.3">
      <c r="A620" s="1" t="s">
        <v>572</v>
      </c>
      <c r="B620" s="90" t="s">
        <v>327</v>
      </c>
      <c r="C620" s="90"/>
      <c r="D620" s="108">
        <f t="shared" ref="D620:H622" si="17">D590-D604-D612</f>
        <v>114.28696074720114</v>
      </c>
      <c r="E620" s="108">
        <f t="shared" si="17"/>
        <v>1612.2371529028042</v>
      </c>
      <c r="F620" s="108">
        <f t="shared" si="17"/>
        <v>849.11156719547625</v>
      </c>
      <c r="G620" s="108">
        <f t="shared" si="17"/>
        <v>236.46144909241127</v>
      </c>
      <c r="H620" s="108">
        <f t="shared" si="17"/>
        <v>236.46144909241127</v>
      </c>
    </row>
    <row r="621" spans="1:8" x14ac:dyDescent="0.3">
      <c r="A621" s="1" t="s">
        <v>565</v>
      </c>
      <c r="B621" s="90" t="s">
        <v>327</v>
      </c>
      <c r="C621" s="90"/>
      <c r="D621" s="108">
        <f t="shared" si="17"/>
        <v>3782.7953711579175</v>
      </c>
      <c r="E621" s="108">
        <f t="shared" si="17"/>
        <v>26325.484133482772</v>
      </c>
      <c r="F621" s="108">
        <f t="shared" si="17"/>
        <v>13864.754976967595</v>
      </c>
      <c r="G621" s="108">
        <f t="shared" si="17"/>
        <v>3861.0710062441399</v>
      </c>
      <c r="H621" s="108">
        <f t="shared" si="17"/>
        <v>3861.0710062441399</v>
      </c>
    </row>
    <row r="622" spans="1:8" x14ac:dyDescent="0.3">
      <c r="A622" s="1" t="s">
        <v>656</v>
      </c>
      <c r="B622" s="90" t="s">
        <v>327</v>
      </c>
      <c r="C622" s="90"/>
      <c r="D622" s="108">
        <f t="shared" si="17"/>
        <v>3.7481507242527745</v>
      </c>
      <c r="E622" s="108">
        <f t="shared" si="17"/>
        <v>48.483887754712249</v>
      </c>
      <c r="F622" s="108">
        <f t="shared" si="17"/>
        <v>25.534847550815442</v>
      </c>
      <c r="G622" s="108">
        <f t="shared" si="17"/>
        <v>7.1109702040245866</v>
      </c>
      <c r="H622" s="108">
        <f t="shared" si="17"/>
        <v>7.1109702040245866</v>
      </c>
    </row>
    <row r="623" spans="1:8" x14ac:dyDescent="0.3">
      <c r="A623" s="1" t="s">
        <v>534</v>
      </c>
      <c r="B623" s="90" t="s">
        <v>327</v>
      </c>
      <c r="C623" s="90"/>
      <c r="D623" s="108">
        <f>D624-SUM(D619:D622)</f>
        <v>84.857496247775998</v>
      </c>
      <c r="E623" s="108">
        <f>E624-SUM(E619:E622)</f>
        <v>645.19019542735623</v>
      </c>
      <c r="F623" s="108">
        <f>F624-SUM(F619:F622)</f>
        <v>339.800169591741</v>
      </c>
      <c r="G623" s="108">
        <f>G624-SUM(G619:G622)</f>
        <v>94.627895329345847</v>
      </c>
      <c r="H623" s="108">
        <f>H624-SUM(H619:H622)</f>
        <v>94.627895329345847</v>
      </c>
    </row>
    <row r="624" spans="1:8" x14ac:dyDescent="0.3">
      <c r="A624" s="1" t="s">
        <v>312</v>
      </c>
      <c r="B624" s="90" t="s">
        <v>327</v>
      </c>
      <c r="C624" s="90"/>
      <c r="D624" s="108">
        <f>SUM(D619:D622)/0.98</f>
        <v>4242.8748123887799</v>
      </c>
      <c r="E624" s="108">
        <f>SUM(E619:E622)/0.98</f>
        <v>32259.509771367735</v>
      </c>
      <c r="F624" s="108">
        <f>SUM(F619:F622)/0.98</f>
        <v>16990.008479587006</v>
      </c>
      <c r="G624" s="108">
        <f>SUM(G619:G622)/0.98</f>
        <v>4731.3947664672678</v>
      </c>
      <c r="H624" s="108">
        <f>SUM(H619:H622)/0.98</f>
        <v>4731.3947664672678</v>
      </c>
    </row>
    <row r="625" spans="1:8" x14ac:dyDescent="0.3">
      <c r="B625" s="90"/>
      <c r="C625" s="90"/>
      <c r="D625" s="90"/>
      <c r="E625" s="90"/>
      <c r="F625" s="90"/>
      <c r="G625" s="90"/>
      <c r="H625" s="90"/>
    </row>
    <row r="626" spans="1:8" ht="15.5" x14ac:dyDescent="0.35">
      <c r="A626" s="123" t="s">
        <v>697</v>
      </c>
      <c r="B626" s="90"/>
      <c r="C626" s="90"/>
      <c r="D626" s="90"/>
      <c r="E626" s="90"/>
      <c r="F626" s="90"/>
      <c r="G626" s="90"/>
      <c r="H626" s="90"/>
    </row>
    <row r="627" spans="1:8" x14ac:dyDescent="0.3">
      <c r="A627" s="1" t="s">
        <v>571</v>
      </c>
      <c r="B627" s="90" t="s">
        <v>327</v>
      </c>
      <c r="C627" s="90"/>
      <c r="D627" s="108">
        <f>D581*'Input &amp; Calculation Summary'!C$129+D619</f>
        <v>309.23379929044916</v>
      </c>
      <c r="E627" s="108">
        <f>E581*'Input &amp; Calculation Summary'!D$129+E619</f>
        <v>4201.9714288844416</v>
      </c>
      <c r="F627" s="108">
        <f>F581*'Input &amp; Calculation Summary'!E$129+F619</f>
        <v>2213.038285879139</v>
      </c>
      <c r="G627" s="108">
        <f>G581*'Input &amp; Calculation Summary'!F$129+G619</f>
        <v>616.28914290305124</v>
      </c>
      <c r="H627" s="108">
        <f>H581*'Input &amp; Calculation Summary'!G$129+H619</f>
        <v>616.28914290305124</v>
      </c>
    </row>
    <row r="628" spans="1:8" x14ac:dyDescent="0.3">
      <c r="A628" s="1" t="s">
        <v>572</v>
      </c>
      <c r="B628" s="90" t="s">
        <v>327</v>
      </c>
      <c r="C628" s="90"/>
      <c r="D628" s="108">
        <f>D582*'Input &amp; Calculation Summary'!C$129+D620</f>
        <v>137.41524244714861</v>
      </c>
      <c r="E628" s="108">
        <f>E582*'Input &amp; Calculation Summary'!D$129+E620</f>
        <v>1867.2438911304387</v>
      </c>
      <c r="F628" s="108">
        <f>F582*'Input &amp; Calculation Summary'!E$129+F620</f>
        <v>983.41511599536364</v>
      </c>
      <c r="G628" s="108">
        <f>G582*'Input &amp; Calculation Summary'!F$129+G620</f>
        <v>273.86243736579769</v>
      </c>
      <c r="H628" s="108">
        <f>H582*'Input &amp; Calculation Summary'!G$129+H620</f>
        <v>273.86243736579769</v>
      </c>
    </row>
    <row r="629" spans="1:8" x14ac:dyDescent="0.3">
      <c r="A629" s="1" t="s">
        <v>565</v>
      </c>
      <c r="B629" s="90" t="s">
        <v>327</v>
      </c>
      <c r="C629" s="90"/>
      <c r="D629" s="108">
        <f>D583*'Input &amp; Calculation Summary'!C$129+D621</f>
        <v>4634.5320120200959</v>
      </c>
      <c r="E629" s="108">
        <f>E583*'Input &amp; Calculation Summary'!D$129+E621</f>
        <v>30798.152303105191</v>
      </c>
      <c r="F629" s="108">
        <f>F583*'Input &amp; Calculation Summary'!E$129+F621</f>
        <v>16220.360212968735</v>
      </c>
      <c r="G629" s="108">
        <f>G583*'Input &amp; Calculation Summary'!F$129+G621</f>
        <v>4517.0623377887614</v>
      </c>
      <c r="H629" s="108">
        <f>H583*'Input &amp; Calculation Summary'!G$129+H621</f>
        <v>4517.0623377887614</v>
      </c>
    </row>
    <row r="630" spans="1:8" x14ac:dyDescent="0.3">
      <c r="A630" s="1" t="s">
        <v>656</v>
      </c>
      <c r="B630" s="90" t="s">
        <v>327</v>
      </c>
      <c r="C630" s="90"/>
      <c r="D630" s="108">
        <f>D584*'Input &amp; Calculation Summary'!C$129+D622</f>
        <v>9.0757420738960199</v>
      </c>
      <c r="E630" s="108">
        <f>E584*'Input &amp; Calculation Summary'!D$129+E622</f>
        <v>89.273792708979585</v>
      </c>
      <c r="F630" s="108">
        <f>F584*'Input &amp; Calculation Summary'!E$129+F622</f>
        <v>47.017530826729626</v>
      </c>
      <c r="G630" s="108">
        <f>G584*'Input &amp; Calculation Summary'!F$129+G622</f>
        <v>13.093489597317149</v>
      </c>
      <c r="H630" s="108">
        <f>H584*'Input &amp; Calculation Summary'!G$129+H622</f>
        <v>13.093489597317149</v>
      </c>
    </row>
    <row r="631" spans="1:8" x14ac:dyDescent="0.3">
      <c r="A631" s="1" t="s">
        <v>534</v>
      </c>
      <c r="B631" s="90" t="s">
        <v>327</v>
      </c>
      <c r="C631" s="90"/>
      <c r="D631" s="108">
        <f>D585*'Input &amp; Calculation Summary'!C$129+D623</f>
        <v>103.88279175166551</v>
      </c>
      <c r="E631" s="108">
        <f>E585*'Input &amp; Calculation Summary'!D$129+E623</f>
        <v>754.21717175161484</v>
      </c>
      <c r="F631" s="108">
        <f>F585*'Input &amp; Calculation Summary'!E$129+F623</f>
        <v>397.22104378918385</v>
      </c>
      <c r="G631" s="108">
        <f>G585*'Input &amp; Calculation Summary'!F$129+G623</f>
        <v>110.61851852357044</v>
      </c>
      <c r="H631" s="108">
        <f>H585*'Input &amp; Calculation Summary'!G$129+H623</f>
        <v>110.61851852357044</v>
      </c>
    </row>
    <row r="632" spans="1:8" x14ac:dyDescent="0.3">
      <c r="A632" s="1" t="s">
        <v>312</v>
      </c>
      <c r="B632" s="90" t="s">
        <v>327</v>
      </c>
      <c r="C632" s="90"/>
      <c r="D632" s="108">
        <f>SUM(D627:D631)</f>
        <v>5194.1395875832559</v>
      </c>
      <c r="E632" s="108">
        <f>SUM(E627:E631)</f>
        <v>37710.858587580668</v>
      </c>
      <c r="F632" s="108">
        <f>SUM(F627:F631)</f>
        <v>19861.052189459151</v>
      </c>
      <c r="G632" s="108">
        <f>SUM(G627:G631)</f>
        <v>5530.9259261784982</v>
      </c>
      <c r="H632" s="108">
        <f>SUM(H627:H631)</f>
        <v>5530.9259261784982</v>
      </c>
    </row>
    <row r="633" spans="1:8" x14ac:dyDescent="0.3">
      <c r="A633" s="219"/>
      <c r="B633" s="220"/>
      <c r="C633" s="90"/>
      <c r="D633" s="90"/>
      <c r="E633" s="90"/>
      <c r="F633" s="90"/>
      <c r="G633" s="90"/>
      <c r="H633" s="90"/>
    </row>
    <row r="634" spans="1:8" ht="13.5" x14ac:dyDescent="0.35">
      <c r="A634" s="218" t="s">
        <v>699</v>
      </c>
      <c r="B634" s="217"/>
      <c r="C634" s="217"/>
      <c r="D634" s="217"/>
      <c r="E634" s="217"/>
      <c r="F634" s="217"/>
      <c r="G634" s="217"/>
      <c r="H634" s="217"/>
    </row>
    <row r="635" spans="1:8" ht="15.5" x14ac:dyDescent="0.35">
      <c r="A635" s="123" t="s">
        <v>690</v>
      </c>
      <c r="B635" s="90"/>
      <c r="C635" s="90"/>
      <c r="D635" s="90"/>
      <c r="E635" s="90"/>
      <c r="F635" s="90"/>
      <c r="G635" s="90"/>
      <c r="H635" s="90"/>
    </row>
    <row r="636" spans="1:8" x14ac:dyDescent="0.3">
      <c r="A636" s="1" t="s">
        <v>571</v>
      </c>
      <c r="B636" s="90" t="s">
        <v>327</v>
      </c>
      <c r="C636" s="90"/>
      <c r="D636" s="108">
        <f>IF(ABS(D627-D549)&lt;1,D627,D627+D627-D549)</f>
        <v>309.23379929044916</v>
      </c>
      <c r="E636" s="108">
        <f>IF(ABS(E627-E549)&lt;1,E627,E627+E627-E549)</f>
        <v>4197.3618339112845</v>
      </c>
      <c r="F636" s="108">
        <f>IF(ABS(F627-F549)&lt;1,F627,F627+F627-F549)</f>
        <v>2210.6105658599436</v>
      </c>
      <c r="G636" s="108">
        <f>IF(ABS(G627-G549)&lt;1,G627,G627+G627-G549)</f>
        <v>616.28914290305124</v>
      </c>
      <c r="H636" s="108">
        <f>IF(ABS(H627-H549)&lt;1,H627,H627+H627-H549)</f>
        <v>616.28914290305124</v>
      </c>
    </row>
    <row r="637" spans="1:8" x14ac:dyDescent="0.3">
      <c r="A637" s="1" t="s">
        <v>572</v>
      </c>
      <c r="B637" s="90" t="s">
        <v>327</v>
      </c>
      <c r="C637" s="90"/>
      <c r="D637" s="108">
        <f>IF(ABS(D627-D549)&lt;1,D628,D628+D628-D550)</f>
        <v>137.41524244714861</v>
      </c>
      <c r="E637" s="108">
        <f>IF(ABS(E627-E549)&lt;1,E628,E628+E628-E550)</f>
        <v>1865.1955102216477</v>
      </c>
      <c r="F637" s="108">
        <f>IF(ABS(F627-F549)&lt;1,F628,F628+F628-F550)</f>
        <v>982.33630205006705</v>
      </c>
      <c r="G637" s="108">
        <f>IF(ABS(G627-G549)&lt;1,G628,G628+G628-G550)</f>
        <v>273.86243736579769</v>
      </c>
      <c r="H637" s="108">
        <f>IF(ABS(H627-H549)&lt;1,H628,H628+H628-H550)</f>
        <v>273.86243736579769</v>
      </c>
    </row>
    <row r="638" spans="1:8" x14ac:dyDescent="0.3">
      <c r="A638" s="1" t="s">
        <v>565</v>
      </c>
      <c r="B638" s="90" t="s">
        <v>327</v>
      </c>
      <c r="C638" s="90"/>
      <c r="D638" s="108">
        <f>IF(ABS(D627-D549)&lt;1,D629,D629-(D627-D549+D628-D550)/2)</f>
        <v>4634.5320120200959</v>
      </c>
      <c r="E638" s="108">
        <f>IF(ABS(E627-E549)&lt;1,E629,E629-(E627-E549+E628-E550)/2)</f>
        <v>30801.481291046166</v>
      </c>
      <c r="F638" s="108">
        <f>IF(ABS(F627-F549)&lt;1,F629,F629-(F627-F549+F628-F550)/2)</f>
        <v>16222.113479950982</v>
      </c>
      <c r="G638" s="108">
        <f>IF(ABS(G627-G549)&lt;1,G629,G629-(G627-G549+G628-G550)/2)</f>
        <v>4517.0623377887614</v>
      </c>
      <c r="H638" s="108">
        <f>IF(ABS(H627-H549)&lt;1,H629,H629-(H627-H549+H628-H550)/2)</f>
        <v>4517.0623377887614</v>
      </c>
    </row>
    <row r="639" spans="1:8" x14ac:dyDescent="0.3">
      <c r="A639" s="1" t="s">
        <v>656</v>
      </c>
      <c r="B639" s="90" t="s">
        <v>327</v>
      </c>
      <c r="C639" s="90"/>
      <c r="D639" s="108">
        <f>IF(ABS(D627-D549)&lt;1,D630,D630-(D627-D549+D628-D550)/2)</f>
        <v>9.0757420738960199</v>
      </c>
      <c r="E639" s="108">
        <f>IF(ABS(E627-E549)&lt;1,E630,E630-(E627-E549+E628-E550)/2)</f>
        <v>92.602780649953587</v>
      </c>
      <c r="F639" s="108">
        <f>IF(ABS(F627-F549)&lt;1,F630,F630-(F627-F549+F628-F550)/2)</f>
        <v>48.770797808975658</v>
      </c>
      <c r="G639" s="108">
        <f>IF(ABS(G627-G549)&lt;1,G630,G630-(G627-G549+G628-G550)/2)</f>
        <v>13.093489597317149</v>
      </c>
      <c r="H639" s="108">
        <f>IF(ABS(H627-H549)&lt;1,H630,H630-(H627-H549+H628-H550)/2)</f>
        <v>13.093489597317149</v>
      </c>
    </row>
    <row r="640" spans="1:8" x14ac:dyDescent="0.3">
      <c r="A640" s="1" t="s">
        <v>534</v>
      </c>
      <c r="B640" s="90" t="s">
        <v>327</v>
      </c>
      <c r="C640" s="90"/>
      <c r="D640" s="108">
        <f>D631</f>
        <v>103.88279175166551</v>
      </c>
      <c r="E640" s="108">
        <f>E631</f>
        <v>754.21717175161484</v>
      </c>
      <c r="F640" s="108">
        <f>F631</f>
        <v>397.22104378918385</v>
      </c>
      <c r="G640" s="108">
        <f>G631</f>
        <v>110.61851852357044</v>
      </c>
      <c r="H640" s="108">
        <f>H631</f>
        <v>110.61851852357044</v>
      </c>
    </row>
    <row r="641" spans="1:8" x14ac:dyDescent="0.3">
      <c r="A641" s="1" t="s">
        <v>312</v>
      </c>
      <c r="B641" s="90" t="s">
        <v>327</v>
      </c>
      <c r="C641" s="90"/>
      <c r="D641" s="108">
        <f>SUM(D636:D640)</f>
        <v>5194.1395875832559</v>
      </c>
      <c r="E641" s="108">
        <f>SUM(E636:E640)</f>
        <v>37710.858587580668</v>
      </c>
      <c r="F641" s="108">
        <f>SUM(F636:F640)</f>
        <v>19861.052189459151</v>
      </c>
      <c r="G641" s="108">
        <f>SUM(G636:G640)</f>
        <v>5530.9259261784982</v>
      </c>
      <c r="H641" s="108">
        <f>SUM(H636:H640)</f>
        <v>5530.9259261784982</v>
      </c>
    </row>
    <row r="642" spans="1:8" x14ac:dyDescent="0.3">
      <c r="B642" s="90"/>
      <c r="C642" s="90"/>
      <c r="D642" s="90"/>
      <c r="E642" s="90"/>
      <c r="F642" s="90"/>
      <c r="G642" s="90"/>
      <c r="H642" s="90"/>
    </row>
    <row r="643" spans="1:8" ht="15.5" x14ac:dyDescent="0.35">
      <c r="A643" s="123" t="s">
        <v>691</v>
      </c>
      <c r="B643" s="90"/>
      <c r="C643" s="90"/>
      <c r="D643" s="90"/>
      <c r="E643" s="90"/>
      <c r="F643" s="90"/>
      <c r="G643" s="90"/>
      <c r="H643" s="90"/>
    </row>
    <row r="644" spans="1:8" x14ac:dyDescent="0.3">
      <c r="A644" s="1" t="s">
        <v>571</v>
      </c>
      <c r="B644" s="90" t="s">
        <v>327</v>
      </c>
      <c r="C644" s="90"/>
      <c r="D644" s="108">
        <f>D636</f>
        <v>309.23379929044916</v>
      </c>
      <c r="E644" s="108">
        <f>E636</f>
        <v>4197.3618339112845</v>
      </c>
      <c r="F644" s="108">
        <f>F636</f>
        <v>2210.6105658599436</v>
      </c>
      <c r="G644" s="108">
        <f>G636</f>
        <v>616.28914290305124</v>
      </c>
      <c r="H644" s="108">
        <f>H636</f>
        <v>616.28914290305124</v>
      </c>
    </row>
    <row r="645" spans="1:8" x14ac:dyDescent="0.3">
      <c r="A645" s="1" t="s">
        <v>572</v>
      </c>
      <c r="B645" s="90" t="s">
        <v>327</v>
      </c>
      <c r="C645" s="90"/>
      <c r="D645" s="108">
        <f t="shared" ref="D645:H647" si="18">D637</f>
        <v>137.41524244714861</v>
      </c>
      <c r="E645" s="108">
        <f t="shared" si="18"/>
        <v>1865.1955102216477</v>
      </c>
      <c r="F645" s="108">
        <f t="shared" si="18"/>
        <v>982.33630205006705</v>
      </c>
      <c r="G645" s="108">
        <f t="shared" si="18"/>
        <v>273.86243736579769</v>
      </c>
      <c r="H645" s="108">
        <f t="shared" si="18"/>
        <v>273.86243736579769</v>
      </c>
    </row>
    <row r="646" spans="1:8" x14ac:dyDescent="0.3">
      <c r="A646" s="1" t="s">
        <v>565</v>
      </c>
      <c r="B646" s="90" t="s">
        <v>327</v>
      </c>
      <c r="C646" s="90"/>
      <c r="D646" s="108">
        <f t="shared" si="18"/>
        <v>4634.5320120200959</v>
      </c>
      <c r="E646" s="108">
        <f t="shared" si="18"/>
        <v>30801.481291046166</v>
      </c>
      <c r="F646" s="108">
        <f t="shared" si="18"/>
        <v>16222.113479950982</v>
      </c>
      <c r="G646" s="108">
        <f t="shared" si="18"/>
        <v>4517.0623377887614</v>
      </c>
      <c r="H646" s="108">
        <f t="shared" si="18"/>
        <v>4517.0623377887614</v>
      </c>
    </row>
    <row r="647" spans="1:8" x14ac:dyDescent="0.3">
      <c r="A647" s="1" t="s">
        <v>656</v>
      </c>
      <c r="B647" s="90" t="s">
        <v>327</v>
      </c>
      <c r="C647" s="90"/>
      <c r="D647" s="108">
        <f t="shared" si="18"/>
        <v>9.0757420738960199</v>
      </c>
      <c r="E647" s="108">
        <f t="shared" si="18"/>
        <v>92.602780649953587</v>
      </c>
      <c r="F647" s="108">
        <f t="shared" si="18"/>
        <v>48.770797808975658</v>
      </c>
      <c r="G647" s="108">
        <f t="shared" si="18"/>
        <v>13.093489597317149</v>
      </c>
      <c r="H647" s="108">
        <f t="shared" si="18"/>
        <v>13.093489597317149</v>
      </c>
    </row>
    <row r="648" spans="1:8" x14ac:dyDescent="0.3">
      <c r="A648" s="1" t="s">
        <v>534</v>
      </c>
      <c r="B648" s="90" t="s">
        <v>327</v>
      </c>
      <c r="C648" s="90"/>
      <c r="D648" s="108">
        <f>SUM(D644:D647)/'Input &amp; Calculation Summary'!C$128*(1-'Input &amp; Calculation Summary'!C$128)</f>
        <v>9453.3340494015265</v>
      </c>
      <c r="E648" s="108">
        <f>SUM(E644:E647)/'Input &amp; Calculation Summary'!D$128*(1-'Input &amp; Calculation Summary'!D$128)</f>
        <v>68633.762629396821</v>
      </c>
      <c r="F648" s="108">
        <f>SUM(F644:F647)/'Input &amp; Calculation Summary'!E$128*(1-'Input &amp; Calculation Summary'!E$128)</f>
        <v>36147.114984815656</v>
      </c>
      <c r="G648" s="108">
        <f>SUM(G644:G647)/'Input &amp; Calculation Summary'!F$128*(1-'Input &amp; Calculation Summary'!F$128)</f>
        <v>10066.285185644867</v>
      </c>
      <c r="H648" s="108">
        <f>SUM(H644:H647)/'Input &amp; Calculation Summary'!G$128*(1-'Input &amp; Calculation Summary'!G$128)</f>
        <v>10066.285185644867</v>
      </c>
    </row>
    <row r="649" spans="1:8" x14ac:dyDescent="0.3">
      <c r="A649" s="1" t="s">
        <v>312</v>
      </c>
      <c r="B649" s="90" t="s">
        <v>327</v>
      </c>
      <c r="C649" s="90"/>
      <c r="D649" s="108">
        <f>SUM(D644:D648)</f>
        <v>14543.590845233117</v>
      </c>
      <c r="E649" s="108">
        <f>SUM(E644:E648)</f>
        <v>105590.40404522588</v>
      </c>
      <c r="F649" s="108">
        <f>SUM(F644:F648)</f>
        <v>55610.946130485623</v>
      </c>
      <c r="G649" s="108">
        <f>SUM(G644:G648)</f>
        <v>15486.592593299794</v>
      </c>
      <c r="H649" s="108">
        <f>SUM(H644:H648)</f>
        <v>15486.592593299794</v>
      </c>
    </row>
    <row r="650" spans="1:8" x14ac:dyDescent="0.3">
      <c r="B650" s="90"/>
      <c r="C650" s="90"/>
      <c r="D650" s="90"/>
      <c r="E650" s="90"/>
      <c r="F650" s="90"/>
      <c r="G650" s="90"/>
      <c r="H650" s="90"/>
    </row>
    <row r="651" spans="1:8" ht="15.5" x14ac:dyDescent="0.35">
      <c r="A651" s="123" t="s">
        <v>692</v>
      </c>
      <c r="B651" s="90"/>
      <c r="C651" s="90"/>
      <c r="D651" s="90"/>
      <c r="E651" s="90"/>
      <c r="F651" s="90"/>
      <c r="G651" s="90"/>
      <c r="H651" s="90"/>
    </row>
    <row r="652" spans="1:8" x14ac:dyDescent="0.3">
      <c r="A652" s="1" t="s">
        <v>571</v>
      </c>
      <c r="B652" s="90" t="s">
        <v>327</v>
      </c>
      <c r="C652" s="90"/>
      <c r="D652" s="108">
        <f>D644/'Input &amp; Calculation Summary'!C$129</f>
        <v>309.23379929044916</v>
      </c>
      <c r="E652" s="108">
        <f>E644/'Input &amp; Calculation Summary'!D$129</f>
        <v>4197.3618339112845</v>
      </c>
      <c r="F652" s="108">
        <f>F644/'Input &amp; Calculation Summary'!E$129</f>
        <v>2210.6105658599436</v>
      </c>
      <c r="G652" s="108">
        <f>G644/'Input &amp; Calculation Summary'!F$129</f>
        <v>616.28914290305124</v>
      </c>
      <c r="H652" s="108">
        <f>H644/'Input &amp; Calculation Summary'!G$129</f>
        <v>616.28914290305124</v>
      </c>
    </row>
    <row r="653" spans="1:8" x14ac:dyDescent="0.3">
      <c r="A653" s="1" t="s">
        <v>572</v>
      </c>
      <c r="B653" s="90" t="s">
        <v>327</v>
      </c>
      <c r="C653" s="90"/>
      <c r="D653" s="108">
        <f>D645/'Input &amp; Calculation Summary'!C$129</f>
        <v>137.41524244714861</v>
      </c>
      <c r="E653" s="108">
        <f>E645/'Input &amp; Calculation Summary'!D$129</f>
        <v>1865.1955102216477</v>
      </c>
      <c r="F653" s="108">
        <f>F645/'Input &amp; Calculation Summary'!E$129</f>
        <v>982.33630205006705</v>
      </c>
      <c r="G653" s="108">
        <f>G645/'Input &amp; Calculation Summary'!F$129</f>
        <v>273.86243736579769</v>
      </c>
      <c r="H653" s="108">
        <f>H645/'Input &amp; Calculation Summary'!G$129</f>
        <v>273.86243736579769</v>
      </c>
    </row>
    <row r="654" spans="1:8" x14ac:dyDescent="0.3">
      <c r="A654" s="1" t="s">
        <v>565</v>
      </c>
      <c r="B654" s="90" t="s">
        <v>327</v>
      </c>
      <c r="C654" s="90"/>
      <c r="D654" s="108">
        <f>D646/'Input &amp; Calculation Summary'!C$129+(D$117/'Input &amp; Calculation Summary'!C$129)</f>
        <v>4651.8458106453736</v>
      </c>
      <c r="E654" s="108">
        <f>E646/'Input &amp; Calculation Summary'!D$129+(E$117/'Input &amp; Calculation Summary'!D$129)</f>
        <v>30927.184153004768</v>
      </c>
      <c r="F654" s="108">
        <f>F646/'Input &amp; Calculation Summary'!E$129+(F$117/'Input &amp; Calculation Summary'!E$129)</f>
        <v>16288.31698724918</v>
      </c>
      <c r="G654" s="108">
        <f>G646/'Input &amp; Calculation Summary'!F$129+(G$117/'Input &amp; Calculation Summary'!F$129)</f>
        <v>4535.4987575426894</v>
      </c>
      <c r="H654" s="108">
        <f>H646/'Input &amp; Calculation Summary'!G$129+(H$117/'Input &amp; Calculation Summary'!G$129)</f>
        <v>4535.4987575426894</v>
      </c>
    </row>
    <row r="655" spans="1:8" x14ac:dyDescent="0.3">
      <c r="A655" s="1" t="s">
        <v>656</v>
      </c>
      <c r="B655" s="90" t="s">
        <v>327</v>
      </c>
      <c r="C655" s="90"/>
      <c r="D655" s="108">
        <f>D647/'Input &amp; Calculation Summary'!C$129+(D$116/'Input &amp; Calculation Summary'!C$129)</f>
        <v>214.95787410460878</v>
      </c>
      <c r="E655" s="108">
        <f>E647/'Input &amp; Calculation Summary'!D$129+(E$116/'Input &amp; Calculation Summary'!D$129)</f>
        <v>1587.3627569278094</v>
      </c>
      <c r="F655" s="108">
        <f>F647/'Input &amp; Calculation Summary'!E$129+(F$116/'Input &amp; Calculation Summary'!E$129)</f>
        <v>836.01105198197968</v>
      </c>
      <c r="G655" s="108">
        <f>G647/'Input &amp; Calculation Summary'!F$129+(G$116/'Input &amp; Calculation Summary'!F$129)</f>
        <v>232.32495278473607</v>
      </c>
      <c r="H655" s="108">
        <f>H647/'Input &amp; Calculation Summary'!G$129+(H$116/'Input &amp; Calculation Summary'!G$129)</f>
        <v>232.32495278473607</v>
      </c>
    </row>
    <row r="656" spans="1:8" x14ac:dyDescent="0.3">
      <c r="A656" s="1" t="s">
        <v>534</v>
      </c>
      <c r="B656" s="90" t="s">
        <v>327</v>
      </c>
      <c r="C656" s="90"/>
      <c r="D656" s="108">
        <f>D648/'Input &amp; Calculation Summary'!C$129+(D$118/'Input &amp; Calculation Summary'!C$129)</f>
        <v>9974.1245542655033</v>
      </c>
      <c r="E656" s="108">
        <f>E648/'Input &amp; Calculation Summary'!D$129+(E$118/'Input &amp; Calculation Summary'!D$129)</f>
        <v>72414.842585281891</v>
      </c>
      <c r="F656" s="108">
        <f>F648/'Input &amp; Calculation Summary'!E$129+(F$118/'Input &amp; Calculation Summary'!E$129)</f>
        <v>38138.483761581796</v>
      </c>
      <c r="G656" s="108">
        <f>G648/'Input &amp; Calculation Summary'!F$129+(G$118/'Input &amp; Calculation Summary'!F$129)</f>
        <v>10620.843579174678</v>
      </c>
      <c r="H656" s="108">
        <f>H648/'Input &amp; Calculation Summary'!G$129+(H$118/'Input &amp; Calculation Summary'!G$129)</f>
        <v>10620.843579174678</v>
      </c>
    </row>
    <row r="657" spans="1:8" x14ac:dyDescent="0.3">
      <c r="A657" s="1" t="s">
        <v>312</v>
      </c>
      <c r="B657" s="90" t="s">
        <v>327</v>
      </c>
      <c r="C657" s="90"/>
      <c r="D657" s="108">
        <f>SUM(D652:D656)</f>
        <v>15287.577280753085</v>
      </c>
      <c r="E657" s="108">
        <f>SUM(E652:E656)</f>
        <v>110991.94683934739</v>
      </c>
      <c r="F657" s="108">
        <f>SUM(F652:F656)</f>
        <v>58455.758668722963</v>
      </c>
      <c r="G657" s="108">
        <f>SUM(G652:G656)</f>
        <v>16278.818869770952</v>
      </c>
      <c r="H657" s="108">
        <f>SUM(H652:H656)</f>
        <v>16278.818869770952</v>
      </c>
    </row>
    <row r="658" spans="1:8" x14ac:dyDescent="0.3">
      <c r="B658" s="90"/>
      <c r="C658" s="90"/>
      <c r="D658" s="90"/>
      <c r="E658" s="90"/>
      <c r="F658" s="90"/>
      <c r="G658" s="90"/>
      <c r="H658" s="90"/>
    </row>
    <row r="659" spans="1:8" ht="15.5" x14ac:dyDescent="0.35">
      <c r="A659" s="123" t="s">
        <v>682</v>
      </c>
      <c r="B659" s="90"/>
      <c r="C659" s="90"/>
      <c r="D659" s="90"/>
      <c r="E659" s="90"/>
      <c r="F659" s="90"/>
      <c r="G659" s="90"/>
      <c r="H659" s="90"/>
    </row>
    <row r="660" spans="1:8" x14ac:dyDescent="0.3">
      <c r="A660" s="1" t="s">
        <v>571</v>
      </c>
      <c r="B660" s="90" t="s">
        <v>327</v>
      </c>
      <c r="C660" s="90"/>
      <c r="D660" s="108">
        <f>D652+D$363</f>
        <v>520.2437389618342</v>
      </c>
      <c r="E660" s="108">
        <f>E652+E$363</f>
        <v>5729.3510808972233</v>
      </c>
      <c r="F660" s="108">
        <f>F652+F$363</f>
        <v>3017.4582359392043</v>
      </c>
      <c r="G660" s="108">
        <f>G652+G$363</f>
        <v>840.98089912765568</v>
      </c>
      <c r="H660" s="108">
        <f>H652+H$363</f>
        <v>840.98089912765568</v>
      </c>
    </row>
    <row r="661" spans="1:8" x14ac:dyDescent="0.3">
      <c r="A661" s="1" t="s">
        <v>572</v>
      </c>
      <c r="B661" s="90" t="s">
        <v>327</v>
      </c>
      <c r="C661" s="90"/>
      <c r="D661" s="108">
        <f>D653+D$374</f>
        <v>231.18242470611952</v>
      </c>
      <c r="E661" s="108">
        <f>E653+E$374</f>
        <v>2545.9706204587628</v>
      </c>
      <c r="F661" s="108">
        <f>F653+F$374</f>
        <v>1340.8778601082809</v>
      </c>
      <c r="G661" s="108">
        <f>G653+G$374</f>
        <v>373.70945353390789</v>
      </c>
      <c r="H661" s="108">
        <f>H653+H$374</f>
        <v>373.70945353390789</v>
      </c>
    </row>
    <row r="662" spans="1:8" x14ac:dyDescent="0.3">
      <c r="A662" s="1" t="s">
        <v>565</v>
      </c>
      <c r="B662" s="90" t="s">
        <v>327</v>
      </c>
      <c r="C662" s="90"/>
      <c r="D662" s="108">
        <f>D654+D$50+(D$32/HCl_MolWt*CaCl2_MolWt/2/'Input &amp; Calculation Summary'!C$129)</f>
        <v>8517.4223506453745</v>
      </c>
      <c r="E662" s="108">
        <f>E654+E$50+(E$32/HCl_MolWt*CaCl2_MolWt/2/'Input &amp; Calculation Summary'!D$129)</f>
        <v>44732.425762004772</v>
      </c>
      <c r="F662" s="108">
        <f>F654+F$50+(F$32/HCl_MolWt*CaCl2_MolWt/2/'Input &amp; Calculation Summary'!E$129)</f>
        <v>23559.077567989181</v>
      </c>
      <c r="G662" s="108">
        <f>G654+G$50+(G$32/HCl_MolWt*CaCl2_MolWt/2/'Input &amp; Calculation Summary'!F$129)</f>
        <v>6560.2675268626899</v>
      </c>
      <c r="H662" s="108">
        <f>H654+H$50+(H$32/HCl_MolWt*CaCl2_MolWt/2/'Input &amp; Calculation Summary'!G$129)</f>
        <v>6560.2675268626899</v>
      </c>
    </row>
    <row r="663" spans="1:8" x14ac:dyDescent="0.3">
      <c r="A663" s="1" t="s">
        <v>656</v>
      </c>
      <c r="B663" s="90" t="s">
        <v>327</v>
      </c>
      <c r="C663" s="90"/>
      <c r="D663" s="108">
        <f>D655-(D$361+D$370)-(D$32/HCl_MolWt*Ca_OH_2_MolWt/2/'Input &amp; Calculation Summary'!C$129)</f>
        <v>53.546282592529963</v>
      </c>
      <c r="E663" s="108">
        <f>E655-(E$361+E$370)-(E$32/HCl_MolWt*Ca_OH_2_MolWt/2/'Input &amp; Calculation Summary'!D$129)</f>
        <v>415.47093552597016</v>
      </c>
      <c r="F663" s="108">
        <f>F655-(F$361+F$370)-(F$32/HCl_MolWt*Ca_OH_2_MolWt/2/'Input &amp; Calculation Summary'!E$129)</f>
        <v>218.8146927103445</v>
      </c>
      <c r="G663" s="108">
        <f>G655-(G$361+G$370)-(G$32/HCl_MolWt*Ca_OH_2_MolWt/2/'Input &amp; Calculation Summary'!F$129)</f>
        <v>60.447485645799645</v>
      </c>
      <c r="H663" s="108">
        <f>H655-(H$361+H$370)-(H$32/HCl_MolWt*Ca_OH_2_MolWt/2/'Input &amp; Calculation Summary'!G$129)</f>
        <v>60.447485645799645</v>
      </c>
    </row>
    <row r="664" spans="1:8" x14ac:dyDescent="0.3">
      <c r="A664" s="1" t="s">
        <v>534</v>
      </c>
      <c r="B664" s="90" t="s">
        <v>327</v>
      </c>
      <c r="C664" s="90"/>
      <c r="D664" s="90" t="s">
        <v>687</v>
      </c>
      <c r="E664" s="90" t="s">
        <v>687</v>
      </c>
      <c r="F664" s="90" t="s">
        <v>687</v>
      </c>
      <c r="G664" s="90" t="s">
        <v>687</v>
      </c>
      <c r="H664" s="90" t="s">
        <v>687</v>
      </c>
    </row>
    <row r="665" spans="1:8" x14ac:dyDescent="0.3">
      <c r="A665" s="1" t="s">
        <v>312</v>
      </c>
      <c r="B665" s="90" t="s">
        <v>327</v>
      </c>
      <c r="C665" s="90"/>
      <c r="D665" s="108">
        <f>SUM(D660:D663)</f>
        <v>9322.3947969058572</v>
      </c>
      <c r="E665" s="108">
        <f>SUM(E660:E663)</f>
        <v>53423.218398886725</v>
      </c>
      <c r="F665" s="108">
        <f>SUM(F660:F663)</f>
        <v>28136.228356747011</v>
      </c>
      <c r="G665" s="108">
        <f>SUM(G660:G663)</f>
        <v>7835.4053651700533</v>
      </c>
      <c r="H665" s="108">
        <f>SUM(H660:H663)</f>
        <v>7835.4053651700533</v>
      </c>
    </row>
    <row r="666" spans="1:8" x14ac:dyDescent="0.3">
      <c r="B666" s="90"/>
      <c r="C666" s="90"/>
      <c r="D666" s="90"/>
      <c r="E666" s="90"/>
      <c r="F666" s="90"/>
      <c r="G666" s="90"/>
      <c r="H666" s="90"/>
    </row>
    <row r="667" spans="1:8" ht="15.5" x14ac:dyDescent="0.35">
      <c r="A667" s="123" t="s">
        <v>693</v>
      </c>
      <c r="B667" s="90"/>
      <c r="C667" s="90"/>
      <c r="D667" s="90"/>
      <c r="E667" s="90"/>
      <c r="F667" s="90"/>
      <c r="G667" s="90"/>
      <c r="H667" s="90"/>
    </row>
    <row r="668" spans="1:8" x14ac:dyDescent="0.3">
      <c r="A668" s="1" t="s">
        <v>571</v>
      </c>
      <c r="B668" s="90" t="s">
        <v>327</v>
      </c>
      <c r="C668" s="90"/>
      <c r="D668" s="108">
        <f>D660*0.1</f>
        <v>52.02437389618342</v>
      </c>
      <c r="E668" s="108">
        <f>E660*0.1</f>
        <v>572.93510808972235</v>
      </c>
      <c r="F668" s="108">
        <f>F660*0.1</f>
        <v>301.74582359392042</v>
      </c>
      <c r="G668" s="108">
        <f>G660*0.1</f>
        <v>84.098089912765573</v>
      </c>
      <c r="H668" s="108">
        <f>H660*0.1</f>
        <v>84.098089912765573</v>
      </c>
    </row>
    <row r="669" spans="1:8" x14ac:dyDescent="0.3">
      <c r="A669" s="1" t="s">
        <v>572</v>
      </c>
      <c r="B669" s="90" t="s">
        <v>327</v>
      </c>
      <c r="C669" s="90"/>
      <c r="D669" s="108">
        <f t="shared" ref="D669:H671" si="19">D661*0.1</f>
        <v>23.118242470611953</v>
      </c>
      <c r="E669" s="108">
        <f t="shared" si="19"/>
        <v>254.5970620458763</v>
      </c>
      <c r="F669" s="108">
        <f t="shared" si="19"/>
        <v>134.0877860108281</v>
      </c>
      <c r="G669" s="108">
        <f t="shared" si="19"/>
        <v>37.370945353390788</v>
      </c>
      <c r="H669" s="108">
        <f t="shared" si="19"/>
        <v>37.370945353390788</v>
      </c>
    </row>
    <row r="670" spans="1:8" x14ac:dyDescent="0.3">
      <c r="A670" s="1" t="s">
        <v>565</v>
      </c>
      <c r="B670" s="90" t="s">
        <v>327</v>
      </c>
      <c r="C670" s="90"/>
      <c r="D670" s="108">
        <f t="shared" si="19"/>
        <v>851.74223506453745</v>
      </c>
      <c r="E670" s="108">
        <f t="shared" si="19"/>
        <v>4473.2425762004777</v>
      </c>
      <c r="F670" s="108">
        <f t="shared" si="19"/>
        <v>2355.9077567989184</v>
      </c>
      <c r="G670" s="108">
        <f t="shared" si="19"/>
        <v>656.02675268626899</v>
      </c>
      <c r="H670" s="108">
        <f t="shared" si="19"/>
        <v>656.02675268626899</v>
      </c>
    </row>
    <row r="671" spans="1:8" x14ac:dyDescent="0.3">
      <c r="A671" s="1" t="s">
        <v>656</v>
      </c>
      <c r="B671" s="90" t="s">
        <v>327</v>
      </c>
      <c r="C671" s="90"/>
      <c r="D671" s="108">
        <f t="shared" si="19"/>
        <v>5.3546282592529968</v>
      </c>
      <c r="E671" s="108">
        <f t="shared" si="19"/>
        <v>41.547093552597019</v>
      </c>
      <c r="F671" s="108">
        <f t="shared" si="19"/>
        <v>21.881469271034451</v>
      </c>
      <c r="G671" s="108">
        <f t="shared" si="19"/>
        <v>6.0447485645799652</v>
      </c>
      <c r="H671" s="108">
        <f t="shared" si="19"/>
        <v>6.0447485645799652</v>
      </c>
    </row>
    <row r="672" spans="1:8" x14ac:dyDescent="0.3">
      <c r="A672" s="1" t="s">
        <v>534</v>
      </c>
      <c r="B672" s="90" t="s">
        <v>327</v>
      </c>
      <c r="C672" s="90"/>
      <c r="D672" s="108">
        <f>SUM(D668:D671)*0.02/0.98</f>
        <v>19.02529550388951</v>
      </c>
      <c r="E672" s="108">
        <f>SUM(E668:E671)*0.02/0.98</f>
        <v>109.02697632425865</v>
      </c>
      <c r="F672" s="108">
        <f>SUM(F668:F671)*0.02/0.98</f>
        <v>57.420874197442885</v>
      </c>
      <c r="G672" s="108">
        <f>SUM(G668:G671)*0.02/0.98</f>
        <v>15.990623194224602</v>
      </c>
      <c r="H672" s="108">
        <f>SUM(H668:H671)*0.02/0.98</f>
        <v>15.990623194224602</v>
      </c>
    </row>
    <row r="673" spans="1:8" x14ac:dyDescent="0.3">
      <c r="A673" s="1" t="s">
        <v>312</v>
      </c>
      <c r="B673" s="90" t="s">
        <v>327</v>
      </c>
      <c r="C673" s="90"/>
      <c r="D673" s="108">
        <f>SUM(D668:D672)</f>
        <v>951.26477519447542</v>
      </c>
      <c r="E673" s="108">
        <f>SUM(E668:E672)</f>
        <v>5451.3488162129324</v>
      </c>
      <c r="F673" s="108">
        <f>SUM(F668:F672)</f>
        <v>2871.0437098721441</v>
      </c>
      <c r="G673" s="108">
        <f>SUM(G668:G672)</f>
        <v>799.53115971122998</v>
      </c>
      <c r="H673" s="108">
        <f>SUM(H668:H672)</f>
        <v>799.53115971122998</v>
      </c>
    </row>
    <row r="674" spans="1:8" x14ac:dyDescent="0.3">
      <c r="B674" s="90"/>
      <c r="C674" s="90"/>
      <c r="D674" s="90"/>
      <c r="E674" s="90"/>
      <c r="F674" s="90"/>
      <c r="G674" s="90"/>
      <c r="H674" s="90"/>
    </row>
    <row r="675" spans="1:8" ht="15.5" x14ac:dyDescent="0.35">
      <c r="A675" s="123" t="s">
        <v>684</v>
      </c>
      <c r="B675" s="90"/>
      <c r="C675" s="90"/>
      <c r="D675" s="90"/>
      <c r="E675" s="90"/>
      <c r="F675" s="90"/>
      <c r="G675" s="90"/>
      <c r="H675" s="90"/>
    </row>
    <row r="676" spans="1:8" x14ac:dyDescent="0.3">
      <c r="A676" s="1" t="s">
        <v>571</v>
      </c>
      <c r="B676" s="90" t="s">
        <v>327</v>
      </c>
      <c r="C676" s="90"/>
      <c r="D676" s="108">
        <f>(D660-D668)*'Input &amp; Calculation Summary'!C$129+D$385</f>
        <v>520.97184998349701</v>
      </c>
      <c r="E676" s="108">
        <f>(E660-E668)*'Input &amp; Calculation Summary'!D$129+E$385</f>
        <v>5539.4132845539862</v>
      </c>
      <c r="F676" s="108">
        <f>(F660-F668)*'Input &amp; Calculation Summary'!E$129+F$385</f>
        <v>2917.4243298650995</v>
      </c>
      <c r="G676" s="108">
        <f>(G660-G668)*'Input &amp; Calculation Summary'!F$129+G$385</f>
        <v>813.05574827104124</v>
      </c>
      <c r="H676" s="108">
        <f>(H660-H668)*'Input &amp; Calculation Summary'!G$129+H$385</f>
        <v>813.05574827104124</v>
      </c>
    </row>
    <row r="677" spans="1:8" x14ac:dyDescent="0.3">
      <c r="A677" s="1" t="s">
        <v>572</v>
      </c>
      <c r="B677" s="90" t="s">
        <v>327</v>
      </c>
      <c r="C677" s="90"/>
      <c r="D677" s="108">
        <f>(D661-D669)*'Input &amp; Calculation Summary'!C$129+D$396</f>
        <v>231.50597780025029</v>
      </c>
      <c r="E677" s="108">
        <f>(E661-E669)*'Input &amp; Calculation Summary'!D$129+E$396</f>
        <v>2461.5673359721654</v>
      </c>
      <c r="F677" s="108">
        <f>(F661-F669)*'Input &amp; Calculation Summary'!E$129+F$396</f>
        <v>1296.4254636120063</v>
      </c>
      <c r="G677" s="108">
        <f>(G661-G669)*'Input &amp; Calculation Summary'!F$129+G$396</f>
        <v>361.30026222254469</v>
      </c>
      <c r="H677" s="108">
        <f>(H661-H669)*'Input &amp; Calculation Summary'!G$129+H$396</f>
        <v>361.30026222254469</v>
      </c>
    </row>
    <row r="678" spans="1:8" x14ac:dyDescent="0.3">
      <c r="A678" s="1" t="s">
        <v>565</v>
      </c>
      <c r="B678" s="90" t="s">
        <v>327</v>
      </c>
      <c r="C678" s="90"/>
      <c r="D678" s="108">
        <f>(D662-D670)*'Input &amp; Calculation Summary'!C$129</f>
        <v>7665.6801155808371</v>
      </c>
      <c r="E678" s="108">
        <f>(E662-E670)*'Input &amp; Calculation Summary'!D$129</f>
        <v>40259.183185804293</v>
      </c>
      <c r="F678" s="108">
        <f>(F662-F670)*'Input &amp; Calculation Summary'!E$129</f>
        <v>21203.169811190262</v>
      </c>
      <c r="G678" s="108">
        <f>(G662-G670)*'Input &amp; Calculation Summary'!F$129</f>
        <v>5904.2407741764209</v>
      </c>
      <c r="H678" s="108">
        <f>(H662-H670)*'Input &amp; Calculation Summary'!G$129</f>
        <v>5904.2407741764209</v>
      </c>
    </row>
    <row r="679" spans="1:8" x14ac:dyDescent="0.3">
      <c r="A679" s="1" t="s">
        <v>656</v>
      </c>
      <c r="B679" s="90" t="s">
        <v>327</v>
      </c>
      <c r="C679" s="90"/>
      <c r="D679" s="108">
        <f>(D663-D671)*'Input &amp; Calculation Summary'!C$129-(D$383+D$392)</f>
        <v>7.8387564552572613</v>
      </c>
      <c r="E679" s="108">
        <f>(E663-E671)*'Input &amp; Calculation Summary'!D$129-(E$383+E$392)</f>
        <v>80.950886622913345</v>
      </c>
      <c r="F679" s="108">
        <f>(F663-F671)*'Input &amp; Calculation Summary'!E$129-(F$383+F$392)</f>
        <v>42.634133621401247</v>
      </c>
      <c r="G679" s="108">
        <f>(G663-G671)*'Input &amp; Calculation Summary'!F$129-(G$383+G$392)</f>
        <v>11.433370296485577</v>
      </c>
      <c r="H679" s="108">
        <f>(H663-H671)*'Input &amp; Calculation Summary'!G$129-(H$383+H$392)</f>
        <v>11.433370296485577</v>
      </c>
    </row>
    <row r="680" spans="1:8" x14ac:dyDescent="0.3">
      <c r="A680" s="1" t="s">
        <v>534</v>
      </c>
      <c r="B680" s="90" t="s">
        <v>327</v>
      </c>
      <c r="C680" s="90"/>
      <c r="D680" s="108"/>
      <c r="E680" s="108"/>
      <c r="F680" s="108"/>
      <c r="G680" s="108"/>
      <c r="H680" s="108"/>
    </row>
    <row r="681" spans="1:8" x14ac:dyDescent="0.3">
      <c r="A681" s="1" t="s">
        <v>312</v>
      </c>
      <c r="B681" s="90" t="s">
        <v>327</v>
      </c>
      <c r="C681" s="90"/>
      <c r="D681" s="108">
        <f>SUM(D676:D679)</f>
        <v>8425.9966998198415</v>
      </c>
      <c r="E681" s="108">
        <f>SUM(E676:E679)</f>
        <v>48341.114692953357</v>
      </c>
      <c r="F681" s="108">
        <f>SUM(F676:F679)</f>
        <v>25459.653738288769</v>
      </c>
      <c r="G681" s="108">
        <f>SUM(G676:G679)</f>
        <v>7090.0301549664928</v>
      </c>
      <c r="H681" s="108">
        <f>SUM(H676:H679)</f>
        <v>7090.0301549664928</v>
      </c>
    </row>
    <row r="682" spans="1:8" x14ac:dyDescent="0.3">
      <c r="A682" s="1" t="s">
        <v>571</v>
      </c>
      <c r="B682" s="90" t="s">
        <v>694</v>
      </c>
      <c r="C682" s="90"/>
      <c r="D682" s="215">
        <f>D676/(D681-D680)</f>
        <v>6.1829106815889927E-2</v>
      </c>
      <c r="E682" s="215">
        <f>E676/(E681-E680)</f>
        <v>0.1145901024363731</v>
      </c>
      <c r="F682" s="215">
        <f>F676/(F681-F680)</f>
        <v>0.1145901024363731</v>
      </c>
      <c r="G682" s="215">
        <f>G676/(G681-G680)</f>
        <v>0.11467592245732609</v>
      </c>
      <c r="H682" s="215">
        <f>H676/(H681-H680)</f>
        <v>0.11467592245732609</v>
      </c>
    </row>
    <row r="683" spans="1:8" x14ac:dyDescent="0.3">
      <c r="A683" s="1" t="s">
        <v>572</v>
      </c>
      <c r="B683" s="90" t="s">
        <v>694</v>
      </c>
      <c r="C683" s="90"/>
      <c r="D683" s="215">
        <f>D677/(D681-D680)</f>
        <v>2.7475203948893096E-2</v>
      </c>
      <c r="E683" s="215">
        <f>E677/(E681-E680)</f>
        <v>5.0920781442612993E-2</v>
      </c>
      <c r="F683" s="215">
        <f>F677/(F681-F680)</f>
        <v>5.0920781442612952E-2</v>
      </c>
      <c r="G683" s="215">
        <f>G677/(G681-G680)</f>
        <v>5.0958917568137224E-2</v>
      </c>
      <c r="H683" s="215">
        <f>H677/(H681-H680)</f>
        <v>5.0958917568137224E-2</v>
      </c>
    </row>
    <row r="684" spans="1:8" x14ac:dyDescent="0.3">
      <c r="A684" s="1" t="s">
        <v>565</v>
      </c>
      <c r="B684" s="90" t="s">
        <v>694</v>
      </c>
      <c r="C684" s="90"/>
      <c r="D684" s="215">
        <f>D678/(D681-D680)</f>
        <v>0.90976538309642807</v>
      </c>
      <c r="E684" s="215">
        <f>E678/(E681-E680)</f>
        <v>0.83281453978703635</v>
      </c>
      <c r="F684" s="215">
        <f>F678/(F681-F680)</f>
        <v>0.83281453978703646</v>
      </c>
      <c r="G684" s="215">
        <f>G678/(G681-G680)</f>
        <v>0.83275256171379775</v>
      </c>
      <c r="H684" s="215">
        <f>H678/(H681-H680)</f>
        <v>0.83275256171379775</v>
      </c>
    </row>
    <row r="685" spans="1:8" x14ac:dyDescent="0.3">
      <c r="A685" s="1" t="s">
        <v>656</v>
      </c>
      <c r="B685" s="90" t="s">
        <v>694</v>
      </c>
      <c r="C685" s="90"/>
      <c r="D685" s="215">
        <f>D679/(D681-D680)</f>
        <v>9.3030613878888229E-4</v>
      </c>
      <c r="E685" s="215">
        <f>E679/(E681-E680)</f>
        <v>1.6745763339775341E-3</v>
      </c>
      <c r="F685" s="215">
        <f>F679/(F681-F680)</f>
        <v>1.6745763339775428E-3</v>
      </c>
      <c r="G685" s="215">
        <f>G679/(G681-G680)</f>
        <v>1.6125982607389363E-3</v>
      </c>
      <c r="H685" s="215">
        <f>H679/(H681-H680)</f>
        <v>1.6125982607389363E-3</v>
      </c>
    </row>
    <row r="686" spans="1:8" x14ac:dyDescent="0.3">
      <c r="A686" s="1" t="s">
        <v>534</v>
      </c>
      <c r="B686" s="90" t="s">
        <v>694</v>
      </c>
      <c r="C686" s="90"/>
      <c r="D686" s="215"/>
      <c r="E686" s="215"/>
      <c r="F686" s="215"/>
      <c r="G686" s="215"/>
      <c r="H686" s="215"/>
    </row>
    <row r="687" spans="1:8" x14ac:dyDescent="0.3">
      <c r="A687" s="1" t="s">
        <v>312</v>
      </c>
      <c r="B687" s="90" t="s">
        <v>694</v>
      </c>
      <c r="C687" s="90"/>
      <c r="D687" s="215">
        <f>SUM(D682:D685)</f>
        <v>1</v>
      </c>
      <c r="E687" s="215">
        <f>SUM(E682:E685)</f>
        <v>0.99999999999999989</v>
      </c>
      <c r="F687" s="215">
        <f>SUM(F682:F685)</f>
        <v>1</v>
      </c>
      <c r="G687" s="215">
        <f>SUM(G682:G685)</f>
        <v>1</v>
      </c>
      <c r="H687" s="215">
        <f>SUM(H682:H685)</f>
        <v>1</v>
      </c>
    </row>
    <row r="688" spans="1:8" x14ac:dyDescent="0.3">
      <c r="B688" s="90"/>
      <c r="C688" s="90"/>
      <c r="D688" s="90"/>
      <c r="E688" s="90"/>
      <c r="F688" s="90"/>
      <c r="G688" s="90"/>
      <c r="H688" s="90"/>
    </row>
    <row r="689" spans="1:8" ht="15.5" x14ac:dyDescent="0.35">
      <c r="A689" s="123" t="s">
        <v>666</v>
      </c>
      <c r="B689" s="90"/>
      <c r="C689" s="90"/>
      <c r="D689" s="90"/>
      <c r="E689" s="90"/>
      <c r="F689" s="90"/>
      <c r="G689" s="90"/>
      <c r="H689" s="90"/>
    </row>
    <row r="690" spans="1:8" x14ac:dyDescent="0.3">
      <c r="A690" s="1" t="s">
        <v>571</v>
      </c>
      <c r="B690" s="90" t="s">
        <v>327</v>
      </c>
      <c r="C690" s="90"/>
      <c r="D690" s="108">
        <f>D682*(D695-D694)</f>
        <v>262.96348121887002</v>
      </c>
      <c r="E690" s="108">
        <f>E682*(E695-E694)</f>
        <v>1910.6234148211588</v>
      </c>
      <c r="F690" s="108">
        <f>F682*(F695-F694)</f>
        <v>1006.2616651391438</v>
      </c>
      <c r="G690" s="108">
        <f>G682*(G695-G694)</f>
        <v>280.43463637804155</v>
      </c>
      <c r="H690" s="108">
        <f>H682*(H695-H694)</f>
        <v>280.43463637804155</v>
      </c>
    </row>
    <row r="691" spans="1:8" x14ac:dyDescent="0.3">
      <c r="A691" s="1" t="s">
        <v>572</v>
      </c>
      <c r="B691" s="90" t="s">
        <v>327</v>
      </c>
      <c r="C691" s="90"/>
      <c r="D691" s="108">
        <f>D683*(D695-D694)</f>
        <v>116.85394872536914</v>
      </c>
      <c r="E691" s="108">
        <f>E683*(E695-E694)</f>
        <v>849.03002315813683</v>
      </c>
      <c r="F691" s="108">
        <f>F683*(F695-F694)</f>
        <v>447.15581219661846</v>
      </c>
      <c r="G691" s="108">
        <f>G683*(G695-G694)</f>
        <v>124.61766351831247</v>
      </c>
      <c r="H691" s="108">
        <f>H683*(H695-H694)</f>
        <v>124.61766351831247</v>
      </c>
    </row>
    <row r="692" spans="1:8" x14ac:dyDescent="0.3">
      <c r="A692" s="1" t="s">
        <v>565</v>
      </c>
      <c r="B692" s="90" t="s">
        <v>327</v>
      </c>
      <c r="C692" s="90"/>
      <c r="D692" s="108">
        <f>D684*(D695-D694)</f>
        <v>3869.295297178267</v>
      </c>
      <c r="E692" s="108">
        <f>E684*(E695-E694)</f>
        <v>13885.972052465357</v>
      </c>
      <c r="F692" s="108">
        <f>F684*(F695-F694)</f>
        <v>7313.2786142984223</v>
      </c>
      <c r="G692" s="108">
        <f>G684*(G695-G694)</f>
        <v>2036.4576698652245</v>
      </c>
      <c r="H692" s="108">
        <f>H684*(H695-H694)</f>
        <v>2036.4576698652245</v>
      </c>
    </row>
    <row r="693" spans="1:8" x14ac:dyDescent="0.3">
      <c r="A693" s="1" t="s">
        <v>656</v>
      </c>
      <c r="B693" s="90" t="s">
        <v>327</v>
      </c>
      <c r="C693" s="90"/>
      <c r="D693" s="108">
        <f>D685*(D695-D694)</f>
        <v>3.9566565563314708</v>
      </c>
      <c r="E693" s="108">
        <f>E685*(E695-E694)</f>
        <v>27.9211265683211</v>
      </c>
      <c r="F693" s="108">
        <f>F685*(F695-F694)</f>
        <v>14.705126659315857</v>
      </c>
      <c r="G693" s="108">
        <f>G685*(G695-G694)</f>
        <v>3.9435340669918904</v>
      </c>
      <c r="H693" s="108">
        <f>H685*(H695-H694)</f>
        <v>3.9435340669918904</v>
      </c>
    </row>
    <row r="694" spans="1:8" x14ac:dyDescent="0.3">
      <c r="A694" s="1" t="s">
        <v>534</v>
      </c>
      <c r="B694" s="90" t="s">
        <v>327</v>
      </c>
      <c r="C694" s="90"/>
      <c r="D694" s="108">
        <f>D695*0.02</f>
        <v>86.797334360792618</v>
      </c>
      <c r="E694" s="108">
        <f>E695*0.02</f>
        <v>340.27646157169335</v>
      </c>
      <c r="F694" s="108">
        <f>F695*0.02</f>
        <v>179.21226976109185</v>
      </c>
      <c r="G694" s="108">
        <f>G695*0.02</f>
        <v>49.907214363848368</v>
      </c>
      <c r="H694" s="108">
        <f>H695*0.02</f>
        <v>49.907214363848368</v>
      </c>
    </row>
    <row r="695" spans="1:8" x14ac:dyDescent="0.3">
      <c r="A695" s="1" t="s">
        <v>312</v>
      </c>
      <c r="B695" s="90" t="s">
        <v>327</v>
      </c>
      <c r="C695" s="90"/>
      <c r="D695" s="108">
        <f>D$458</f>
        <v>4339.8667180396305</v>
      </c>
      <c r="E695" s="108">
        <f>E$458</f>
        <v>17013.823078584668</v>
      </c>
      <c r="F695" s="108">
        <f>F$458</f>
        <v>8960.6134880545924</v>
      </c>
      <c r="G695" s="108">
        <f>G$458</f>
        <v>2495.3607181924185</v>
      </c>
      <c r="H695" s="108">
        <f>H$458</f>
        <v>2495.3607181924185</v>
      </c>
    </row>
    <row r="696" spans="1:8" x14ac:dyDescent="0.3">
      <c r="B696" s="90"/>
      <c r="C696" s="90"/>
      <c r="D696" s="90"/>
      <c r="E696" s="90"/>
      <c r="F696" s="90"/>
      <c r="G696" s="90"/>
      <c r="H696" s="90"/>
    </row>
    <row r="697" spans="1:8" ht="15.5" x14ac:dyDescent="0.35">
      <c r="A697" s="123" t="s">
        <v>695</v>
      </c>
      <c r="B697" s="90"/>
      <c r="C697" s="90"/>
      <c r="D697" s="90"/>
      <c r="E697" s="90"/>
      <c r="F697" s="90"/>
      <c r="G697" s="90"/>
      <c r="H697" s="90"/>
    </row>
    <row r="698" spans="1:8" x14ac:dyDescent="0.3">
      <c r="A698" s="1" t="s">
        <v>571</v>
      </c>
      <c r="B698" s="90" t="s">
        <v>327</v>
      </c>
      <c r="C698" s="90"/>
      <c r="D698" s="208">
        <f>D682*D703</f>
        <v>0.92187198262491876</v>
      </c>
      <c r="E698" s="208">
        <f>E682*E703</f>
        <v>6.1017510695832131</v>
      </c>
      <c r="F698" s="208">
        <f>F682*F703</f>
        <v>3.2135888966471589</v>
      </c>
      <c r="G698" s="208">
        <f>G682*G703</f>
        <v>0.89559372568877615</v>
      </c>
      <c r="H698" s="208">
        <f>H682*H703</f>
        <v>0.89559372568877615</v>
      </c>
    </row>
    <row r="699" spans="1:8" x14ac:dyDescent="0.3">
      <c r="A699" s="1" t="s">
        <v>572</v>
      </c>
      <c r="B699" s="90" t="s">
        <v>327</v>
      </c>
      <c r="C699" s="90"/>
      <c r="D699" s="208">
        <f>D683*D703</f>
        <v>0.40965529087799607</v>
      </c>
      <c r="E699" s="208">
        <f>E683*E703</f>
        <v>2.7114552306469779</v>
      </c>
      <c r="F699" s="208">
        <f>F683*F703</f>
        <v>1.4280330881407406</v>
      </c>
      <c r="G699" s="208">
        <f>G683*G703</f>
        <v>0.39797793524528674</v>
      </c>
      <c r="H699" s="208">
        <f>H683*H703</f>
        <v>0.39797793524528674</v>
      </c>
    </row>
    <row r="700" spans="1:8" x14ac:dyDescent="0.3">
      <c r="A700" s="1" t="s">
        <v>565</v>
      </c>
      <c r="B700" s="90" t="s">
        <v>327</v>
      </c>
      <c r="C700" s="90"/>
      <c r="D700" s="208">
        <f>D684*D703</f>
        <v>13.564601861967743</v>
      </c>
      <c r="E700" s="208">
        <f>E684*E703</f>
        <v>44.346125021850007</v>
      </c>
      <c r="F700" s="208">
        <f>F684*F703</f>
        <v>23.355625844841004</v>
      </c>
      <c r="G700" s="208">
        <f>G684*G703</f>
        <v>6.5036143014211829</v>
      </c>
      <c r="H700" s="208">
        <f>H684*H703</f>
        <v>6.5036143014211829</v>
      </c>
    </row>
    <row r="701" spans="1:8" x14ac:dyDescent="0.3">
      <c r="A701" s="1" t="s">
        <v>656</v>
      </c>
      <c r="B701" s="90" t="s">
        <v>327</v>
      </c>
      <c r="C701" s="90"/>
      <c r="D701" s="208">
        <f>D685*D703</f>
        <v>1.3870864529342235E-2</v>
      </c>
      <c r="E701" s="208">
        <f>E685*E703</f>
        <v>8.9168677919802722E-2</v>
      </c>
      <c r="F701" s="208">
        <f>F685*F703</f>
        <v>4.6962170371096346E-2</v>
      </c>
      <c r="G701" s="208">
        <f>G685*G703</f>
        <v>1.259403764475373E-2</v>
      </c>
      <c r="H701" s="208">
        <f>H685*H703</f>
        <v>1.259403764475373E-2</v>
      </c>
    </row>
    <row r="702" spans="1:8" x14ac:dyDescent="0.3">
      <c r="A702" s="1" t="s">
        <v>534</v>
      </c>
      <c r="B702" s="90" t="s">
        <v>327</v>
      </c>
      <c r="C702" s="90"/>
      <c r="D702" s="90"/>
      <c r="E702" s="90"/>
      <c r="F702" s="90"/>
      <c r="G702" s="90"/>
      <c r="H702" s="90"/>
    </row>
    <row r="703" spans="1:8" x14ac:dyDescent="0.3">
      <c r="A703" s="1" t="s">
        <v>312</v>
      </c>
      <c r="B703" s="90" t="s">
        <v>327</v>
      </c>
      <c r="C703" s="90"/>
      <c r="D703" s="108">
        <f>D$80</f>
        <v>14.91</v>
      </c>
      <c r="E703" s="108">
        <f>E$80</f>
        <v>53.2485</v>
      </c>
      <c r="F703" s="108">
        <f>F$80</f>
        <v>28.04421</v>
      </c>
      <c r="G703" s="108">
        <f>G$80</f>
        <v>7.8097799999999999</v>
      </c>
      <c r="H703" s="108">
        <f>H$80</f>
        <v>7.8097799999999999</v>
      </c>
    </row>
    <row r="704" spans="1:8" x14ac:dyDescent="0.3">
      <c r="B704" s="90"/>
      <c r="C704" s="90"/>
      <c r="D704" s="90"/>
      <c r="E704" s="90"/>
      <c r="F704" s="90"/>
      <c r="G704" s="90"/>
      <c r="H704" s="90"/>
    </row>
    <row r="705" spans="1:8" ht="15.5" x14ac:dyDescent="0.35">
      <c r="A705" s="123" t="s">
        <v>696</v>
      </c>
      <c r="B705" s="90"/>
      <c r="C705" s="90"/>
      <c r="D705" s="90"/>
      <c r="E705" s="90"/>
      <c r="F705" s="90"/>
      <c r="G705" s="90"/>
      <c r="H705" s="90"/>
    </row>
    <row r="706" spans="1:8" x14ac:dyDescent="0.3">
      <c r="A706" s="1" t="s">
        <v>571</v>
      </c>
      <c r="B706" s="90" t="s">
        <v>327</v>
      </c>
      <c r="C706" s="90"/>
      <c r="D706" s="108">
        <f>D676-D690-D698</f>
        <v>257.08649678200209</v>
      </c>
      <c r="E706" s="108">
        <f>E676-E690-E698</f>
        <v>3622.688118663244</v>
      </c>
      <c r="F706" s="108">
        <f>F676-F690-F698</f>
        <v>1907.9490758293084</v>
      </c>
      <c r="G706" s="108">
        <f>G676-G690-G698</f>
        <v>531.72551816731095</v>
      </c>
      <c r="H706" s="108">
        <f>H676-H690-H698</f>
        <v>531.72551816731095</v>
      </c>
    </row>
    <row r="707" spans="1:8" x14ac:dyDescent="0.3">
      <c r="A707" s="1" t="s">
        <v>572</v>
      </c>
      <c r="B707" s="90" t="s">
        <v>327</v>
      </c>
      <c r="C707" s="90"/>
      <c r="D707" s="108">
        <f t="shared" ref="D707:H709" si="20">D677-D691-D699</f>
        <v>114.24237378400316</v>
      </c>
      <c r="E707" s="108">
        <f t="shared" si="20"/>
        <v>1609.8258575833815</v>
      </c>
      <c r="F707" s="108">
        <f t="shared" si="20"/>
        <v>847.84161832724715</v>
      </c>
      <c r="G707" s="108">
        <f t="shared" si="20"/>
        <v>236.28462076898694</v>
      </c>
      <c r="H707" s="108">
        <f t="shared" si="20"/>
        <v>236.28462076898694</v>
      </c>
    </row>
    <row r="708" spans="1:8" x14ac:dyDescent="0.3">
      <c r="A708" s="1" t="s">
        <v>565</v>
      </c>
      <c r="B708" s="90" t="s">
        <v>327</v>
      </c>
      <c r="C708" s="90"/>
      <c r="D708" s="108">
        <f t="shared" si="20"/>
        <v>3782.8202165406024</v>
      </c>
      <c r="E708" s="108">
        <f t="shared" si="20"/>
        <v>26328.865008317087</v>
      </c>
      <c r="F708" s="108">
        <f t="shared" si="20"/>
        <v>13866.535571046999</v>
      </c>
      <c r="G708" s="108">
        <f t="shared" si="20"/>
        <v>3861.2794900097751</v>
      </c>
      <c r="H708" s="108">
        <f t="shared" si="20"/>
        <v>3861.2794900097751</v>
      </c>
    </row>
    <row r="709" spans="1:8" x14ac:dyDescent="0.3">
      <c r="A709" s="1" t="s">
        <v>656</v>
      </c>
      <c r="B709" s="90" t="s">
        <v>327</v>
      </c>
      <c r="C709" s="90"/>
      <c r="D709" s="108">
        <f t="shared" si="20"/>
        <v>3.8682290343964483</v>
      </c>
      <c r="E709" s="108">
        <f t="shared" si="20"/>
        <v>52.940591376672444</v>
      </c>
      <c r="F709" s="108">
        <f t="shared" si="20"/>
        <v>27.882044791714293</v>
      </c>
      <c r="G709" s="108">
        <f t="shared" si="20"/>
        <v>7.4772421918489327</v>
      </c>
      <c r="H709" s="108">
        <f t="shared" si="20"/>
        <v>7.4772421918489327</v>
      </c>
    </row>
    <row r="710" spans="1:8" x14ac:dyDescent="0.3">
      <c r="A710" s="1" t="s">
        <v>534</v>
      </c>
      <c r="B710" s="90" t="s">
        <v>327</v>
      </c>
      <c r="C710" s="90"/>
      <c r="D710" s="108">
        <f>D711-SUM(D706:D709)</f>
        <v>84.857496247775998</v>
      </c>
      <c r="E710" s="108">
        <f>E711-SUM(E706:E709)</f>
        <v>645.19019542735623</v>
      </c>
      <c r="F710" s="108">
        <f>F711-SUM(F706:F709)</f>
        <v>339.800169591741</v>
      </c>
      <c r="G710" s="108">
        <f>G711-SUM(G706:G709)</f>
        <v>94.627895329345847</v>
      </c>
      <c r="H710" s="108">
        <f>H711-SUM(H706:H709)</f>
        <v>94.627895329345847</v>
      </c>
    </row>
    <row r="711" spans="1:8" x14ac:dyDescent="0.3">
      <c r="A711" s="1" t="s">
        <v>312</v>
      </c>
      <c r="B711" s="90" t="s">
        <v>327</v>
      </c>
      <c r="C711" s="90"/>
      <c r="D711" s="108">
        <f>SUM(D706:D709)/0.98</f>
        <v>4242.8748123887808</v>
      </c>
      <c r="E711" s="108">
        <f>SUM(E706:E709)/0.98</f>
        <v>32259.509771367742</v>
      </c>
      <c r="F711" s="108">
        <f>SUM(F706:F709)/0.98</f>
        <v>16990.00847958701</v>
      </c>
      <c r="G711" s="108">
        <f>SUM(G706:G709)/0.98</f>
        <v>4731.3947664672678</v>
      </c>
      <c r="H711" s="108">
        <f>SUM(H706:H709)/0.98</f>
        <v>4731.3947664672678</v>
      </c>
    </row>
    <row r="712" spans="1:8" x14ac:dyDescent="0.3">
      <c r="B712" s="90"/>
      <c r="C712" s="90"/>
      <c r="D712" s="90"/>
      <c r="E712" s="90"/>
      <c r="F712" s="90"/>
      <c r="G712" s="90"/>
      <c r="H712" s="90"/>
    </row>
    <row r="713" spans="1:8" ht="15.5" x14ac:dyDescent="0.35">
      <c r="A713" s="123" t="s">
        <v>697</v>
      </c>
      <c r="B713" s="90"/>
      <c r="C713" s="90"/>
      <c r="D713" s="90"/>
      <c r="E713" s="90"/>
      <c r="F713" s="90"/>
      <c r="G713" s="90"/>
      <c r="H713" s="90"/>
    </row>
    <row r="714" spans="1:8" x14ac:dyDescent="0.3">
      <c r="A714" s="1" t="s">
        <v>571</v>
      </c>
      <c r="B714" s="90" t="s">
        <v>327</v>
      </c>
      <c r="C714" s="90"/>
      <c r="D714" s="108">
        <f>D668*'Input &amp; Calculation Summary'!C$129+D706</f>
        <v>309.11087067818551</v>
      </c>
      <c r="E714" s="108">
        <f>E668*'Input &amp; Calculation Summary'!D$129+E706</f>
        <v>4195.6232267529667</v>
      </c>
      <c r="F714" s="108">
        <f>F668*'Input &amp; Calculation Summary'!E$129+F706</f>
        <v>2209.6948994232289</v>
      </c>
      <c r="G714" s="108">
        <f>G668*'Input &amp; Calculation Summary'!F$129+G706</f>
        <v>615.8236080800765</v>
      </c>
      <c r="H714" s="108">
        <f>H668*'Input &amp; Calculation Summary'!G$129+H706</f>
        <v>615.8236080800765</v>
      </c>
    </row>
    <row r="715" spans="1:8" x14ac:dyDescent="0.3">
      <c r="A715" s="1" t="s">
        <v>572</v>
      </c>
      <c r="B715" s="90" t="s">
        <v>327</v>
      </c>
      <c r="C715" s="90"/>
      <c r="D715" s="108">
        <f>D669*'Input &amp; Calculation Summary'!C$129+D707</f>
        <v>137.36061625461511</v>
      </c>
      <c r="E715" s="108">
        <f>E669*'Input &amp; Calculation Summary'!D$129+E707</f>
        <v>1864.4229196292579</v>
      </c>
      <c r="F715" s="108">
        <f>F669*'Input &amp; Calculation Summary'!E$129+F707</f>
        <v>981.9294043380753</v>
      </c>
      <c r="G715" s="108">
        <f>G669*'Input &amp; Calculation Summary'!F$129+G707</f>
        <v>273.65556612237771</v>
      </c>
      <c r="H715" s="108">
        <f>H669*'Input &amp; Calculation Summary'!G$129+H707</f>
        <v>273.65556612237771</v>
      </c>
    </row>
    <row r="716" spans="1:8" x14ac:dyDescent="0.3">
      <c r="A716" s="1" t="s">
        <v>565</v>
      </c>
      <c r="B716" s="90" t="s">
        <v>327</v>
      </c>
      <c r="C716" s="90"/>
      <c r="D716" s="108">
        <f>D670*'Input &amp; Calculation Summary'!C$129+D708</f>
        <v>4634.5624516051394</v>
      </c>
      <c r="E716" s="108">
        <f>E670*'Input &amp; Calculation Summary'!D$129+E708</f>
        <v>30802.107584517566</v>
      </c>
      <c r="F716" s="108">
        <f>F670*'Input &amp; Calculation Summary'!E$129+F708</f>
        <v>16222.443327845918</v>
      </c>
      <c r="G716" s="108">
        <f>G670*'Input &amp; Calculation Summary'!F$129+G708</f>
        <v>4517.3062426960441</v>
      </c>
      <c r="H716" s="108">
        <f>H670*'Input &amp; Calculation Summary'!G$129+H708</f>
        <v>4517.3062426960441</v>
      </c>
    </row>
    <row r="717" spans="1:8" x14ac:dyDescent="0.3">
      <c r="A717" s="1" t="s">
        <v>656</v>
      </c>
      <c r="B717" s="90" t="s">
        <v>327</v>
      </c>
      <c r="C717" s="90"/>
      <c r="D717" s="108">
        <f>D671*'Input &amp; Calculation Summary'!C$129+D709</f>
        <v>9.2228572936494455</v>
      </c>
      <c r="E717" s="108">
        <f>E671*'Input &amp; Calculation Summary'!D$129+E709</f>
        <v>94.487684929269463</v>
      </c>
      <c r="F717" s="108">
        <f>F671*'Input &amp; Calculation Summary'!E$129+F709</f>
        <v>49.76351406274874</v>
      </c>
      <c r="G717" s="108">
        <f>G671*'Input &amp; Calculation Summary'!F$129+G709</f>
        <v>13.521990756428899</v>
      </c>
      <c r="H717" s="108">
        <f>H671*'Input &amp; Calculation Summary'!G$129+H709</f>
        <v>13.521990756428899</v>
      </c>
    </row>
    <row r="718" spans="1:8" x14ac:dyDescent="0.3">
      <c r="A718" s="1" t="s">
        <v>534</v>
      </c>
      <c r="B718" s="90" t="s">
        <v>327</v>
      </c>
      <c r="C718" s="90"/>
      <c r="D718" s="108">
        <f>D672*'Input &amp; Calculation Summary'!C$129+D710</f>
        <v>103.88279175166551</v>
      </c>
      <c r="E718" s="108">
        <f>E672*'Input &amp; Calculation Summary'!D$129+E710</f>
        <v>754.21717175161484</v>
      </c>
      <c r="F718" s="108">
        <f>F672*'Input &amp; Calculation Summary'!E$129+F710</f>
        <v>397.22104378918391</v>
      </c>
      <c r="G718" s="108">
        <f>G672*'Input &amp; Calculation Summary'!F$129+G710</f>
        <v>110.61851852357044</v>
      </c>
      <c r="H718" s="108">
        <f>H672*'Input &amp; Calculation Summary'!G$129+H710</f>
        <v>110.61851852357044</v>
      </c>
    </row>
    <row r="719" spans="1:8" x14ac:dyDescent="0.3">
      <c r="A719" s="1" t="s">
        <v>312</v>
      </c>
      <c r="B719" s="90" t="s">
        <v>327</v>
      </c>
      <c r="C719" s="90"/>
      <c r="D719" s="108">
        <f>SUM(D714:D718)</f>
        <v>5194.139587583255</v>
      </c>
      <c r="E719" s="108">
        <f>SUM(E714:E718)</f>
        <v>37710.858587580682</v>
      </c>
      <c r="F719" s="108">
        <f>SUM(F714:F718)</f>
        <v>19861.052189459155</v>
      </c>
      <c r="G719" s="108">
        <f>SUM(G714:G718)</f>
        <v>5530.9259261784982</v>
      </c>
      <c r="H719" s="108">
        <f>SUM(H714:H718)</f>
        <v>5530.9259261784982</v>
      </c>
    </row>
    <row r="720" spans="1:8" x14ac:dyDescent="0.3">
      <c r="B720" s="90"/>
      <c r="C720" s="90"/>
      <c r="D720" s="90"/>
      <c r="E720" s="90"/>
      <c r="F720" s="90"/>
      <c r="G720" s="90"/>
      <c r="H720" s="90"/>
    </row>
    <row r="721" spans="1:8" ht="13.5" x14ac:dyDescent="0.35">
      <c r="A721" s="218" t="s">
        <v>700</v>
      </c>
      <c r="B721" s="217"/>
      <c r="C721" s="217"/>
      <c r="D721" s="217"/>
      <c r="E721" s="217"/>
      <c r="F721" s="217"/>
      <c r="G721" s="217"/>
      <c r="H721" s="217"/>
    </row>
    <row r="722" spans="1:8" ht="15.5" x14ac:dyDescent="0.35">
      <c r="A722" s="123" t="s">
        <v>690</v>
      </c>
      <c r="B722" s="90"/>
      <c r="C722" s="90"/>
      <c r="D722" s="90"/>
      <c r="E722" s="90"/>
      <c r="F722" s="90"/>
      <c r="G722" s="90"/>
      <c r="H722" s="90"/>
    </row>
    <row r="723" spans="1:8" x14ac:dyDescent="0.3">
      <c r="A723" s="1" t="s">
        <v>571</v>
      </c>
      <c r="B723" s="90" t="s">
        <v>327</v>
      </c>
      <c r="C723" s="90"/>
      <c r="D723" s="108">
        <f>IF(ABS(D714-D636)&lt;1,D714,D714+D714-D636)</f>
        <v>309.11087067818551</v>
      </c>
      <c r="E723" s="108">
        <f>IF(ABS(E714-E636)&lt;1,E714,E714+E714-E636)</f>
        <v>4193.8846195946489</v>
      </c>
      <c r="F723" s="108">
        <f>IF(ABS(F714-F636)&lt;1,F714,F714+F714-F636)</f>
        <v>2209.6948994232289</v>
      </c>
      <c r="G723" s="108">
        <f>IF(ABS(G714-G636)&lt;1,G714,G714+G714-G636)</f>
        <v>615.8236080800765</v>
      </c>
      <c r="H723" s="108">
        <f>IF(ABS(H714-H636)&lt;1,H714,H714+H714-H636)</f>
        <v>615.8236080800765</v>
      </c>
    </row>
    <row r="724" spans="1:8" x14ac:dyDescent="0.3">
      <c r="A724" s="1" t="s">
        <v>572</v>
      </c>
      <c r="B724" s="90" t="s">
        <v>327</v>
      </c>
      <c r="C724" s="90"/>
      <c r="D724" s="108">
        <f>IF(ABS(D714-D636)&lt;1,D715,D715+D715-D637)</f>
        <v>137.36061625461511</v>
      </c>
      <c r="E724" s="108">
        <f>IF(ABS(E714-E636)&lt;1,E715,E715+E715-E637)</f>
        <v>1863.650329036868</v>
      </c>
      <c r="F724" s="108">
        <f>IF(ABS(F714-F636)&lt;1,F715,F715+F715-F637)</f>
        <v>981.9294043380753</v>
      </c>
      <c r="G724" s="108">
        <f>IF(ABS(G714-G636)&lt;1,G715,G715+G715-G637)</f>
        <v>273.65556612237771</v>
      </c>
      <c r="H724" s="108">
        <f>IF(ABS(H714-H636)&lt;1,H715,H715+H715-H637)</f>
        <v>273.65556612237771</v>
      </c>
    </row>
    <row r="725" spans="1:8" x14ac:dyDescent="0.3">
      <c r="A725" s="1" t="s">
        <v>565</v>
      </c>
      <c r="B725" s="90" t="s">
        <v>327</v>
      </c>
      <c r="C725" s="90"/>
      <c r="D725" s="108">
        <f>IF(ABS(D714-D636)&lt;1,D716,D716-(D714-D636+D715-D637)/2)</f>
        <v>4634.5624516051394</v>
      </c>
      <c r="E725" s="108">
        <f>IF(ABS(E714-E636)&lt;1,E716,E716-(E714-E636+E715-E637)/2)</f>
        <v>30803.363183392918</v>
      </c>
      <c r="F725" s="108">
        <f>IF(ABS(F714-F636)&lt;1,F716,F716-(F714-F636+F715-F637)/2)</f>
        <v>16222.443327845918</v>
      </c>
      <c r="G725" s="108">
        <f>IF(ABS(G714-G636)&lt;1,G716,G716-(G714-G636+G715-G637)/2)</f>
        <v>4517.3062426960441</v>
      </c>
      <c r="H725" s="108">
        <f>IF(ABS(H714-H636)&lt;1,H716,H716-(H714-H636+H715-H637)/2)</f>
        <v>4517.3062426960441</v>
      </c>
    </row>
    <row r="726" spans="1:8" x14ac:dyDescent="0.3">
      <c r="A726" s="1" t="s">
        <v>656</v>
      </c>
      <c r="B726" s="90" t="s">
        <v>327</v>
      </c>
      <c r="C726" s="90"/>
      <c r="D726" s="108">
        <f>IF(ABS(D714-D636)&lt;1,D717,D717-(D714-D636+D715-D637)/2)</f>
        <v>9.2228572936494455</v>
      </c>
      <c r="E726" s="108">
        <f>IF(ABS(E714-E636)&lt;1,E717,E717-(E714-E636+E715-E637)/2)</f>
        <v>95.743283804623289</v>
      </c>
      <c r="F726" s="108">
        <f>IF(ABS(F714-F636)&lt;1,F717,F717-(F714-F636+F715-F637)/2)</f>
        <v>49.76351406274874</v>
      </c>
      <c r="G726" s="108">
        <f>IF(ABS(G714-G636)&lt;1,G717,G717-(G714-G636+G715-G637)/2)</f>
        <v>13.521990756428899</v>
      </c>
      <c r="H726" s="108">
        <f>IF(ABS(H714-H636)&lt;1,H717,H717-(H714-H636+H715-H637)/2)</f>
        <v>13.521990756428899</v>
      </c>
    </row>
    <row r="727" spans="1:8" x14ac:dyDescent="0.3">
      <c r="A727" s="1" t="s">
        <v>534</v>
      </c>
      <c r="B727" s="90" t="s">
        <v>327</v>
      </c>
      <c r="C727" s="90"/>
      <c r="D727" s="108">
        <f>D718</f>
        <v>103.88279175166551</v>
      </c>
      <c r="E727" s="108">
        <f>E718</f>
        <v>754.21717175161484</v>
      </c>
      <c r="F727" s="108">
        <f>F718</f>
        <v>397.22104378918391</v>
      </c>
      <c r="G727" s="108">
        <f>G718</f>
        <v>110.61851852357044</v>
      </c>
      <c r="H727" s="108">
        <f>H718</f>
        <v>110.61851852357044</v>
      </c>
    </row>
    <row r="728" spans="1:8" x14ac:dyDescent="0.3">
      <c r="A728" s="1" t="s">
        <v>312</v>
      </c>
      <c r="B728" s="90" t="s">
        <v>327</v>
      </c>
      <c r="C728" s="90"/>
      <c r="D728" s="108">
        <f>SUM(D723:D727)</f>
        <v>5194.139587583255</v>
      </c>
      <c r="E728" s="108">
        <f>SUM(E723:E727)</f>
        <v>37710.858587580675</v>
      </c>
      <c r="F728" s="108">
        <f>SUM(F723:F727)</f>
        <v>19861.052189459155</v>
      </c>
      <c r="G728" s="108">
        <f>SUM(G723:G727)</f>
        <v>5530.9259261784982</v>
      </c>
      <c r="H728" s="108">
        <f>SUM(H723:H727)</f>
        <v>5530.9259261784982</v>
      </c>
    </row>
    <row r="729" spans="1:8" x14ac:dyDescent="0.3">
      <c r="B729" s="90"/>
      <c r="C729" s="90"/>
      <c r="D729" s="90"/>
      <c r="E729" s="90"/>
      <c r="F729" s="90"/>
      <c r="G729" s="90"/>
      <c r="H729" s="90"/>
    </row>
    <row r="730" spans="1:8" ht="15.5" x14ac:dyDescent="0.35">
      <c r="A730" s="123" t="s">
        <v>691</v>
      </c>
      <c r="B730" s="90"/>
      <c r="C730" s="90"/>
      <c r="D730" s="90"/>
      <c r="E730" s="90"/>
      <c r="F730" s="90"/>
      <c r="G730" s="90"/>
      <c r="H730" s="90"/>
    </row>
    <row r="731" spans="1:8" x14ac:dyDescent="0.3">
      <c r="A731" s="1" t="s">
        <v>571</v>
      </c>
      <c r="B731" s="90" t="s">
        <v>327</v>
      </c>
      <c r="C731" s="90"/>
      <c r="D731" s="108">
        <f>D723</f>
        <v>309.11087067818551</v>
      </c>
      <c r="E731" s="108">
        <f>E723</f>
        <v>4193.8846195946489</v>
      </c>
      <c r="F731" s="108">
        <f>F723</f>
        <v>2209.6948994232289</v>
      </c>
      <c r="G731" s="108">
        <f>G723</f>
        <v>615.8236080800765</v>
      </c>
      <c r="H731" s="108">
        <f>H723</f>
        <v>615.8236080800765</v>
      </c>
    </row>
    <row r="732" spans="1:8" x14ac:dyDescent="0.3">
      <c r="A732" s="1" t="s">
        <v>572</v>
      </c>
      <c r="B732" s="90" t="s">
        <v>327</v>
      </c>
      <c r="C732" s="90"/>
      <c r="D732" s="108">
        <f t="shared" ref="D732:H734" si="21">D724</f>
        <v>137.36061625461511</v>
      </c>
      <c r="E732" s="108">
        <f t="shared" si="21"/>
        <v>1863.650329036868</v>
      </c>
      <c r="F732" s="108">
        <f t="shared" si="21"/>
        <v>981.9294043380753</v>
      </c>
      <c r="G732" s="108">
        <f t="shared" si="21"/>
        <v>273.65556612237771</v>
      </c>
      <c r="H732" s="108">
        <f t="shared" si="21"/>
        <v>273.65556612237771</v>
      </c>
    </row>
    <row r="733" spans="1:8" x14ac:dyDescent="0.3">
      <c r="A733" s="1" t="s">
        <v>565</v>
      </c>
      <c r="B733" s="90" t="s">
        <v>327</v>
      </c>
      <c r="C733" s="90"/>
      <c r="D733" s="108">
        <f t="shared" si="21"/>
        <v>4634.5624516051394</v>
      </c>
      <c r="E733" s="108">
        <f t="shared" si="21"/>
        <v>30803.363183392918</v>
      </c>
      <c r="F733" s="108">
        <f t="shared" si="21"/>
        <v>16222.443327845918</v>
      </c>
      <c r="G733" s="108">
        <f t="shared" si="21"/>
        <v>4517.3062426960441</v>
      </c>
      <c r="H733" s="108">
        <f t="shared" si="21"/>
        <v>4517.3062426960441</v>
      </c>
    </row>
    <row r="734" spans="1:8" x14ac:dyDescent="0.3">
      <c r="A734" s="1" t="s">
        <v>656</v>
      </c>
      <c r="B734" s="90" t="s">
        <v>327</v>
      </c>
      <c r="C734" s="90"/>
      <c r="D734" s="108">
        <f t="shared" si="21"/>
        <v>9.2228572936494455</v>
      </c>
      <c r="E734" s="108">
        <f t="shared" si="21"/>
        <v>95.743283804623289</v>
      </c>
      <c r="F734" s="108">
        <f t="shared" si="21"/>
        <v>49.76351406274874</v>
      </c>
      <c r="G734" s="108">
        <f t="shared" si="21"/>
        <v>13.521990756428899</v>
      </c>
      <c r="H734" s="108">
        <f t="shared" si="21"/>
        <v>13.521990756428899</v>
      </c>
    </row>
    <row r="735" spans="1:8" x14ac:dyDescent="0.3">
      <c r="A735" s="1" t="s">
        <v>534</v>
      </c>
      <c r="B735" s="90" t="s">
        <v>327</v>
      </c>
      <c r="C735" s="90"/>
      <c r="D735" s="108">
        <f>SUM(D731:D734)/'Input &amp; Calculation Summary'!C$128*(1-'Input &amp; Calculation Summary'!C$128)</f>
        <v>9453.3340494015247</v>
      </c>
      <c r="E735" s="108">
        <f>SUM(E731:E734)/'Input &amp; Calculation Summary'!D$128*(1-'Input &amp; Calculation Summary'!D$128)</f>
        <v>68633.762629396821</v>
      </c>
      <c r="F735" s="108">
        <f>SUM(F731:F734)/'Input &amp; Calculation Summary'!E$128*(1-'Input &amp; Calculation Summary'!E$128)</f>
        <v>36147.114984815664</v>
      </c>
      <c r="G735" s="108">
        <f>SUM(G731:G734)/'Input &amp; Calculation Summary'!F$128*(1-'Input &amp; Calculation Summary'!F$128)</f>
        <v>10066.285185644867</v>
      </c>
      <c r="H735" s="108">
        <f>SUM(H731:H734)/'Input &amp; Calculation Summary'!G$128*(1-'Input &amp; Calculation Summary'!G$128)</f>
        <v>10066.285185644867</v>
      </c>
    </row>
    <row r="736" spans="1:8" x14ac:dyDescent="0.3">
      <c r="A736" s="1" t="s">
        <v>312</v>
      </c>
      <c r="B736" s="90" t="s">
        <v>327</v>
      </c>
      <c r="C736" s="90"/>
      <c r="D736" s="108">
        <f>SUM(D731:D735)</f>
        <v>14543.590845233113</v>
      </c>
      <c r="E736" s="108">
        <f>SUM(E731:E735)</f>
        <v>105590.40404522588</v>
      </c>
      <c r="F736" s="108">
        <f>SUM(F731:F735)</f>
        <v>55610.946130485638</v>
      </c>
      <c r="G736" s="108">
        <f>SUM(G731:G735)</f>
        <v>15486.592593299794</v>
      </c>
      <c r="H736" s="108">
        <f>SUM(H731:H735)</f>
        <v>15486.592593299794</v>
      </c>
    </row>
    <row r="737" spans="1:8" x14ac:dyDescent="0.3">
      <c r="B737" s="90"/>
      <c r="C737" s="90"/>
      <c r="D737" s="90"/>
      <c r="E737" s="90"/>
      <c r="F737" s="90"/>
      <c r="G737" s="90"/>
      <c r="H737" s="90"/>
    </row>
    <row r="738" spans="1:8" ht="15.5" x14ac:dyDescent="0.35">
      <c r="A738" s="123" t="s">
        <v>692</v>
      </c>
      <c r="B738" s="90"/>
      <c r="C738" s="90"/>
      <c r="D738" s="90"/>
      <c r="E738" s="90"/>
      <c r="F738" s="90"/>
      <c r="G738" s="90"/>
      <c r="H738" s="90"/>
    </row>
    <row r="739" spans="1:8" x14ac:dyDescent="0.3">
      <c r="A739" s="1" t="s">
        <v>571</v>
      </c>
      <c r="B739" s="90" t="s">
        <v>327</v>
      </c>
      <c r="C739" s="90"/>
      <c r="D739" s="108">
        <f>D731/'Input &amp; Calculation Summary'!C$129</f>
        <v>309.11087067818551</v>
      </c>
      <c r="E739" s="108">
        <f>E731/'Input &amp; Calculation Summary'!D$129</f>
        <v>4193.8846195946489</v>
      </c>
      <c r="F739" s="108">
        <f>F731/'Input &amp; Calculation Summary'!E$129</f>
        <v>2209.6948994232289</v>
      </c>
      <c r="G739" s="108">
        <f>G731/'Input &amp; Calculation Summary'!F$129</f>
        <v>615.8236080800765</v>
      </c>
      <c r="H739" s="108">
        <f>H731/'Input &amp; Calculation Summary'!G$129</f>
        <v>615.8236080800765</v>
      </c>
    </row>
    <row r="740" spans="1:8" x14ac:dyDescent="0.3">
      <c r="A740" s="1" t="s">
        <v>572</v>
      </c>
      <c r="B740" s="90" t="s">
        <v>327</v>
      </c>
      <c r="C740" s="90"/>
      <c r="D740" s="108">
        <f>D732/'Input &amp; Calculation Summary'!C$129</f>
        <v>137.36061625461511</v>
      </c>
      <c r="E740" s="108">
        <f>E732/'Input &amp; Calculation Summary'!D$129</f>
        <v>1863.650329036868</v>
      </c>
      <c r="F740" s="108">
        <f>F732/'Input &amp; Calculation Summary'!E$129</f>
        <v>981.9294043380753</v>
      </c>
      <c r="G740" s="108">
        <f>G732/'Input &amp; Calculation Summary'!F$129</f>
        <v>273.65556612237771</v>
      </c>
      <c r="H740" s="108">
        <f>H732/'Input &amp; Calculation Summary'!G$129</f>
        <v>273.65556612237771</v>
      </c>
    </row>
    <row r="741" spans="1:8" x14ac:dyDescent="0.3">
      <c r="A741" s="1" t="s">
        <v>565</v>
      </c>
      <c r="B741" s="90" t="s">
        <v>327</v>
      </c>
      <c r="C741" s="90"/>
      <c r="D741" s="108">
        <f>D733/'Input &amp; Calculation Summary'!C$129+(D$117/'Input &amp; Calculation Summary'!C$129)</f>
        <v>4651.8762502304171</v>
      </c>
      <c r="E741" s="108">
        <f>E733/'Input &amp; Calculation Summary'!D$129+(E$117/'Input &amp; Calculation Summary'!D$129)</f>
        <v>30929.066045351519</v>
      </c>
      <c r="F741" s="108">
        <f>F733/'Input &amp; Calculation Summary'!E$129+(F$117/'Input &amp; Calculation Summary'!E$129)</f>
        <v>16288.646835144116</v>
      </c>
      <c r="G741" s="108">
        <f>G733/'Input &amp; Calculation Summary'!F$129+(G$117/'Input &amp; Calculation Summary'!F$129)</f>
        <v>4535.7426624499722</v>
      </c>
      <c r="H741" s="108">
        <f>H733/'Input &amp; Calculation Summary'!G$129+(H$117/'Input &amp; Calculation Summary'!G$129)</f>
        <v>4535.7426624499722</v>
      </c>
    </row>
    <row r="742" spans="1:8" x14ac:dyDescent="0.3">
      <c r="A742" s="1" t="s">
        <v>656</v>
      </c>
      <c r="B742" s="90" t="s">
        <v>327</v>
      </c>
      <c r="C742" s="90"/>
      <c r="D742" s="108">
        <f>D734/'Input &amp; Calculation Summary'!C$129+(D$116/'Input &amp; Calculation Summary'!C$129)</f>
        <v>215.10498932436221</v>
      </c>
      <c r="E742" s="108">
        <f>E734/'Input &amp; Calculation Summary'!D$129+(E$116/'Input &amp; Calculation Summary'!D$129)</f>
        <v>1590.5032600824793</v>
      </c>
      <c r="F742" s="108">
        <f>F734/'Input &amp; Calculation Summary'!E$129+(F$116/'Input &amp; Calculation Summary'!E$129)</f>
        <v>837.00376823575277</v>
      </c>
      <c r="G742" s="108">
        <f>G734/'Input &amp; Calculation Summary'!F$129+(G$116/'Input &amp; Calculation Summary'!F$129)</f>
        <v>232.7534539438478</v>
      </c>
      <c r="H742" s="108">
        <f>H734/'Input &amp; Calculation Summary'!G$129+(H$116/'Input &amp; Calculation Summary'!G$129)</f>
        <v>232.7534539438478</v>
      </c>
    </row>
    <row r="743" spans="1:8" x14ac:dyDescent="0.3">
      <c r="A743" s="1" t="s">
        <v>534</v>
      </c>
      <c r="B743" s="90" t="s">
        <v>327</v>
      </c>
      <c r="C743" s="90"/>
      <c r="D743" s="108">
        <f>D735/'Input &amp; Calculation Summary'!C$129+(D$118/'Input &amp; Calculation Summary'!C$129)</f>
        <v>9974.1245542655015</v>
      </c>
      <c r="E743" s="108">
        <f>E735/'Input &amp; Calculation Summary'!D$129+(E$118/'Input &amp; Calculation Summary'!D$129)</f>
        <v>72414.842585281891</v>
      </c>
      <c r="F743" s="108">
        <f>F735/'Input &amp; Calculation Summary'!E$129+(F$118/'Input &amp; Calculation Summary'!E$129)</f>
        <v>38138.483761581803</v>
      </c>
      <c r="G743" s="108">
        <f>G735/'Input &amp; Calculation Summary'!F$129+(G$118/'Input &amp; Calculation Summary'!F$129)</f>
        <v>10620.843579174678</v>
      </c>
      <c r="H743" s="108">
        <f>H735/'Input &amp; Calculation Summary'!G$129+(H$118/'Input &amp; Calculation Summary'!G$129)</f>
        <v>10620.843579174678</v>
      </c>
    </row>
    <row r="744" spans="1:8" x14ac:dyDescent="0.3">
      <c r="A744" s="1" t="s">
        <v>312</v>
      </c>
      <c r="B744" s="90" t="s">
        <v>327</v>
      </c>
      <c r="C744" s="90"/>
      <c r="D744" s="108">
        <f>SUM(D739:D743)</f>
        <v>15287.577280753081</v>
      </c>
      <c r="E744" s="108">
        <f>SUM(E739:E743)</f>
        <v>110991.94683934741</v>
      </c>
      <c r="F744" s="108">
        <f>SUM(F739:F743)</f>
        <v>58455.758668722978</v>
      </c>
      <c r="G744" s="108">
        <f>SUM(G739:G743)</f>
        <v>16278.818869770952</v>
      </c>
      <c r="H744" s="108">
        <f>SUM(H739:H743)</f>
        <v>16278.818869770952</v>
      </c>
    </row>
    <row r="745" spans="1:8" x14ac:dyDescent="0.3">
      <c r="B745" s="90"/>
      <c r="C745" s="90"/>
      <c r="D745" s="90"/>
      <c r="E745" s="90"/>
      <c r="F745" s="90"/>
      <c r="G745" s="90"/>
      <c r="H745" s="90"/>
    </row>
    <row r="746" spans="1:8" ht="15.5" x14ac:dyDescent="0.35">
      <c r="A746" s="123" t="s">
        <v>682</v>
      </c>
      <c r="B746" s="90"/>
      <c r="C746" s="90"/>
      <c r="D746" s="90"/>
      <c r="E746" s="90"/>
      <c r="F746" s="90"/>
      <c r="G746" s="90"/>
      <c r="H746" s="90"/>
    </row>
    <row r="747" spans="1:8" x14ac:dyDescent="0.3">
      <c r="A747" s="1" t="s">
        <v>571</v>
      </c>
      <c r="B747" s="90" t="s">
        <v>327</v>
      </c>
      <c r="C747" s="90"/>
      <c r="D747" s="108">
        <f>D739+D$363</f>
        <v>520.12081034957055</v>
      </c>
      <c r="E747" s="108">
        <f>E739+E$363</f>
        <v>5725.8738665805877</v>
      </c>
      <c r="F747" s="108">
        <f>F739+F$363</f>
        <v>3016.5425695024896</v>
      </c>
      <c r="G747" s="108">
        <f>G739+G$363</f>
        <v>840.51536430468082</v>
      </c>
      <c r="H747" s="108">
        <f>H739+H$363</f>
        <v>840.51536430468082</v>
      </c>
    </row>
    <row r="748" spans="1:8" x14ac:dyDescent="0.3">
      <c r="A748" s="1" t="s">
        <v>572</v>
      </c>
      <c r="B748" s="90" t="s">
        <v>327</v>
      </c>
      <c r="C748" s="90"/>
      <c r="D748" s="108">
        <f>D740+D$374</f>
        <v>231.12779851358601</v>
      </c>
      <c r="E748" s="108">
        <f>E740+E$374</f>
        <v>2544.4254392739831</v>
      </c>
      <c r="F748" s="108">
        <f>F740+F$374</f>
        <v>1340.470962396289</v>
      </c>
      <c r="G748" s="108">
        <f>G740+G$374</f>
        <v>373.50258229048791</v>
      </c>
      <c r="H748" s="108">
        <f>H740+H$374</f>
        <v>373.50258229048791</v>
      </c>
    </row>
    <row r="749" spans="1:8" x14ac:dyDescent="0.3">
      <c r="A749" s="1" t="s">
        <v>565</v>
      </c>
      <c r="B749" s="90" t="s">
        <v>327</v>
      </c>
      <c r="C749" s="90"/>
      <c r="D749" s="108">
        <f>D741+D$50+(D$32/HCl_MolWt*CaCl2_MolWt/2/'Input &amp; Calculation Summary'!C$129)</f>
        <v>8517.452790230418</v>
      </c>
      <c r="E749" s="108">
        <f>E741+E$50+(E$32/HCl_MolWt*CaCl2_MolWt/2/'Input &amp; Calculation Summary'!D$129)</f>
        <v>44734.30765435152</v>
      </c>
      <c r="F749" s="108">
        <f>F741+F$50+(F$32/HCl_MolWt*CaCl2_MolWt/2/'Input &amp; Calculation Summary'!E$129)</f>
        <v>23559.407415884118</v>
      </c>
      <c r="G749" s="108">
        <f>G741+G$50+(G$32/HCl_MolWt*CaCl2_MolWt/2/'Input &amp; Calculation Summary'!F$129)</f>
        <v>6560.5114317699727</v>
      </c>
      <c r="H749" s="108">
        <f>H741+H$50+(H$32/HCl_MolWt*CaCl2_MolWt/2/'Input &amp; Calculation Summary'!G$129)</f>
        <v>6560.5114317699727</v>
      </c>
    </row>
    <row r="750" spans="1:8" x14ac:dyDescent="0.3">
      <c r="A750" s="1" t="s">
        <v>656</v>
      </c>
      <c r="B750" s="90" t="s">
        <v>327</v>
      </c>
      <c r="C750" s="90"/>
      <c r="D750" s="108">
        <f>D742-(D$361+D$370)-(D$32/HCl_MolWt*Ca_OH_2_MolWt/2/'Input &amp; Calculation Summary'!C$129)</f>
        <v>53.693397812283393</v>
      </c>
      <c r="E750" s="108">
        <f>E742-(E$361+E$370)-(E$32/HCl_MolWt*Ca_OH_2_MolWt/2/'Input &amp; Calculation Summary'!D$129)</f>
        <v>418.61143868064005</v>
      </c>
      <c r="F750" s="108">
        <f>F742-(F$361+F$370)-(F$32/HCl_MolWt*Ca_OH_2_MolWt/2/'Input &amp; Calculation Summary'!E$129)</f>
        <v>219.8074089641176</v>
      </c>
      <c r="G750" s="108">
        <f>G742-(G$361+G$370)-(G$32/HCl_MolWt*Ca_OH_2_MolWt/2/'Input &amp; Calculation Summary'!F$129)</f>
        <v>60.875986804911378</v>
      </c>
      <c r="H750" s="108">
        <f>H742-(H$361+H$370)-(H$32/HCl_MolWt*Ca_OH_2_MolWt/2/'Input &amp; Calculation Summary'!G$129)</f>
        <v>60.875986804911378</v>
      </c>
    </row>
    <row r="751" spans="1:8" x14ac:dyDescent="0.3">
      <c r="A751" s="1" t="s">
        <v>534</v>
      </c>
      <c r="B751" s="90" t="s">
        <v>327</v>
      </c>
      <c r="C751" s="90"/>
      <c r="D751" s="90" t="s">
        <v>687</v>
      </c>
      <c r="E751" s="90" t="s">
        <v>687</v>
      </c>
      <c r="F751" s="90" t="s">
        <v>687</v>
      </c>
      <c r="G751" s="90" t="s">
        <v>687</v>
      </c>
      <c r="H751" s="90" t="s">
        <v>687</v>
      </c>
    </row>
    <row r="752" spans="1:8" x14ac:dyDescent="0.3">
      <c r="A752" s="1" t="s">
        <v>312</v>
      </c>
      <c r="B752" s="90" t="s">
        <v>327</v>
      </c>
      <c r="C752" s="90"/>
      <c r="D752" s="108">
        <f>SUM(D747:D750)</f>
        <v>9322.3947969058572</v>
      </c>
      <c r="E752" s="108">
        <f>SUM(E747:E750)</f>
        <v>53423.218398886725</v>
      </c>
      <c r="F752" s="108">
        <f>SUM(F747:F750)</f>
        <v>28136.228356747011</v>
      </c>
      <c r="G752" s="108">
        <f>SUM(G747:G750)</f>
        <v>7835.4053651700524</v>
      </c>
      <c r="H752" s="108">
        <f>SUM(H747:H750)</f>
        <v>7835.4053651700524</v>
      </c>
    </row>
    <row r="753" spans="1:8" x14ac:dyDescent="0.3">
      <c r="B753" s="90"/>
      <c r="C753" s="90"/>
      <c r="D753" s="90"/>
      <c r="E753" s="90"/>
      <c r="F753" s="90"/>
      <c r="G753" s="90"/>
      <c r="H753" s="90"/>
    </row>
    <row r="754" spans="1:8" ht="15.5" x14ac:dyDescent="0.35">
      <c r="A754" s="123" t="s">
        <v>693</v>
      </c>
      <c r="B754" s="90"/>
      <c r="C754" s="90"/>
      <c r="D754" s="90"/>
      <c r="E754" s="90"/>
      <c r="F754" s="90"/>
      <c r="G754" s="90"/>
      <c r="H754" s="90"/>
    </row>
    <row r="755" spans="1:8" x14ac:dyDescent="0.3">
      <c r="A755" s="1" t="s">
        <v>571</v>
      </c>
      <c r="B755" s="90" t="s">
        <v>327</v>
      </c>
      <c r="C755" s="90"/>
      <c r="D755" s="108">
        <f>D747*0.1</f>
        <v>52.012081034957056</v>
      </c>
      <c r="E755" s="108">
        <f>E747*0.1</f>
        <v>572.58738665805879</v>
      </c>
      <c r="F755" s="108">
        <f>F747*0.1</f>
        <v>301.65425695024896</v>
      </c>
      <c r="G755" s="108">
        <f>G747*0.1</f>
        <v>84.05153643046809</v>
      </c>
      <c r="H755" s="108">
        <f>H747*0.1</f>
        <v>84.05153643046809</v>
      </c>
    </row>
    <row r="756" spans="1:8" x14ac:dyDescent="0.3">
      <c r="A756" s="1" t="s">
        <v>572</v>
      </c>
      <c r="B756" s="90" t="s">
        <v>327</v>
      </c>
      <c r="C756" s="90"/>
      <c r="D756" s="108">
        <f t="shared" ref="D756:H758" si="22">D748*0.1</f>
        <v>23.112779851358603</v>
      </c>
      <c r="E756" s="108">
        <f t="shared" si="22"/>
        <v>254.44254392739833</v>
      </c>
      <c r="F756" s="108">
        <f t="shared" si="22"/>
        <v>134.0470962396289</v>
      </c>
      <c r="G756" s="108">
        <f t="shared" si="22"/>
        <v>37.350258229048791</v>
      </c>
      <c r="H756" s="108">
        <f t="shared" si="22"/>
        <v>37.350258229048791</v>
      </c>
    </row>
    <row r="757" spans="1:8" x14ac:dyDescent="0.3">
      <c r="A757" s="1" t="s">
        <v>565</v>
      </c>
      <c r="B757" s="90" t="s">
        <v>327</v>
      </c>
      <c r="C757" s="90"/>
      <c r="D757" s="108">
        <f t="shared" si="22"/>
        <v>851.7452790230418</v>
      </c>
      <c r="E757" s="108">
        <f t="shared" si="22"/>
        <v>4473.4307654351524</v>
      </c>
      <c r="F757" s="108">
        <f t="shared" si="22"/>
        <v>2355.940741588412</v>
      </c>
      <c r="G757" s="108">
        <f t="shared" si="22"/>
        <v>656.05114317699736</v>
      </c>
      <c r="H757" s="108">
        <f t="shared" si="22"/>
        <v>656.05114317699736</v>
      </c>
    </row>
    <row r="758" spans="1:8" x14ac:dyDescent="0.3">
      <c r="A758" s="1" t="s">
        <v>656</v>
      </c>
      <c r="B758" s="90" t="s">
        <v>327</v>
      </c>
      <c r="C758" s="90"/>
      <c r="D758" s="108">
        <f t="shared" si="22"/>
        <v>5.3693397812283399</v>
      </c>
      <c r="E758" s="108">
        <f t="shared" si="22"/>
        <v>41.861143868064005</v>
      </c>
      <c r="F758" s="108">
        <f t="shared" si="22"/>
        <v>21.98074089641176</v>
      </c>
      <c r="G758" s="108">
        <f t="shared" si="22"/>
        <v>6.0875986804911379</v>
      </c>
      <c r="H758" s="108">
        <f t="shared" si="22"/>
        <v>6.0875986804911379</v>
      </c>
    </row>
    <row r="759" spans="1:8" x14ac:dyDescent="0.3">
      <c r="A759" s="1" t="s">
        <v>534</v>
      </c>
      <c r="B759" s="90" t="s">
        <v>327</v>
      </c>
      <c r="C759" s="90"/>
      <c r="D759" s="108">
        <f>SUM(D755:D758)*0.02/0.98</f>
        <v>19.025295503889506</v>
      </c>
      <c r="E759" s="108">
        <f>SUM(E755:E758)*0.02/0.98</f>
        <v>109.02697632425864</v>
      </c>
      <c r="F759" s="108">
        <f>SUM(F755:F758)*0.02/0.98</f>
        <v>57.420874197442892</v>
      </c>
      <c r="G759" s="108">
        <f>SUM(G755:G758)*0.02/0.98</f>
        <v>15.990623194224602</v>
      </c>
      <c r="H759" s="108">
        <f>SUM(H755:H758)*0.02/0.98</f>
        <v>15.990623194224602</v>
      </c>
    </row>
    <row r="760" spans="1:8" x14ac:dyDescent="0.3">
      <c r="A760" s="1" t="s">
        <v>312</v>
      </c>
      <c r="B760" s="90" t="s">
        <v>327</v>
      </c>
      <c r="C760" s="90"/>
      <c r="D760" s="108">
        <f>SUM(D755:D759)</f>
        <v>951.26477519447531</v>
      </c>
      <c r="E760" s="108">
        <f>SUM(E755:E759)</f>
        <v>5451.3488162129315</v>
      </c>
      <c r="F760" s="108">
        <f>SUM(F755:F759)</f>
        <v>2871.0437098721445</v>
      </c>
      <c r="G760" s="108">
        <f>SUM(G755:G759)</f>
        <v>799.53115971122998</v>
      </c>
      <c r="H760" s="108">
        <f>SUM(H755:H759)</f>
        <v>799.53115971122998</v>
      </c>
    </row>
    <row r="761" spans="1:8" x14ac:dyDescent="0.3">
      <c r="B761" s="90"/>
      <c r="C761" s="90"/>
      <c r="D761" s="90"/>
      <c r="E761" s="90"/>
      <c r="F761" s="90"/>
      <c r="G761" s="90"/>
      <c r="H761" s="90"/>
    </row>
    <row r="762" spans="1:8" ht="15.5" x14ac:dyDescent="0.35">
      <c r="A762" s="123" t="s">
        <v>684</v>
      </c>
      <c r="B762" s="90"/>
      <c r="C762" s="90"/>
      <c r="D762" s="90"/>
      <c r="E762" s="90"/>
      <c r="F762" s="90"/>
      <c r="G762" s="90"/>
      <c r="H762" s="90"/>
    </row>
    <row r="763" spans="1:8" x14ac:dyDescent="0.3">
      <c r="A763" s="1" t="s">
        <v>571</v>
      </c>
      <c r="B763" s="90" t="s">
        <v>327</v>
      </c>
      <c r="C763" s="90"/>
      <c r="D763" s="108">
        <f>(D747-D755)*'Input &amp; Calculation Summary'!C$129+D$385</f>
        <v>520.8612142324597</v>
      </c>
      <c r="E763" s="108">
        <f>(E747-E755)*'Input &amp; Calculation Summary'!D$129+E$385</f>
        <v>5536.2837916690132</v>
      </c>
      <c r="F763" s="108">
        <f>(F747-F755)*'Input &amp; Calculation Summary'!E$129+F$385</f>
        <v>2916.6002300720561</v>
      </c>
      <c r="G763" s="108">
        <f>(G747-G755)*'Input &amp; Calculation Summary'!F$129+G$385</f>
        <v>812.63676693036382</v>
      </c>
      <c r="H763" s="108">
        <f>(H747-H755)*'Input &amp; Calculation Summary'!G$129+H$385</f>
        <v>812.63676693036382</v>
      </c>
    </row>
    <row r="764" spans="1:8" x14ac:dyDescent="0.3">
      <c r="A764" s="1" t="s">
        <v>572</v>
      </c>
      <c r="B764" s="90" t="s">
        <v>327</v>
      </c>
      <c r="C764" s="90"/>
      <c r="D764" s="108">
        <f>(D748-D756)*'Input &amp; Calculation Summary'!C$129+D$396</f>
        <v>231.45681422697015</v>
      </c>
      <c r="E764" s="108">
        <f>(E748-E756)*'Input &amp; Calculation Summary'!D$129+E$396</f>
        <v>2460.1766729058636</v>
      </c>
      <c r="F764" s="108">
        <f>(F748-F756)*'Input &amp; Calculation Summary'!E$129+F$396</f>
        <v>1296.0592556712136</v>
      </c>
      <c r="G764" s="108">
        <f>(G748-G756)*'Input &amp; Calculation Summary'!F$129+G$396</f>
        <v>361.11407810346668</v>
      </c>
      <c r="H764" s="108">
        <f>(H748-H756)*'Input &amp; Calculation Summary'!G$129+H$396</f>
        <v>361.11407810346668</v>
      </c>
    </row>
    <row r="765" spans="1:8" x14ac:dyDescent="0.3">
      <c r="A765" s="1" t="s">
        <v>565</v>
      </c>
      <c r="B765" s="90" t="s">
        <v>327</v>
      </c>
      <c r="C765" s="90"/>
      <c r="D765" s="108">
        <f>(D749-D757)*'Input &amp; Calculation Summary'!C$129</f>
        <v>7665.7075112073762</v>
      </c>
      <c r="E765" s="108">
        <f>(E749-E757)*'Input &amp; Calculation Summary'!D$129</f>
        <v>40260.876888916369</v>
      </c>
      <c r="F765" s="108">
        <f>(F749-F757)*'Input &amp; Calculation Summary'!E$129</f>
        <v>21203.466674295705</v>
      </c>
      <c r="G765" s="108">
        <f>(G749-G757)*'Input &amp; Calculation Summary'!F$129</f>
        <v>5904.4602885929753</v>
      </c>
      <c r="H765" s="108">
        <f>(H749-H757)*'Input &amp; Calculation Summary'!G$129</f>
        <v>5904.4602885929753</v>
      </c>
    </row>
    <row r="766" spans="1:8" x14ac:dyDescent="0.3">
      <c r="A766" s="1" t="s">
        <v>656</v>
      </c>
      <c r="B766" s="90" t="s">
        <v>327</v>
      </c>
      <c r="C766" s="90"/>
      <c r="D766" s="108">
        <f>(D750-D758)*'Input &amp; Calculation Summary'!C$129-(D$383+D$392)</f>
        <v>7.9711601530353491</v>
      </c>
      <c r="E766" s="108">
        <f>(E750-E758)*'Input &amp; Calculation Summary'!D$129-(E$383+E$392)</f>
        <v>83.777339462116231</v>
      </c>
      <c r="F766" s="108">
        <f>(F750-F758)*'Input &amp; Calculation Summary'!E$129-(F$383+F$392)</f>
        <v>43.527578249797045</v>
      </c>
      <c r="G766" s="108">
        <f>(G750-G758)*'Input &amp; Calculation Summary'!F$129-(G$383+G$392)</f>
        <v>11.819021339686131</v>
      </c>
      <c r="H766" s="108">
        <f>(H750-H758)*'Input &amp; Calculation Summary'!G$129-(H$383+H$392)</f>
        <v>11.819021339686131</v>
      </c>
    </row>
    <row r="767" spans="1:8" x14ac:dyDescent="0.3">
      <c r="A767" s="1" t="s">
        <v>534</v>
      </c>
      <c r="B767" s="90" t="s">
        <v>327</v>
      </c>
      <c r="C767" s="90"/>
      <c r="D767" s="108"/>
      <c r="E767" s="108"/>
      <c r="F767" s="108"/>
      <c r="G767" s="108"/>
      <c r="H767" s="108"/>
    </row>
    <row r="768" spans="1:8" x14ac:dyDescent="0.3">
      <c r="A768" s="1" t="s">
        <v>312</v>
      </c>
      <c r="B768" s="90" t="s">
        <v>327</v>
      </c>
      <c r="C768" s="90"/>
      <c r="D768" s="108">
        <f>SUM(D763:D766)</f>
        <v>8425.9966998198415</v>
      </c>
      <c r="E768" s="108">
        <f>SUM(E763:E766)</f>
        <v>48341.114692953364</v>
      </c>
      <c r="F768" s="108">
        <f>SUM(F763:F766)</f>
        <v>25459.653738288773</v>
      </c>
      <c r="G768" s="108">
        <f>SUM(G763:G766)</f>
        <v>7090.0301549664928</v>
      </c>
      <c r="H768" s="108">
        <f>SUM(H763:H766)</f>
        <v>7090.0301549664928</v>
      </c>
    </row>
    <row r="769" spans="1:8" x14ac:dyDescent="0.3">
      <c r="A769" s="1" t="s">
        <v>571</v>
      </c>
      <c r="B769" s="90" t="s">
        <v>694</v>
      </c>
      <c r="C769" s="90"/>
      <c r="D769" s="215">
        <f>D763/(D768-D767)</f>
        <v>6.1815976529351876E-2</v>
      </c>
      <c r="E769" s="215">
        <f>E763/(E768-E767)</f>
        <v>0.11452536473007793</v>
      </c>
      <c r="F769" s="215">
        <f>F763/(F768-F767)</f>
        <v>0.11455773358322549</v>
      </c>
      <c r="G769" s="215">
        <f>G763/(G768-G767)</f>
        <v>0.11461682802027578</v>
      </c>
      <c r="H769" s="215">
        <f>H763/(H768-H767)</f>
        <v>0.11461682802027578</v>
      </c>
    </row>
    <row r="770" spans="1:8" x14ac:dyDescent="0.3">
      <c r="A770" s="1" t="s">
        <v>572</v>
      </c>
      <c r="B770" s="90" t="s">
        <v>694</v>
      </c>
      <c r="C770" s="90"/>
      <c r="D770" s="215">
        <f>D764/(D768-D767)</f>
        <v>2.746936920019432E-2</v>
      </c>
      <c r="E770" s="215">
        <f>E764/(E768-E767)</f>
        <v>5.0892013734728403E-2</v>
      </c>
      <c r="F770" s="215">
        <f>F764/(F768-F767)</f>
        <v>5.090639758867066E-2</v>
      </c>
      <c r="G770" s="215">
        <f>G764/(G768-G767)</f>
        <v>5.0932657578403949E-2</v>
      </c>
      <c r="H770" s="215">
        <f>H764/(H768-H767)</f>
        <v>5.0932657578403949E-2</v>
      </c>
    </row>
    <row r="771" spans="1:8" x14ac:dyDescent="0.3">
      <c r="A771" s="1" t="s">
        <v>565</v>
      </c>
      <c r="B771" s="90" t="s">
        <v>694</v>
      </c>
      <c r="C771" s="90"/>
      <c r="D771" s="215">
        <f>D765/(D768-D767)</f>
        <v>0.90976863441820233</v>
      </c>
      <c r="E771" s="215">
        <f>E765/(E768-E767)</f>
        <v>0.83284957627973677</v>
      </c>
      <c r="F771" s="215">
        <f>F765/(F768-F767)</f>
        <v>0.83282619992619189</v>
      </c>
      <c r="G771" s="215">
        <f>G765/(G768-G767)</f>
        <v>0.83278352271279998</v>
      </c>
      <c r="H771" s="215">
        <f>H765/(H768-H767)</f>
        <v>0.83278352271279998</v>
      </c>
    </row>
    <row r="772" spans="1:8" x14ac:dyDescent="0.3">
      <c r="A772" s="1" t="s">
        <v>656</v>
      </c>
      <c r="B772" s="90" t="s">
        <v>694</v>
      </c>
      <c r="C772" s="90"/>
      <c r="D772" s="215">
        <f>D766/(D768-D767)</f>
        <v>9.4601985225151847E-4</v>
      </c>
      <c r="E772" s="215">
        <f>E766/(E768-E767)</f>
        <v>1.7330452554568082E-3</v>
      </c>
      <c r="F772" s="215">
        <f>F766/(F768-F767)</f>
        <v>1.7096689019118873E-3</v>
      </c>
      <c r="G772" s="215">
        <f>G766/(G768-G767)</f>
        <v>1.6669916885201158E-3</v>
      </c>
      <c r="H772" s="215">
        <f>H766/(H768-H767)</f>
        <v>1.6669916885201158E-3</v>
      </c>
    </row>
    <row r="773" spans="1:8" x14ac:dyDescent="0.3">
      <c r="A773" s="1" t="s">
        <v>534</v>
      </c>
      <c r="B773" s="90" t="s">
        <v>694</v>
      </c>
      <c r="C773" s="90"/>
      <c r="D773" s="215"/>
      <c r="E773" s="215"/>
      <c r="F773" s="215"/>
      <c r="G773" s="215"/>
      <c r="H773" s="215"/>
    </row>
    <row r="774" spans="1:8" x14ac:dyDescent="0.3">
      <c r="A774" s="1" t="s">
        <v>312</v>
      </c>
      <c r="B774" s="90" t="s">
        <v>694</v>
      </c>
      <c r="C774" s="90"/>
      <c r="D774" s="215">
        <f>SUM(D769:D772)</f>
        <v>1</v>
      </c>
      <c r="E774" s="215">
        <f>SUM(E769:E772)</f>
        <v>0.99999999999999989</v>
      </c>
      <c r="F774" s="215">
        <f>SUM(F769:F772)</f>
        <v>1</v>
      </c>
      <c r="G774" s="215">
        <f>SUM(G769:G772)</f>
        <v>0.99999999999999989</v>
      </c>
      <c r="H774" s="215">
        <f>SUM(H769:H772)</f>
        <v>0.99999999999999989</v>
      </c>
    </row>
    <row r="775" spans="1:8" x14ac:dyDescent="0.3">
      <c r="B775" s="90"/>
      <c r="C775" s="90"/>
      <c r="D775" s="90"/>
      <c r="E775" s="90"/>
      <c r="F775" s="90"/>
      <c r="G775" s="90"/>
      <c r="H775" s="90"/>
    </row>
    <row r="776" spans="1:8" ht="15.5" x14ac:dyDescent="0.35">
      <c r="A776" s="123" t="s">
        <v>666</v>
      </c>
      <c r="B776" s="90"/>
      <c r="C776" s="90"/>
      <c r="D776" s="90"/>
      <c r="E776" s="90"/>
      <c r="F776" s="90"/>
      <c r="G776" s="90"/>
      <c r="H776" s="90"/>
    </row>
    <row r="777" spans="1:8" x14ac:dyDescent="0.3">
      <c r="A777" s="1" t="s">
        <v>571</v>
      </c>
      <c r="B777" s="90" t="s">
        <v>327</v>
      </c>
      <c r="C777" s="90"/>
      <c r="D777" s="108">
        <f>D769*(D782-D781)</f>
        <v>262.90763719919607</v>
      </c>
      <c r="E777" s="108">
        <f>E769*(E782-E781)</f>
        <v>1909.5440076573677</v>
      </c>
      <c r="F777" s="108">
        <f>F769*(F782-F781)</f>
        <v>1005.9774212526786</v>
      </c>
      <c r="G777" s="108">
        <f>G769*(G782-G781)</f>
        <v>280.29012367990009</v>
      </c>
      <c r="H777" s="108">
        <f>H769*(H782-H781)</f>
        <v>280.29012367990009</v>
      </c>
    </row>
    <row r="778" spans="1:8" x14ac:dyDescent="0.3">
      <c r="A778" s="1" t="s">
        <v>572</v>
      </c>
      <c r="B778" s="90" t="s">
        <v>327</v>
      </c>
      <c r="C778" s="90"/>
      <c r="D778" s="108">
        <f>D770*(D782-D781)</f>
        <v>116.8291331343169</v>
      </c>
      <c r="E778" s="108">
        <f>E770*(E782-E781)</f>
        <v>848.55036343965855</v>
      </c>
      <c r="F778" s="108">
        <f>F770*(F782-F781)</f>
        <v>447.02950180408584</v>
      </c>
      <c r="G778" s="108">
        <f>G770*(G782-G781)</f>
        <v>124.55344593440873</v>
      </c>
      <c r="H778" s="108">
        <f>H770*(H782-H781)</f>
        <v>124.55344593440873</v>
      </c>
    </row>
    <row r="779" spans="1:8" x14ac:dyDescent="0.3">
      <c r="A779" s="1" t="s">
        <v>565</v>
      </c>
      <c r="B779" s="90" t="s">
        <v>327</v>
      </c>
      <c r="C779" s="90"/>
      <c r="D779" s="108">
        <f>D771*(D782-D781)</f>
        <v>3869.3091252753616</v>
      </c>
      <c r="E779" s="108">
        <f>E771*(E782-E781)</f>
        <v>13886.556235059694</v>
      </c>
      <c r="F779" s="108">
        <f>F771*(F782-F781)</f>
        <v>7313.3810066586075</v>
      </c>
      <c r="G779" s="108">
        <f>G771*(G782-G781)</f>
        <v>2036.5333835487165</v>
      </c>
      <c r="H779" s="108">
        <f>H771*(H782-H781)</f>
        <v>2036.5333835487165</v>
      </c>
    </row>
    <row r="780" spans="1:8" x14ac:dyDescent="0.3">
      <c r="A780" s="1" t="s">
        <v>656</v>
      </c>
      <c r="B780" s="90" t="s">
        <v>327</v>
      </c>
      <c r="C780" s="90"/>
      <c r="D780" s="108">
        <f>D772*(D782-D781)</f>
        <v>4.0234880699633111</v>
      </c>
      <c r="E780" s="108">
        <f>E772*(E782-E781)</f>
        <v>28.896010856252246</v>
      </c>
      <c r="F780" s="108">
        <f>F772*(F782-F781)</f>
        <v>15.013288578127558</v>
      </c>
      <c r="G780" s="108">
        <f>G772*(G782-G781)</f>
        <v>4.0765506655446222</v>
      </c>
      <c r="H780" s="108">
        <f>H772*(H782-H781)</f>
        <v>4.0765506655446222</v>
      </c>
    </row>
    <row r="781" spans="1:8" x14ac:dyDescent="0.3">
      <c r="A781" s="1" t="s">
        <v>534</v>
      </c>
      <c r="B781" s="90" t="s">
        <v>327</v>
      </c>
      <c r="C781" s="90"/>
      <c r="D781" s="108">
        <f>D782*0.02</f>
        <v>86.797334360792618</v>
      </c>
      <c r="E781" s="108">
        <f>E782*0.02</f>
        <v>340.27646157169335</v>
      </c>
      <c r="F781" s="108">
        <f>F782*0.02</f>
        <v>179.21226976109185</v>
      </c>
      <c r="G781" s="108">
        <f>G782*0.02</f>
        <v>49.907214363848368</v>
      </c>
      <c r="H781" s="108">
        <f>H782*0.02</f>
        <v>49.907214363848368</v>
      </c>
    </row>
    <row r="782" spans="1:8" x14ac:dyDescent="0.3">
      <c r="A782" s="1" t="s">
        <v>312</v>
      </c>
      <c r="B782" s="90" t="s">
        <v>327</v>
      </c>
      <c r="C782" s="90"/>
      <c r="D782" s="108">
        <f>D$458</f>
        <v>4339.8667180396305</v>
      </c>
      <c r="E782" s="108">
        <f>E$458</f>
        <v>17013.823078584668</v>
      </c>
      <c r="F782" s="108">
        <f>F$458</f>
        <v>8960.6134880545924</v>
      </c>
      <c r="G782" s="108">
        <f>G$458</f>
        <v>2495.3607181924185</v>
      </c>
      <c r="H782" s="108">
        <f>H$458</f>
        <v>2495.3607181924185</v>
      </c>
    </row>
    <row r="783" spans="1:8" x14ac:dyDescent="0.3">
      <c r="B783" s="90"/>
      <c r="C783" s="90"/>
      <c r="D783" s="90"/>
      <c r="E783" s="90"/>
      <c r="F783" s="90"/>
      <c r="G783" s="90"/>
      <c r="H783" s="90"/>
    </row>
    <row r="784" spans="1:8" ht="15.5" x14ac:dyDescent="0.35">
      <c r="A784" s="123" t="s">
        <v>695</v>
      </c>
      <c r="B784" s="90"/>
      <c r="C784" s="90"/>
      <c r="D784" s="90"/>
      <c r="E784" s="90"/>
      <c r="F784" s="90"/>
      <c r="G784" s="90"/>
      <c r="H784" s="90"/>
    </row>
    <row r="785" spans="1:8" x14ac:dyDescent="0.3">
      <c r="A785" s="1" t="s">
        <v>571</v>
      </c>
      <c r="B785" s="90" t="s">
        <v>327</v>
      </c>
      <c r="C785" s="90"/>
      <c r="D785" s="208">
        <f>D769*D790</f>
        <v>0.92167621005263645</v>
      </c>
      <c r="E785" s="208">
        <f>E769*E790</f>
        <v>6.0983038838295549</v>
      </c>
      <c r="F785" s="208">
        <f>F769*F790</f>
        <v>3.2126811377320279</v>
      </c>
      <c r="G785" s="208">
        <f>G769*G790</f>
        <v>0.89513221113618946</v>
      </c>
      <c r="H785" s="208">
        <f>H769*H790</f>
        <v>0.89513221113618946</v>
      </c>
    </row>
    <row r="786" spans="1:8" x14ac:dyDescent="0.3">
      <c r="A786" s="1" t="s">
        <v>572</v>
      </c>
      <c r="B786" s="90" t="s">
        <v>327</v>
      </c>
      <c r="C786" s="90"/>
      <c r="D786" s="208">
        <f>D770*D790</f>
        <v>0.40956829477489731</v>
      </c>
      <c r="E786" s="208">
        <f>E770*E790</f>
        <v>2.7099233933536855</v>
      </c>
      <c r="F786" s="208">
        <f>F770*F790</f>
        <v>1.4276297043201736</v>
      </c>
      <c r="G786" s="208">
        <f>G770*G790</f>
        <v>0.39777285050266759</v>
      </c>
      <c r="H786" s="208">
        <f>H770*H790</f>
        <v>0.39777285050266759</v>
      </c>
    </row>
    <row r="787" spans="1:8" x14ac:dyDescent="0.3">
      <c r="A787" s="1" t="s">
        <v>565</v>
      </c>
      <c r="B787" s="90" t="s">
        <v>327</v>
      </c>
      <c r="C787" s="90"/>
      <c r="D787" s="208">
        <f>D771*D790</f>
        <v>13.564650339175397</v>
      </c>
      <c r="E787" s="208">
        <f>E771*E790</f>
        <v>44.347990662531565</v>
      </c>
      <c r="F787" s="208">
        <f>F771*F790</f>
        <v>23.35595284423211</v>
      </c>
      <c r="G787" s="208">
        <f>G771*G790</f>
        <v>6.503856100011971</v>
      </c>
      <c r="H787" s="208">
        <f>H771*H790</f>
        <v>6.503856100011971</v>
      </c>
    </row>
    <row r="788" spans="1:8" x14ac:dyDescent="0.3">
      <c r="A788" s="1" t="s">
        <v>656</v>
      </c>
      <c r="B788" s="90" t="s">
        <v>327</v>
      </c>
      <c r="C788" s="90"/>
      <c r="D788" s="208">
        <f>D772*D790</f>
        <v>1.4105155997070141E-2</v>
      </c>
      <c r="E788" s="208">
        <f>E772*E790</f>
        <v>9.2282060285191855E-2</v>
      </c>
      <c r="F788" s="208">
        <f>F772*F790</f>
        <v>4.7946313715686369E-2</v>
      </c>
      <c r="G788" s="208">
        <f>G772*G790</f>
        <v>1.301883834917063E-2</v>
      </c>
      <c r="H788" s="208">
        <f>H772*H790</f>
        <v>1.301883834917063E-2</v>
      </c>
    </row>
    <row r="789" spans="1:8" x14ac:dyDescent="0.3">
      <c r="A789" s="1" t="s">
        <v>534</v>
      </c>
      <c r="B789" s="90" t="s">
        <v>327</v>
      </c>
      <c r="C789" s="90"/>
      <c r="D789" s="90"/>
      <c r="E789" s="90"/>
      <c r="F789" s="90"/>
      <c r="G789" s="90"/>
      <c r="H789" s="90"/>
    </row>
    <row r="790" spans="1:8" x14ac:dyDescent="0.3">
      <c r="A790" s="1" t="s">
        <v>312</v>
      </c>
      <c r="B790" s="90" t="s">
        <v>327</v>
      </c>
      <c r="C790" s="90"/>
      <c r="D790" s="108">
        <f>D$80</f>
        <v>14.91</v>
      </c>
      <c r="E790" s="108">
        <f>E$80</f>
        <v>53.2485</v>
      </c>
      <c r="F790" s="108">
        <f>F$80</f>
        <v>28.04421</v>
      </c>
      <c r="G790" s="108">
        <f>G$80</f>
        <v>7.8097799999999999</v>
      </c>
      <c r="H790" s="108">
        <f>H$80</f>
        <v>7.8097799999999999</v>
      </c>
    </row>
    <row r="791" spans="1:8" x14ac:dyDescent="0.3">
      <c r="B791" s="90"/>
      <c r="C791" s="90"/>
      <c r="D791" s="90"/>
      <c r="E791" s="90"/>
      <c r="F791" s="90"/>
      <c r="G791" s="90"/>
      <c r="H791" s="90"/>
    </row>
    <row r="792" spans="1:8" ht="15.5" x14ac:dyDescent="0.35">
      <c r="A792" s="123" t="s">
        <v>696</v>
      </c>
      <c r="B792" s="90"/>
      <c r="C792" s="90"/>
      <c r="D792" s="90"/>
      <c r="E792" s="90"/>
      <c r="F792" s="90"/>
      <c r="G792" s="90"/>
      <c r="H792" s="90"/>
    </row>
    <row r="793" spans="1:8" x14ac:dyDescent="0.3">
      <c r="A793" s="1" t="s">
        <v>571</v>
      </c>
      <c r="B793" s="90" t="s">
        <v>327</v>
      </c>
      <c r="C793" s="90"/>
      <c r="D793" s="108">
        <f>D763-D777-D785</f>
        <v>257.031900823211</v>
      </c>
      <c r="E793" s="108">
        <f>E763-E777-E785</f>
        <v>3620.6414801278161</v>
      </c>
      <c r="F793" s="108">
        <f>F763-F777-F785</f>
        <v>1907.4101276816455</v>
      </c>
      <c r="G793" s="108">
        <f>G763-G777-G785</f>
        <v>531.45151103932756</v>
      </c>
      <c r="H793" s="108">
        <f>H763-H777-H785</f>
        <v>531.45151103932756</v>
      </c>
    </row>
    <row r="794" spans="1:8" x14ac:dyDescent="0.3">
      <c r="A794" s="1" t="s">
        <v>572</v>
      </c>
      <c r="B794" s="90" t="s">
        <v>327</v>
      </c>
      <c r="C794" s="90"/>
      <c r="D794" s="108">
        <f t="shared" ref="D794:H796" si="23">D764-D778-D786</f>
        <v>114.21811279787835</v>
      </c>
      <c r="E794" s="108">
        <f t="shared" si="23"/>
        <v>1608.9163860728513</v>
      </c>
      <c r="F794" s="108">
        <f t="shared" si="23"/>
        <v>847.60212416280751</v>
      </c>
      <c r="G794" s="108">
        <f t="shared" si="23"/>
        <v>236.16285931855529</v>
      </c>
      <c r="H794" s="108">
        <f t="shared" si="23"/>
        <v>236.16285931855529</v>
      </c>
    </row>
    <row r="795" spans="1:8" x14ac:dyDescent="0.3">
      <c r="A795" s="1" t="s">
        <v>565</v>
      </c>
      <c r="B795" s="90" t="s">
        <v>327</v>
      </c>
      <c r="C795" s="90"/>
      <c r="D795" s="108">
        <f t="shared" si="23"/>
        <v>3782.8337355928393</v>
      </c>
      <c r="E795" s="108">
        <f t="shared" si="23"/>
        <v>26329.972663194141</v>
      </c>
      <c r="F795" s="108">
        <f t="shared" si="23"/>
        <v>13866.729714792864</v>
      </c>
      <c r="G795" s="108">
        <f t="shared" si="23"/>
        <v>3861.4230489442471</v>
      </c>
      <c r="H795" s="108">
        <f t="shared" si="23"/>
        <v>3861.4230489442471</v>
      </c>
    </row>
    <row r="796" spans="1:8" x14ac:dyDescent="0.3">
      <c r="A796" s="1" t="s">
        <v>656</v>
      </c>
      <c r="B796" s="90" t="s">
        <v>327</v>
      </c>
      <c r="C796" s="90"/>
      <c r="D796" s="108">
        <f t="shared" si="23"/>
        <v>3.9335669270749678</v>
      </c>
      <c r="E796" s="108">
        <f t="shared" si="23"/>
        <v>54.789046545578792</v>
      </c>
      <c r="F796" s="108">
        <f t="shared" si="23"/>
        <v>28.4663433579538</v>
      </c>
      <c r="G796" s="108">
        <f t="shared" si="23"/>
        <v>7.7294518357923385</v>
      </c>
      <c r="H796" s="108">
        <f t="shared" si="23"/>
        <v>7.7294518357923385</v>
      </c>
    </row>
    <row r="797" spans="1:8" x14ac:dyDescent="0.3">
      <c r="A797" s="1" t="s">
        <v>534</v>
      </c>
      <c r="B797" s="90" t="s">
        <v>327</v>
      </c>
      <c r="C797" s="90"/>
      <c r="D797" s="108">
        <f>D798-SUM(D793:D796)</f>
        <v>84.857496247775998</v>
      </c>
      <c r="E797" s="108">
        <f>E798-SUM(E793:E796)</f>
        <v>645.19019542735623</v>
      </c>
      <c r="F797" s="108">
        <f>F798-SUM(F793:F796)</f>
        <v>339.800169591741</v>
      </c>
      <c r="G797" s="108">
        <f>G798-SUM(G793:G796)</f>
        <v>94.627895329345847</v>
      </c>
      <c r="H797" s="108">
        <f>H798-SUM(H793:H796)</f>
        <v>94.627895329345847</v>
      </c>
    </row>
    <row r="798" spans="1:8" x14ac:dyDescent="0.3">
      <c r="A798" s="1" t="s">
        <v>312</v>
      </c>
      <c r="B798" s="90" t="s">
        <v>327</v>
      </c>
      <c r="C798" s="90"/>
      <c r="D798" s="108">
        <f>SUM(D793:D796)/0.98</f>
        <v>4242.8748123887799</v>
      </c>
      <c r="E798" s="108">
        <f>SUM(E793:E796)/0.98</f>
        <v>32259.509771367742</v>
      </c>
      <c r="F798" s="108">
        <f>SUM(F793:F796)/0.98</f>
        <v>16990.008479587013</v>
      </c>
      <c r="G798" s="108">
        <f>SUM(G793:G796)/0.98</f>
        <v>4731.3947664672678</v>
      </c>
      <c r="H798" s="108">
        <f>SUM(H793:H796)/0.98</f>
        <v>4731.3947664672678</v>
      </c>
    </row>
    <row r="799" spans="1:8" x14ac:dyDescent="0.3">
      <c r="B799" s="90"/>
      <c r="C799" s="90"/>
      <c r="D799" s="90"/>
      <c r="E799" s="90"/>
      <c r="F799" s="90"/>
      <c r="G799" s="90"/>
      <c r="H799" s="90"/>
    </row>
    <row r="800" spans="1:8" ht="15.5" x14ac:dyDescent="0.35">
      <c r="A800" s="123" t="s">
        <v>697</v>
      </c>
      <c r="B800" s="90"/>
      <c r="C800" s="90"/>
      <c r="D800" s="90"/>
      <c r="E800" s="90"/>
      <c r="F800" s="90"/>
      <c r="G800" s="90"/>
      <c r="H800" s="90"/>
    </row>
    <row r="801" spans="1:8" x14ac:dyDescent="0.3">
      <c r="A801" s="1" t="s">
        <v>571</v>
      </c>
      <c r="B801" s="90" t="s">
        <v>327</v>
      </c>
      <c r="C801" s="90"/>
      <c r="D801" s="108">
        <f>D755*'Input &amp; Calculation Summary'!C$129+D793</f>
        <v>309.04398185816808</v>
      </c>
      <c r="E801" s="108">
        <f>E755*'Input &amp; Calculation Summary'!D$129+E793</f>
        <v>4193.2288667858747</v>
      </c>
      <c r="F801" s="108">
        <f>F755*'Input &amp; Calculation Summary'!E$129+F793</f>
        <v>2209.0643846318944</v>
      </c>
      <c r="G801" s="108">
        <f>G755*'Input &amp; Calculation Summary'!F$129+G793</f>
        <v>615.50304746979566</v>
      </c>
      <c r="H801" s="108">
        <f>H755*'Input &amp; Calculation Summary'!G$129+H793</f>
        <v>615.50304746979566</v>
      </c>
    </row>
    <row r="802" spans="1:8" x14ac:dyDescent="0.3">
      <c r="A802" s="1" t="s">
        <v>572</v>
      </c>
      <c r="B802" s="90" t="s">
        <v>327</v>
      </c>
      <c r="C802" s="90"/>
      <c r="D802" s="108">
        <f>D756*'Input &amp; Calculation Summary'!C$129+D794</f>
        <v>137.33089264923694</v>
      </c>
      <c r="E802" s="108">
        <f>E756*'Input &amp; Calculation Summary'!D$129+E794</f>
        <v>1863.3589300002495</v>
      </c>
      <c r="F802" s="108">
        <f>F756*'Input &amp; Calculation Summary'!E$129+F794</f>
        <v>981.64922040243641</v>
      </c>
      <c r="G802" s="108">
        <f>G756*'Input &amp; Calculation Summary'!F$129+G794</f>
        <v>273.51311754760411</v>
      </c>
      <c r="H802" s="108">
        <f>H756*'Input &amp; Calculation Summary'!G$129+H794</f>
        <v>273.51311754760411</v>
      </c>
    </row>
    <row r="803" spans="1:8" x14ac:dyDescent="0.3">
      <c r="A803" s="1" t="s">
        <v>565</v>
      </c>
      <c r="B803" s="90" t="s">
        <v>327</v>
      </c>
      <c r="C803" s="90"/>
      <c r="D803" s="108">
        <f>D757*'Input &amp; Calculation Summary'!C$129+D795</f>
        <v>4634.5790146158815</v>
      </c>
      <c r="E803" s="108">
        <f>E757*'Input &amp; Calculation Summary'!D$129+E795</f>
        <v>30803.403428629295</v>
      </c>
      <c r="F803" s="108">
        <f>F757*'Input &amp; Calculation Summary'!E$129+F795</f>
        <v>16222.670456381276</v>
      </c>
      <c r="G803" s="108">
        <f>G757*'Input &amp; Calculation Summary'!F$129+G795</f>
        <v>4517.4741921212444</v>
      </c>
      <c r="H803" s="108">
        <f>H757*'Input &amp; Calculation Summary'!G$129+H795</f>
        <v>4517.4741921212444</v>
      </c>
    </row>
    <row r="804" spans="1:8" x14ac:dyDescent="0.3">
      <c r="A804" s="1" t="s">
        <v>656</v>
      </c>
      <c r="B804" s="90" t="s">
        <v>327</v>
      </c>
      <c r="C804" s="90"/>
      <c r="D804" s="108">
        <f>D758*'Input &amp; Calculation Summary'!C$129+D796</f>
        <v>9.3029067083033077</v>
      </c>
      <c r="E804" s="108">
        <f>E758*'Input &amp; Calculation Summary'!D$129+E796</f>
        <v>96.650190413642804</v>
      </c>
      <c r="F804" s="108">
        <f>F758*'Input &amp; Calculation Summary'!E$129+F796</f>
        <v>50.447084254365564</v>
      </c>
      <c r="G804" s="108">
        <f>G758*'Input &amp; Calculation Summary'!F$129+G796</f>
        <v>13.817050516283476</v>
      </c>
      <c r="H804" s="108">
        <f>H758*'Input &amp; Calculation Summary'!G$129+H796</f>
        <v>13.817050516283476</v>
      </c>
    </row>
    <row r="805" spans="1:8" x14ac:dyDescent="0.3">
      <c r="A805" s="1" t="s">
        <v>534</v>
      </c>
      <c r="B805" s="90" t="s">
        <v>327</v>
      </c>
      <c r="C805" s="90"/>
      <c r="D805" s="108">
        <f>D759*'Input &amp; Calculation Summary'!C$129+D797</f>
        <v>103.88279175166551</v>
      </c>
      <c r="E805" s="108">
        <f>E759*'Input &amp; Calculation Summary'!D$129+E797</f>
        <v>754.21717175161484</v>
      </c>
      <c r="F805" s="108">
        <f>F759*'Input &amp; Calculation Summary'!E$129+F797</f>
        <v>397.22104378918391</v>
      </c>
      <c r="G805" s="108">
        <f>G759*'Input &amp; Calculation Summary'!F$129+G797</f>
        <v>110.61851852357044</v>
      </c>
      <c r="H805" s="108">
        <f>H759*'Input &amp; Calculation Summary'!G$129+H797</f>
        <v>110.61851852357044</v>
      </c>
    </row>
    <row r="806" spans="1:8" x14ac:dyDescent="0.3">
      <c r="A806" s="1" t="s">
        <v>312</v>
      </c>
      <c r="B806" s="90" t="s">
        <v>327</v>
      </c>
      <c r="C806" s="90"/>
      <c r="D806" s="108">
        <f>SUM(D801:D805)</f>
        <v>5194.1395875832559</v>
      </c>
      <c r="E806" s="108">
        <f>SUM(E801:E805)</f>
        <v>37710.858587580682</v>
      </c>
      <c r="F806" s="108">
        <f>SUM(F801:F805)</f>
        <v>19861.052189459158</v>
      </c>
      <c r="G806" s="108">
        <f>SUM(G801:G805)</f>
        <v>5530.9259261784982</v>
      </c>
      <c r="H806" s="108">
        <f>SUM(H801:H805)</f>
        <v>5530.9259261784982</v>
      </c>
    </row>
    <row r="807" spans="1:8" x14ac:dyDescent="0.3">
      <c r="B807" s="90"/>
      <c r="C807" s="90"/>
      <c r="D807" s="90"/>
      <c r="E807" s="90"/>
      <c r="F807" s="90"/>
      <c r="G807" s="90"/>
      <c r="H807" s="90"/>
    </row>
    <row r="808" spans="1:8" ht="13.5" x14ac:dyDescent="0.35">
      <c r="A808" s="218" t="s">
        <v>701</v>
      </c>
      <c r="B808" s="217"/>
      <c r="C808" s="217"/>
      <c r="D808" s="217"/>
      <c r="E808" s="217"/>
      <c r="F808" s="217"/>
      <c r="G808" s="217"/>
      <c r="H808" s="217"/>
    </row>
    <row r="809" spans="1:8" ht="15.5" x14ac:dyDescent="0.35">
      <c r="A809" s="123" t="s">
        <v>690</v>
      </c>
      <c r="B809" s="90"/>
      <c r="C809" s="90"/>
      <c r="D809" s="90"/>
      <c r="E809" s="90"/>
      <c r="F809" s="90"/>
      <c r="G809" s="90"/>
      <c r="H809" s="90"/>
    </row>
    <row r="810" spans="1:8" x14ac:dyDescent="0.3">
      <c r="A810" s="1" t="s">
        <v>571</v>
      </c>
      <c r="B810" s="90" t="s">
        <v>327</v>
      </c>
      <c r="C810" s="90"/>
      <c r="D810" s="108">
        <f>IF(ABS(D801-D723)&lt;1,D801,D801+D801-D723)</f>
        <v>309.04398185816808</v>
      </c>
      <c r="E810" s="108">
        <f>IF(ABS(E801-E723)&lt;1,E801,E801+E801-E723)</f>
        <v>4193.2288667858747</v>
      </c>
      <c r="F810" s="108">
        <f>IF(ABS(F801-F723)&lt;1,F801,F801+F801-F723)</f>
        <v>2209.0643846318944</v>
      </c>
      <c r="G810" s="108">
        <f>IF(ABS(G801-G723)&lt;1,G801,G801+G801-G723)</f>
        <v>615.50304746979566</v>
      </c>
      <c r="H810" s="108">
        <f>IF(ABS(H801-H723)&lt;1,H801,H801+H801-H723)</f>
        <v>615.50304746979566</v>
      </c>
    </row>
    <row r="811" spans="1:8" x14ac:dyDescent="0.3">
      <c r="A811" s="1" t="s">
        <v>572</v>
      </c>
      <c r="B811" s="90" t="s">
        <v>327</v>
      </c>
      <c r="C811" s="90"/>
      <c r="D811" s="108">
        <f>IF(ABS(D801-D723)&lt;1,D802,D802+D802-D724)</f>
        <v>137.33089264923694</v>
      </c>
      <c r="E811" s="108">
        <f>IF(ABS(E801-E723)&lt;1,E802,E802+E802-E724)</f>
        <v>1863.3589300002495</v>
      </c>
      <c r="F811" s="108">
        <f>IF(ABS(F801-F723)&lt;1,F802,F802+F802-F724)</f>
        <v>981.64922040243641</v>
      </c>
      <c r="G811" s="108">
        <f>IF(ABS(G801-G723)&lt;1,G802,G802+G802-G724)</f>
        <v>273.51311754760411</v>
      </c>
      <c r="H811" s="108">
        <f>IF(ABS(H801-H723)&lt;1,H802,H802+H802-H724)</f>
        <v>273.51311754760411</v>
      </c>
    </row>
    <row r="812" spans="1:8" x14ac:dyDescent="0.3">
      <c r="A812" s="1" t="s">
        <v>565</v>
      </c>
      <c r="B812" s="90" t="s">
        <v>327</v>
      </c>
      <c r="C812" s="90"/>
      <c r="D812" s="108">
        <f>IF(ABS(D801-D723)&lt;1,D803,D803-(D801-D723+D802-D724)/2)</f>
        <v>4634.5790146158815</v>
      </c>
      <c r="E812" s="108">
        <f>IF(ABS(E801-E723)&lt;1,E803,E803-(E801-E723+E802-E724)/2)</f>
        <v>30803.403428629295</v>
      </c>
      <c r="F812" s="108">
        <f>IF(ABS(F801-F723)&lt;1,F803,F803-(F801-F723+F802-F724)/2)</f>
        <v>16222.670456381276</v>
      </c>
      <c r="G812" s="108">
        <f>IF(ABS(G801-G723)&lt;1,G803,G803-(G801-G723+G802-G724)/2)</f>
        <v>4517.4741921212444</v>
      </c>
      <c r="H812" s="108">
        <f>IF(ABS(H801-H723)&lt;1,H803,H803-(H801-H723+H802-H724)/2)</f>
        <v>4517.4741921212444</v>
      </c>
    </row>
    <row r="813" spans="1:8" x14ac:dyDescent="0.3">
      <c r="A813" s="1" t="s">
        <v>656</v>
      </c>
      <c r="B813" s="90" t="s">
        <v>327</v>
      </c>
      <c r="C813" s="90"/>
      <c r="D813" s="108">
        <f>IF(ABS(D801-D723)&lt;1,D804,D804-(D801-D723+D802-D724)/2)</f>
        <v>9.3029067083033077</v>
      </c>
      <c r="E813" s="108">
        <f>IF(ABS(E801-E723)&lt;1,E804,E804-(E801-E723+E802-E724)/2)</f>
        <v>96.650190413642804</v>
      </c>
      <c r="F813" s="108">
        <f>IF(ABS(F801-F723)&lt;1,F804,F804-(F801-F723+F802-F724)/2)</f>
        <v>50.447084254365564</v>
      </c>
      <c r="G813" s="108">
        <f>IF(ABS(G801-G723)&lt;1,G804,G804-(G801-G723+G802-G724)/2)</f>
        <v>13.817050516283476</v>
      </c>
      <c r="H813" s="108">
        <f>IF(ABS(H801-H723)&lt;1,H804,H804-(H801-H723+H802-H724)/2)</f>
        <v>13.817050516283476</v>
      </c>
    </row>
    <row r="814" spans="1:8" x14ac:dyDescent="0.3">
      <c r="A814" s="1" t="s">
        <v>534</v>
      </c>
      <c r="B814" s="90" t="s">
        <v>327</v>
      </c>
      <c r="C814" s="90"/>
      <c r="D814" s="108">
        <f>D805</f>
        <v>103.88279175166551</v>
      </c>
      <c r="E814" s="108">
        <f>E805</f>
        <v>754.21717175161484</v>
      </c>
      <c r="F814" s="108">
        <f>F805</f>
        <v>397.22104378918391</v>
      </c>
      <c r="G814" s="108">
        <f>G805</f>
        <v>110.61851852357044</v>
      </c>
      <c r="H814" s="108">
        <f>H805</f>
        <v>110.61851852357044</v>
      </c>
    </row>
    <row r="815" spans="1:8" x14ac:dyDescent="0.3">
      <c r="A815" s="1" t="s">
        <v>312</v>
      </c>
      <c r="B815" s="90" t="s">
        <v>327</v>
      </c>
      <c r="C815" s="90"/>
      <c r="D815" s="108">
        <f>SUM(D810:D814)</f>
        <v>5194.1395875832559</v>
      </c>
      <c r="E815" s="108">
        <f>SUM(E810:E814)</f>
        <v>37710.858587580682</v>
      </c>
      <c r="F815" s="108">
        <f>SUM(F810:F814)</f>
        <v>19861.052189459158</v>
      </c>
      <c r="G815" s="108">
        <f>SUM(G810:G814)</f>
        <v>5530.9259261784982</v>
      </c>
      <c r="H815" s="108">
        <f>SUM(H810:H814)</f>
        <v>5530.9259261784982</v>
      </c>
    </row>
    <row r="816" spans="1:8" x14ac:dyDescent="0.3">
      <c r="B816" s="90"/>
      <c r="C816" s="90"/>
      <c r="D816" s="90"/>
      <c r="E816" s="90"/>
      <c r="F816" s="90"/>
      <c r="G816" s="90"/>
      <c r="H816" s="90"/>
    </row>
    <row r="817" spans="1:8" ht="15.5" x14ac:dyDescent="0.35">
      <c r="A817" s="123" t="s">
        <v>691</v>
      </c>
      <c r="B817" s="90"/>
      <c r="C817" s="90"/>
      <c r="D817" s="90"/>
      <c r="E817" s="90"/>
      <c r="F817" s="90"/>
      <c r="G817" s="90"/>
      <c r="H817" s="90"/>
    </row>
    <row r="818" spans="1:8" x14ac:dyDescent="0.3">
      <c r="A818" s="1" t="s">
        <v>571</v>
      </c>
      <c r="B818" s="90" t="s">
        <v>327</v>
      </c>
      <c r="C818" s="90"/>
      <c r="D818" s="108">
        <f>D810</f>
        <v>309.04398185816808</v>
      </c>
      <c r="E818" s="108">
        <f>E810</f>
        <v>4193.2288667858747</v>
      </c>
      <c r="F818" s="108">
        <f>F810</f>
        <v>2209.0643846318944</v>
      </c>
      <c r="G818" s="108">
        <f>G810</f>
        <v>615.50304746979566</v>
      </c>
      <c r="H818" s="108">
        <f>H810</f>
        <v>615.50304746979566</v>
      </c>
    </row>
    <row r="819" spans="1:8" x14ac:dyDescent="0.3">
      <c r="A819" s="1" t="s">
        <v>572</v>
      </c>
      <c r="B819" s="90" t="s">
        <v>327</v>
      </c>
      <c r="C819" s="90"/>
      <c r="D819" s="108">
        <f t="shared" ref="D819:H821" si="24">D811</f>
        <v>137.33089264923694</v>
      </c>
      <c r="E819" s="108">
        <f t="shared" si="24"/>
        <v>1863.3589300002495</v>
      </c>
      <c r="F819" s="108">
        <f t="shared" si="24"/>
        <v>981.64922040243641</v>
      </c>
      <c r="G819" s="108">
        <f t="shared" si="24"/>
        <v>273.51311754760411</v>
      </c>
      <c r="H819" s="108">
        <f t="shared" si="24"/>
        <v>273.51311754760411</v>
      </c>
    </row>
    <row r="820" spans="1:8" x14ac:dyDescent="0.3">
      <c r="A820" s="1" t="s">
        <v>565</v>
      </c>
      <c r="B820" s="90" t="s">
        <v>327</v>
      </c>
      <c r="C820" s="90"/>
      <c r="D820" s="108">
        <f t="shared" si="24"/>
        <v>4634.5790146158815</v>
      </c>
      <c r="E820" s="108">
        <f t="shared" si="24"/>
        <v>30803.403428629295</v>
      </c>
      <c r="F820" s="108">
        <f t="shared" si="24"/>
        <v>16222.670456381276</v>
      </c>
      <c r="G820" s="108">
        <f t="shared" si="24"/>
        <v>4517.4741921212444</v>
      </c>
      <c r="H820" s="108">
        <f t="shared" si="24"/>
        <v>4517.4741921212444</v>
      </c>
    </row>
    <row r="821" spans="1:8" x14ac:dyDescent="0.3">
      <c r="A821" s="1" t="s">
        <v>656</v>
      </c>
      <c r="B821" s="90" t="s">
        <v>327</v>
      </c>
      <c r="C821" s="90"/>
      <c r="D821" s="108">
        <f t="shared" si="24"/>
        <v>9.3029067083033077</v>
      </c>
      <c r="E821" s="108">
        <f t="shared" si="24"/>
        <v>96.650190413642804</v>
      </c>
      <c r="F821" s="108">
        <f t="shared" si="24"/>
        <v>50.447084254365564</v>
      </c>
      <c r="G821" s="108">
        <f t="shared" si="24"/>
        <v>13.817050516283476</v>
      </c>
      <c r="H821" s="108">
        <f t="shared" si="24"/>
        <v>13.817050516283476</v>
      </c>
    </row>
    <row r="822" spans="1:8" x14ac:dyDescent="0.3">
      <c r="A822" s="1" t="s">
        <v>534</v>
      </c>
      <c r="B822" s="90" t="s">
        <v>327</v>
      </c>
      <c r="C822" s="90"/>
      <c r="D822" s="108">
        <f>SUM(D818:D821)/'Input &amp; Calculation Summary'!C$128*(1-'Input &amp; Calculation Summary'!C$128)</f>
        <v>9453.3340494015265</v>
      </c>
      <c r="E822" s="108">
        <f>SUM(E818:E821)/'Input &amp; Calculation Summary'!D$128*(1-'Input &amp; Calculation Summary'!D$128)</f>
        <v>68633.762629396835</v>
      </c>
      <c r="F822" s="108">
        <f>SUM(F818:F821)/'Input &amp; Calculation Summary'!E$128*(1-'Input &amp; Calculation Summary'!E$128)</f>
        <v>36147.114984815671</v>
      </c>
      <c r="G822" s="108">
        <f>SUM(G818:G821)/'Input &amp; Calculation Summary'!F$128*(1-'Input &amp; Calculation Summary'!F$128)</f>
        <v>10066.285185644867</v>
      </c>
      <c r="H822" s="108">
        <f>SUM(H818:H821)/'Input &amp; Calculation Summary'!G$128*(1-'Input &amp; Calculation Summary'!G$128)</f>
        <v>10066.285185644867</v>
      </c>
    </row>
    <row r="823" spans="1:8" x14ac:dyDescent="0.3">
      <c r="A823" s="1" t="s">
        <v>312</v>
      </c>
      <c r="B823" s="90" t="s">
        <v>327</v>
      </c>
      <c r="C823" s="90"/>
      <c r="D823" s="108">
        <f>SUM(D818:D822)</f>
        <v>14543.590845233117</v>
      </c>
      <c r="E823" s="108">
        <f>SUM(E818:E822)</f>
        <v>105590.40404522591</v>
      </c>
      <c r="F823" s="108">
        <f>SUM(F818:F822)</f>
        <v>55610.946130485645</v>
      </c>
      <c r="G823" s="108">
        <f>SUM(G818:G822)</f>
        <v>15486.592593299794</v>
      </c>
      <c r="H823" s="108">
        <f>SUM(H818:H822)</f>
        <v>15486.592593299794</v>
      </c>
    </row>
    <row r="824" spans="1:8" x14ac:dyDescent="0.3">
      <c r="B824" s="90"/>
      <c r="C824" s="90"/>
      <c r="D824" s="90"/>
      <c r="E824" s="90"/>
      <c r="F824" s="90"/>
      <c r="G824" s="90"/>
      <c r="H824" s="90"/>
    </row>
    <row r="825" spans="1:8" ht="15.5" x14ac:dyDescent="0.35">
      <c r="A825" s="123" t="s">
        <v>692</v>
      </c>
      <c r="B825" s="90"/>
      <c r="C825" s="90"/>
      <c r="D825" s="90"/>
      <c r="E825" s="90"/>
      <c r="F825" s="90"/>
      <c r="G825" s="90"/>
      <c r="H825" s="90"/>
    </row>
    <row r="826" spans="1:8" x14ac:dyDescent="0.3">
      <c r="A826" s="1" t="s">
        <v>571</v>
      </c>
      <c r="B826" s="90" t="s">
        <v>327</v>
      </c>
      <c r="C826" s="90"/>
      <c r="D826" s="108">
        <f>D818/'Input &amp; Calculation Summary'!C$129</f>
        <v>309.04398185816808</v>
      </c>
      <c r="E826" s="108">
        <f>E818/'Input &amp; Calculation Summary'!D$129</f>
        <v>4193.2288667858747</v>
      </c>
      <c r="F826" s="108">
        <f>F818/'Input &amp; Calculation Summary'!E$129</f>
        <v>2209.0643846318944</v>
      </c>
      <c r="G826" s="108">
        <f>G818/'Input &amp; Calculation Summary'!F$129</f>
        <v>615.50304746979566</v>
      </c>
      <c r="H826" s="108">
        <f>H818/'Input &amp; Calculation Summary'!G$129</f>
        <v>615.50304746979566</v>
      </c>
    </row>
    <row r="827" spans="1:8" x14ac:dyDescent="0.3">
      <c r="A827" s="1" t="s">
        <v>572</v>
      </c>
      <c r="B827" s="90" t="s">
        <v>327</v>
      </c>
      <c r="C827" s="90"/>
      <c r="D827" s="108">
        <f>D819/'Input &amp; Calculation Summary'!C$129</f>
        <v>137.33089264923694</v>
      </c>
      <c r="E827" s="108">
        <f>E819/'Input &amp; Calculation Summary'!D$129</f>
        <v>1863.3589300002495</v>
      </c>
      <c r="F827" s="108">
        <f>F819/'Input &amp; Calculation Summary'!E$129</f>
        <v>981.64922040243641</v>
      </c>
      <c r="G827" s="108">
        <f>G819/'Input &amp; Calculation Summary'!F$129</f>
        <v>273.51311754760411</v>
      </c>
      <c r="H827" s="108">
        <f>H819/'Input &amp; Calculation Summary'!G$129</f>
        <v>273.51311754760411</v>
      </c>
    </row>
    <row r="828" spans="1:8" x14ac:dyDescent="0.3">
      <c r="A828" s="1" t="s">
        <v>565</v>
      </c>
      <c r="B828" s="90" t="s">
        <v>327</v>
      </c>
      <c r="C828" s="90"/>
      <c r="D828" s="108">
        <f>D820/'Input &amp; Calculation Summary'!C$129+(D$117/'Input &amp; Calculation Summary'!C$129)</f>
        <v>4651.8928132411593</v>
      </c>
      <c r="E828" s="108">
        <f>E820/'Input &amp; Calculation Summary'!D$129+(E$117/'Input &amp; Calculation Summary'!D$129)</f>
        <v>30929.106290587897</v>
      </c>
      <c r="F828" s="108">
        <f>F820/'Input &amp; Calculation Summary'!E$129+(F$117/'Input &amp; Calculation Summary'!E$129)</f>
        <v>16288.873963679474</v>
      </c>
      <c r="G828" s="108">
        <f>G820/'Input &amp; Calculation Summary'!F$129+(G$117/'Input &amp; Calculation Summary'!F$129)</f>
        <v>4535.9106118751724</v>
      </c>
      <c r="H828" s="108">
        <f>H820/'Input &amp; Calculation Summary'!G$129+(H$117/'Input &amp; Calculation Summary'!G$129)</f>
        <v>4535.9106118751724</v>
      </c>
    </row>
    <row r="829" spans="1:8" x14ac:dyDescent="0.3">
      <c r="A829" s="1" t="s">
        <v>656</v>
      </c>
      <c r="B829" s="90" t="s">
        <v>327</v>
      </c>
      <c r="C829" s="90"/>
      <c r="D829" s="108">
        <f>D821/'Input &amp; Calculation Summary'!C$129+(D$116/'Input &amp; Calculation Summary'!C$129)</f>
        <v>215.18503873901608</v>
      </c>
      <c r="E829" s="108">
        <f>E821/'Input &amp; Calculation Summary'!D$129+(E$116/'Input &amp; Calculation Summary'!D$129)</f>
        <v>1591.4101666914987</v>
      </c>
      <c r="F829" s="108">
        <f>F821/'Input &amp; Calculation Summary'!E$129+(F$116/'Input &amp; Calculation Summary'!E$129)</f>
        <v>837.68733842736958</v>
      </c>
      <c r="G829" s="108">
        <f>G821/'Input &amp; Calculation Summary'!F$129+(G$116/'Input &amp; Calculation Summary'!F$129)</f>
        <v>233.04851370370238</v>
      </c>
      <c r="H829" s="108">
        <f>H821/'Input &amp; Calculation Summary'!G$129+(H$116/'Input &amp; Calculation Summary'!G$129)</f>
        <v>233.04851370370238</v>
      </c>
    </row>
    <row r="830" spans="1:8" x14ac:dyDescent="0.3">
      <c r="A830" s="1" t="s">
        <v>534</v>
      </c>
      <c r="B830" s="90" t="s">
        <v>327</v>
      </c>
      <c r="C830" s="90"/>
      <c r="D830" s="108">
        <f>D822/'Input &amp; Calculation Summary'!C$129+(D$118/'Input &amp; Calculation Summary'!C$129)</f>
        <v>9974.1245542655033</v>
      </c>
      <c r="E830" s="108">
        <f>E822/'Input &amp; Calculation Summary'!D$129+(E$118/'Input &amp; Calculation Summary'!D$129)</f>
        <v>72414.842585281905</v>
      </c>
      <c r="F830" s="108">
        <f>F822/'Input &amp; Calculation Summary'!E$129+(F$118/'Input &amp; Calculation Summary'!E$129)</f>
        <v>38138.483761581811</v>
      </c>
      <c r="G830" s="108">
        <f>G822/'Input &amp; Calculation Summary'!F$129+(G$118/'Input &amp; Calculation Summary'!F$129)</f>
        <v>10620.843579174678</v>
      </c>
      <c r="H830" s="108">
        <f>H822/'Input &amp; Calculation Summary'!G$129+(H$118/'Input &amp; Calculation Summary'!G$129)</f>
        <v>10620.843579174678</v>
      </c>
    </row>
    <row r="831" spans="1:8" x14ac:dyDescent="0.3">
      <c r="A831" s="1" t="s">
        <v>312</v>
      </c>
      <c r="B831" s="90" t="s">
        <v>327</v>
      </c>
      <c r="C831" s="90"/>
      <c r="D831" s="108">
        <f>SUM(D826:D830)</f>
        <v>15287.577280753085</v>
      </c>
      <c r="E831" s="108">
        <f>SUM(E826:E830)</f>
        <v>110991.94683934742</v>
      </c>
      <c r="F831" s="108">
        <f>SUM(F826:F830)</f>
        <v>58455.758668722985</v>
      </c>
      <c r="G831" s="108">
        <f>SUM(G826:G830)</f>
        <v>16278.818869770952</v>
      </c>
      <c r="H831" s="108">
        <f>SUM(H826:H830)</f>
        <v>16278.818869770952</v>
      </c>
    </row>
    <row r="832" spans="1:8" x14ac:dyDescent="0.3">
      <c r="B832" s="90"/>
      <c r="C832" s="90"/>
      <c r="D832" s="90"/>
      <c r="E832" s="90"/>
      <c r="F832" s="90"/>
      <c r="G832" s="90"/>
      <c r="H832" s="90"/>
    </row>
    <row r="833" spans="1:8" ht="15.5" x14ac:dyDescent="0.35">
      <c r="A833" s="123" t="s">
        <v>682</v>
      </c>
      <c r="B833" s="90"/>
      <c r="C833" s="90"/>
      <c r="D833" s="90"/>
      <c r="E833" s="90"/>
      <c r="F833" s="90"/>
      <c r="G833" s="90"/>
      <c r="H833" s="90"/>
    </row>
    <row r="834" spans="1:8" x14ac:dyDescent="0.3">
      <c r="A834" s="1" t="s">
        <v>571</v>
      </c>
      <c r="B834" s="90" t="s">
        <v>327</v>
      </c>
      <c r="C834" s="90"/>
      <c r="D834" s="108">
        <f>D826+D$363</f>
        <v>520.05392152955301</v>
      </c>
      <c r="E834" s="108">
        <f>E826+E$363</f>
        <v>5725.2181137718135</v>
      </c>
      <c r="F834" s="108">
        <f>F826+F$363</f>
        <v>3015.9120547111552</v>
      </c>
      <c r="G834" s="108">
        <f>G826+G$363</f>
        <v>840.19480369439998</v>
      </c>
      <c r="H834" s="108">
        <f>H826+H$363</f>
        <v>840.19480369439998</v>
      </c>
    </row>
    <row r="835" spans="1:8" x14ac:dyDescent="0.3">
      <c r="A835" s="1" t="s">
        <v>572</v>
      </c>
      <c r="B835" s="90" t="s">
        <v>327</v>
      </c>
      <c r="C835" s="90"/>
      <c r="D835" s="108">
        <f>D827+D$374</f>
        <v>231.09807490820785</v>
      </c>
      <c r="E835" s="108">
        <f>E827+E$374</f>
        <v>2544.1340402373644</v>
      </c>
      <c r="F835" s="108">
        <f>F827+F$374</f>
        <v>1340.1907784606501</v>
      </c>
      <c r="G835" s="108">
        <f>G827+G$374</f>
        <v>373.36013371571437</v>
      </c>
      <c r="H835" s="108">
        <f>H827+H$374</f>
        <v>373.36013371571437</v>
      </c>
    </row>
    <row r="836" spans="1:8" x14ac:dyDescent="0.3">
      <c r="A836" s="1" t="s">
        <v>565</v>
      </c>
      <c r="B836" s="90" t="s">
        <v>327</v>
      </c>
      <c r="C836" s="90"/>
      <c r="D836" s="108">
        <f>D828+D$50+(D$32/HCl_MolWt*CaCl2_MolWt/2/'Input &amp; Calculation Summary'!C$129)</f>
        <v>8517.4693532411584</v>
      </c>
      <c r="E836" s="108">
        <f>E828+E$50+(E$32/HCl_MolWt*CaCl2_MolWt/2/'Input &amp; Calculation Summary'!D$129)</f>
        <v>44734.347899587898</v>
      </c>
      <c r="F836" s="108">
        <f>F828+F$50+(F$32/HCl_MolWt*CaCl2_MolWt/2/'Input &amp; Calculation Summary'!E$129)</f>
        <v>23559.634544419474</v>
      </c>
      <c r="G836" s="108">
        <f>G828+G$50+(G$32/HCl_MolWt*CaCl2_MolWt/2/'Input &amp; Calculation Summary'!F$129)</f>
        <v>6560.6793811951729</v>
      </c>
      <c r="H836" s="108">
        <f>H828+H$50+(H$32/HCl_MolWt*CaCl2_MolWt/2/'Input &amp; Calculation Summary'!G$129)</f>
        <v>6560.6793811951729</v>
      </c>
    </row>
    <row r="837" spans="1:8" x14ac:dyDescent="0.3">
      <c r="A837" s="1" t="s">
        <v>656</v>
      </c>
      <c r="B837" s="90" t="s">
        <v>327</v>
      </c>
      <c r="C837" s="90"/>
      <c r="D837" s="108">
        <f>D829-(D$361+D$370)-(D$32/HCl_MolWt*Ca_OH_2_MolWt/2/'Input &amp; Calculation Summary'!C$129)</f>
        <v>53.773447226937265</v>
      </c>
      <c r="E837" s="108">
        <f>E829-(E$361+E$370)-(E$32/HCl_MolWt*Ca_OH_2_MolWt/2/'Input &amp; Calculation Summary'!D$129)</f>
        <v>419.51834528965946</v>
      </c>
      <c r="F837" s="108">
        <f>F829-(F$361+F$370)-(F$32/HCl_MolWt*Ca_OH_2_MolWt/2/'Input &amp; Calculation Summary'!E$129)</f>
        <v>220.49097915573441</v>
      </c>
      <c r="G837" s="108">
        <f>G829-(G$361+G$370)-(G$32/HCl_MolWt*Ca_OH_2_MolWt/2/'Input &amp; Calculation Summary'!F$129)</f>
        <v>61.171046564765959</v>
      </c>
      <c r="H837" s="108">
        <f>H829-(H$361+H$370)-(H$32/HCl_MolWt*Ca_OH_2_MolWt/2/'Input &amp; Calculation Summary'!G$129)</f>
        <v>61.171046564765959</v>
      </c>
    </row>
    <row r="838" spans="1:8" x14ac:dyDescent="0.3">
      <c r="A838" s="1" t="s">
        <v>534</v>
      </c>
      <c r="B838" s="90" t="s">
        <v>327</v>
      </c>
      <c r="C838" s="90"/>
      <c r="D838" s="90" t="s">
        <v>687</v>
      </c>
      <c r="E838" s="90" t="s">
        <v>687</v>
      </c>
      <c r="F838" s="90" t="s">
        <v>687</v>
      </c>
      <c r="G838" s="90" t="s">
        <v>687</v>
      </c>
      <c r="H838" s="90" t="s">
        <v>687</v>
      </c>
    </row>
    <row r="839" spans="1:8" x14ac:dyDescent="0.3">
      <c r="A839" s="1" t="s">
        <v>312</v>
      </c>
      <c r="B839" s="90" t="s">
        <v>327</v>
      </c>
      <c r="C839" s="90"/>
      <c r="D839" s="108">
        <f>SUM(D834:D837)</f>
        <v>9322.3947969058554</v>
      </c>
      <c r="E839" s="108">
        <f>SUM(E834:E837)</f>
        <v>53423.218398886733</v>
      </c>
      <c r="F839" s="108">
        <f>SUM(F834:F837)</f>
        <v>28136.228356747011</v>
      </c>
      <c r="G839" s="108">
        <f>SUM(G834:G837)</f>
        <v>7835.4053651700533</v>
      </c>
      <c r="H839" s="108">
        <f>SUM(H834:H837)</f>
        <v>7835.4053651700533</v>
      </c>
    </row>
    <row r="840" spans="1:8" x14ac:dyDescent="0.3">
      <c r="B840" s="90"/>
      <c r="C840" s="90"/>
      <c r="D840" s="90"/>
      <c r="E840" s="90"/>
      <c r="F840" s="90"/>
      <c r="G840" s="90"/>
      <c r="H840" s="90"/>
    </row>
    <row r="841" spans="1:8" ht="15.5" x14ac:dyDescent="0.35">
      <c r="A841" s="123" t="s">
        <v>693</v>
      </c>
      <c r="B841" s="90"/>
      <c r="C841" s="90"/>
      <c r="D841" s="90"/>
      <c r="E841" s="90"/>
      <c r="F841" s="90"/>
      <c r="G841" s="90"/>
      <c r="H841" s="90"/>
    </row>
    <row r="842" spans="1:8" x14ac:dyDescent="0.3">
      <c r="A842" s="1" t="s">
        <v>571</v>
      </c>
      <c r="B842" s="90" t="s">
        <v>327</v>
      </c>
      <c r="C842" s="90"/>
      <c r="D842" s="108">
        <f>D834*0.1</f>
        <v>52.005392152955302</v>
      </c>
      <c r="E842" s="108">
        <f>E834*0.1</f>
        <v>572.52181137718139</v>
      </c>
      <c r="F842" s="108">
        <f>F834*0.1</f>
        <v>301.59120547111553</v>
      </c>
      <c r="G842" s="108">
        <f>G834*0.1</f>
        <v>84.019480369440004</v>
      </c>
      <c r="H842" s="108">
        <f>H834*0.1</f>
        <v>84.019480369440004</v>
      </c>
    </row>
    <row r="843" spans="1:8" x14ac:dyDescent="0.3">
      <c r="A843" s="1" t="s">
        <v>572</v>
      </c>
      <c r="B843" s="90" t="s">
        <v>327</v>
      </c>
      <c r="C843" s="90"/>
      <c r="D843" s="108">
        <f t="shared" ref="D843:H845" si="25">D835*0.1</f>
        <v>23.109807490820785</v>
      </c>
      <c r="E843" s="108">
        <f t="shared" si="25"/>
        <v>254.41340402373646</v>
      </c>
      <c r="F843" s="108">
        <f t="shared" si="25"/>
        <v>134.01907784606502</v>
      </c>
      <c r="G843" s="108">
        <f t="shared" si="25"/>
        <v>37.33601337157144</v>
      </c>
      <c r="H843" s="108">
        <f t="shared" si="25"/>
        <v>37.33601337157144</v>
      </c>
    </row>
    <row r="844" spans="1:8" x14ac:dyDescent="0.3">
      <c r="A844" s="1" t="s">
        <v>565</v>
      </c>
      <c r="B844" s="90" t="s">
        <v>327</v>
      </c>
      <c r="C844" s="90"/>
      <c r="D844" s="108">
        <f t="shared" si="25"/>
        <v>851.74693532411584</v>
      </c>
      <c r="E844" s="108">
        <f t="shared" si="25"/>
        <v>4473.4347899587901</v>
      </c>
      <c r="F844" s="108">
        <f t="shared" si="25"/>
        <v>2355.9634544419473</v>
      </c>
      <c r="G844" s="108">
        <f t="shared" si="25"/>
        <v>656.06793811951729</v>
      </c>
      <c r="H844" s="108">
        <f t="shared" si="25"/>
        <v>656.06793811951729</v>
      </c>
    </row>
    <row r="845" spans="1:8" x14ac:dyDescent="0.3">
      <c r="A845" s="1" t="s">
        <v>656</v>
      </c>
      <c r="B845" s="90" t="s">
        <v>327</v>
      </c>
      <c r="C845" s="90"/>
      <c r="D845" s="108">
        <f t="shared" si="25"/>
        <v>5.377344722693727</v>
      </c>
      <c r="E845" s="108">
        <f t="shared" si="25"/>
        <v>41.951834528965946</v>
      </c>
      <c r="F845" s="108">
        <f t="shared" si="25"/>
        <v>22.049097915573441</v>
      </c>
      <c r="G845" s="108">
        <f t="shared" si="25"/>
        <v>6.1171046564765961</v>
      </c>
      <c r="H845" s="108">
        <f t="shared" si="25"/>
        <v>6.1171046564765961</v>
      </c>
    </row>
    <row r="846" spans="1:8" x14ac:dyDescent="0.3">
      <c r="A846" s="1" t="s">
        <v>534</v>
      </c>
      <c r="B846" s="90" t="s">
        <v>327</v>
      </c>
      <c r="C846" s="90"/>
      <c r="D846" s="108">
        <f>SUM(D842:D845)*0.02/0.98</f>
        <v>19.025295503889502</v>
      </c>
      <c r="E846" s="108">
        <f>SUM(E842:E845)*0.02/0.98</f>
        <v>109.02697632425865</v>
      </c>
      <c r="F846" s="108">
        <f>SUM(F842:F845)*0.02/0.98</f>
        <v>57.420874197442885</v>
      </c>
      <c r="G846" s="108">
        <f>SUM(G842:G845)*0.02/0.98</f>
        <v>15.990623194224598</v>
      </c>
      <c r="H846" s="108">
        <f>SUM(H842:H845)*0.02/0.98</f>
        <v>15.990623194224598</v>
      </c>
    </row>
    <row r="847" spans="1:8" x14ac:dyDescent="0.3">
      <c r="A847" s="1" t="s">
        <v>312</v>
      </c>
      <c r="B847" s="90" t="s">
        <v>327</v>
      </c>
      <c r="C847" s="90"/>
      <c r="D847" s="108">
        <f>SUM(D842:D846)</f>
        <v>951.26477519447519</v>
      </c>
      <c r="E847" s="108">
        <f>SUM(E842:E846)</f>
        <v>5451.3488162129324</v>
      </c>
      <c r="F847" s="108">
        <f>SUM(F842:F846)</f>
        <v>2871.0437098721441</v>
      </c>
      <c r="G847" s="108">
        <f>SUM(G842:G846)</f>
        <v>799.53115971122986</v>
      </c>
      <c r="H847" s="108">
        <f>SUM(H842:H846)</f>
        <v>799.53115971122986</v>
      </c>
    </row>
    <row r="848" spans="1:8" x14ac:dyDescent="0.3">
      <c r="B848" s="90"/>
      <c r="C848" s="90"/>
      <c r="D848" s="90"/>
      <c r="E848" s="90"/>
      <c r="F848" s="90"/>
      <c r="G848" s="90"/>
      <c r="H848" s="90"/>
    </row>
    <row r="849" spans="1:8" ht="15.5" x14ac:dyDescent="0.35">
      <c r="A849" s="123" t="s">
        <v>684</v>
      </c>
      <c r="B849" s="90"/>
      <c r="C849" s="90"/>
      <c r="D849" s="90"/>
      <c r="E849" s="90"/>
      <c r="F849" s="90"/>
      <c r="G849" s="90"/>
      <c r="H849" s="90"/>
    </row>
    <row r="850" spans="1:8" x14ac:dyDescent="0.3">
      <c r="A850" s="1" t="s">
        <v>571</v>
      </c>
      <c r="B850" s="90" t="s">
        <v>327</v>
      </c>
      <c r="C850" s="90"/>
      <c r="D850" s="108">
        <f>(D834-D842)*'Input &amp; Calculation Summary'!C$129+D$385</f>
        <v>520.80101429444392</v>
      </c>
      <c r="E850" s="108">
        <f>(E834-E842)*'Input &amp; Calculation Summary'!D$129+E$385</f>
        <v>5535.693614141117</v>
      </c>
      <c r="F850" s="108">
        <f>(F834-F842)*'Input &amp; Calculation Summary'!E$129+F$385</f>
        <v>2916.0327667598549</v>
      </c>
      <c r="G850" s="108">
        <f>(G834-G842)*'Input &amp; Calculation Summary'!F$129+G$385</f>
        <v>812.34826238111111</v>
      </c>
      <c r="H850" s="108">
        <f>(H834-H842)*'Input &amp; Calculation Summary'!G$129+H$385</f>
        <v>812.34826238111111</v>
      </c>
    </row>
    <row r="851" spans="1:8" x14ac:dyDescent="0.3">
      <c r="A851" s="1" t="s">
        <v>572</v>
      </c>
      <c r="B851" s="90" t="s">
        <v>327</v>
      </c>
      <c r="C851" s="90"/>
      <c r="D851" s="108">
        <f>(D835-D843)*'Input &amp; Calculation Summary'!C$129+D$396</f>
        <v>231.43006298212981</v>
      </c>
      <c r="E851" s="108">
        <f>(E835-E843)*'Input &amp; Calculation Summary'!D$129+E$396</f>
        <v>2459.9144137729068</v>
      </c>
      <c r="F851" s="108">
        <f>(F835-F843)*'Input &amp; Calculation Summary'!E$129+F$396</f>
        <v>1295.8070901291385</v>
      </c>
      <c r="G851" s="108">
        <f>(G835-G843)*'Input &amp; Calculation Summary'!F$129+G$396</f>
        <v>360.98587438617051</v>
      </c>
      <c r="H851" s="108">
        <f>(H835-H843)*'Input &amp; Calculation Summary'!G$129+H$396</f>
        <v>360.98587438617051</v>
      </c>
    </row>
    <row r="852" spans="1:8" x14ac:dyDescent="0.3">
      <c r="A852" s="1" t="s">
        <v>565</v>
      </c>
      <c r="B852" s="90" t="s">
        <v>327</v>
      </c>
      <c r="C852" s="90"/>
      <c r="D852" s="108">
        <f>(D836-D844)*'Input &amp; Calculation Summary'!C$129</f>
        <v>7665.7224179170425</v>
      </c>
      <c r="E852" s="108">
        <f>(E836-E844)*'Input &amp; Calculation Summary'!D$129</f>
        <v>40260.913109629109</v>
      </c>
      <c r="F852" s="108">
        <f>(F836-F844)*'Input &amp; Calculation Summary'!E$129</f>
        <v>21203.671089977528</v>
      </c>
      <c r="G852" s="108">
        <f>(G836-G844)*'Input &amp; Calculation Summary'!F$129</f>
        <v>5904.6114430756552</v>
      </c>
      <c r="H852" s="108">
        <f>(H836-H844)*'Input &amp; Calculation Summary'!G$129</f>
        <v>5904.6114430756552</v>
      </c>
    </row>
    <row r="853" spans="1:8" x14ac:dyDescent="0.3">
      <c r="A853" s="1" t="s">
        <v>656</v>
      </c>
      <c r="B853" s="90" t="s">
        <v>327</v>
      </c>
      <c r="C853" s="90"/>
      <c r="D853" s="108">
        <f>(D837-D845)*'Input &amp; Calculation Summary'!C$129-(D$383+D$392)</f>
        <v>8.043204626223833</v>
      </c>
      <c r="E853" s="108">
        <f>(E837-E845)*'Input &amp; Calculation Summary'!D$129-(E$383+E$392)</f>
        <v>84.593555410233705</v>
      </c>
      <c r="F853" s="108">
        <f>(F837-F845)*'Input &amp; Calculation Summary'!E$129-(F$383+F$392)</f>
        <v>44.142791422252174</v>
      </c>
      <c r="G853" s="108">
        <f>(G837-G845)*'Input &amp; Calculation Summary'!F$129-(G$383+G$392)</f>
        <v>12.084575123555254</v>
      </c>
      <c r="H853" s="108">
        <f>(H837-H845)*'Input &amp; Calculation Summary'!G$129-(H$383+H$392)</f>
        <v>12.084575123555254</v>
      </c>
    </row>
    <row r="854" spans="1:8" x14ac:dyDescent="0.3">
      <c r="A854" s="1" t="s">
        <v>534</v>
      </c>
      <c r="B854" s="90" t="s">
        <v>327</v>
      </c>
      <c r="C854" s="90"/>
      <c r="D854" s="108"/>
      <c r="E854" s="108"/>
      <c r="F854" s="108"/>
      <c r="G854" s="108"/>
      <c r="H854" s="108"/>
    </row>
    <row r="855" spans="1:8" x14ac:dyDescent="0.3">
      <c r="A855" s="1" t="s">
        <v>312</v>
      </c>
      <c r="B855" s="90" t="s">
        <v>327</v>
      </c>
      <c r="C855" s="90"/>
      <c r="D855" s="108">
        <f>SUM(D850:D853)</f>
        <v>8425.9966998198397</v>
      </c>
      <c r="E855" s="108">
        <f>SUM(E850:E853)</f>
        <v>48341.114692953364</v>
      </c>
      <c r="F855" s="108">
        <f>SUM(F850:F853)</f>
        <v>25459.653738288773</v>
      </c>
      <c r="G855" s="108">
        <f>SUM(G850:G853)</f>
        <v>7090.0301549664928</v>
      </c>
      <c r="H855" s="108">
        <f>SUM(H850:H853)</f>
        <v>7090.0301549664928</v>
      </c>
    </row>
    <row r="856" spans="1:8" x14ac:dyDescent="0.3">
      <c r="A856" s="1" t="s">
        <v>571</v>
      </c>
      <c r="B856" s="90" t="s">
        <v>694</v>
      </c>
      <c r="C856" s="90"/>
      <c r="D856" s="215">
        <f>D850/(D855-D854)</f>
        <v>6.1808831981334557E-2</v>
      </c>
      <c r="E856" s="215">
        <f>E850/(E855-E854)</f>
        <v>0.11451315612604294</v>
      </c>
      <c r="F856" s="215">
        <f>F850/(F855-F854)</f>
        <v>0.11453544485463418</v>
      </c>
      <c r="G856" s="215">
        <f>G850/(G855-G854)</f>
        <v>0.114576136437455</v>
      </c>
      <c r="H856" s="215">
        <f>H850/(H855-H854)</f>
        <v>0.114576136437455</v>
      </c>
    </row>
    <row r="857" spans="1:8" x14ac:dyDescent="0.3">
      <c r="A857" s="1" t="s">
        <v>572</v>
      </c>
      <c r="B857" s="90" t="s">
        <v>694</v>
      </c>
      <c r="C857" s="90"/>
      <c r="D857" s="215">
        <f>D851/(D855-D854)</f>
        <v>2.7466194353847555E-2</v>
      </c>
      <c r="E857" s="215">
        <f>E851/(E855-E854)</f>
        <v>5.0886588557120839E-2</v>
      </c>
      <c r="F857" s="215">
        <f>F851/(F855-F854)</f>
        <v>5.0896493072895732E-2</v>
      </c>
      <c r="G857" s="215">
        <f>G851/(G855-G854)</f>
        <v>5.0914575325649872E-2</v>
      </c>
      <c r="H857" s="215">
        <f>H851/(H855-H854)</f>
        <v>5.0914575325649872E-2</v>
      </c>
    </row>
    <row r="858" spans="1:8" x14ac:dyDescent="0.3">
      <c r="A858" s="1" t="s">
        <v>565</v>
      </c>
      <c r="B858" s="90" t="s">
        <v>694</v>
      </c>
      <c r="C858" s="90"/>
      <c r="D858" s="215">
        <f>D852/(D855-D854)</f>
        <v>0.90977040355130301</v>
      </c>
      <c r="E858" s="215">
        <f>E852/(E855-E854)</f>
        <v>0.83285032555316529</v>
      </c>
      <c r="F858" s="215">
        <f>F852/(F855-F854)</f>
        <v>0.83283422893098213</v>
      </c>
      <c r="G858" s="215">
        <f>G852/(G855-G854)</f>
        <v>0.83280484201319449</v>
      </c>
      <c r="H858" s="215">
        <f>H852/(H855-H854)</f>
        <v>0.83280484201319449</v>
      </c>
    </row>
    <row r="859" spans="1:8" x14ac:dyDescent="0.3">
      <c r="A859" s="1" t="s">
        <v>656</v>
      </c>
      <c r="B859" s="90" t="s">
        <v>694</v>
      </c>
      <c r="C859" s="90"/>
      <c r="D859" s="215">
        <f>D853/(D855-D854)</f>
        <v>9.5457011351497549E-4</v>
      </c>
      <c r="E859" s="215">
        <f>E853/(E855-E854)</f>
        <v>1.7499297636710232E-3</v>
      </c>
      <c r="F859" s="215">
        <f>F853/(F855-F854)</f>
        <v>1.7338331414879311E-3</v>
      </c>
      <c r="G859" s="215">
        <f>G853/(G855-G854)</f>
        <v>1.7044462237004922E-3</v>
      </c>
      <c r="H859" s="215">
        <f>H853/(H855-H854)</f>
        <v>1.7044462237004922E-3</v>
      </c>
    </row>
    <row r="860" spans="1:8" x14ac:dyDescent="0.3">
      <c r="A860" s="1" t="s">
        <v>534</v>
      </c>
      <c r="B860" s="90" t="s">
        <v>694</v>
      </c>
      <c r="C860" s="90"/>
      <c r="D860" s="215"/>
      <c r="E860" s="215"/>
      <c r="F860" s="215"/>
      <c r="G860" s="215"/>
      <c r="H860" s="215"/>
    </row>
    <row r="861" spans="1:8" x14ac:dyDescent="0.3">
      <c r="A861" s="1" t="s">
        <v>312</v>
      </c>
      <c r="B861" s="90" t="s">
        <v>694</v>
      </c>
      <c r="C861" s="90"/>
      <c r="D861" s="215">
        <f>SUM(D856:D859)</f>
        <v>1.0000000000000002</v>
      </c>
      <c r="E861" s="215">
        <f>SUM(E856:E859)</f>
        <v>1</v>
      </c>
      <c r="F861" s="215">
        <f>SUM(F856:F859)</f>
        <v>0.99999999999999989</v>
      </c>
      <c r="G861" s="215">
        <f>SUM(G856:G859)</f>
        <v>0.99999999999999989</v>
      </c>
      <c r="H861" s="215">
        <f>SUM(H856:H859)</f>
        <v>0.99999999999999989</v>
      </c>
    </row>
    <row r="862" spans="1:8" x14ac:dyDescent="0.3">
      <c r="B862" s="90"/>
      <c r="C862" s="90"/>
      <c r="D862" s="90"/>
      <c r="E862" s="90"/>
      <c r="F862" s="90"/>
      <c r="G862" s="90"/>
      <c r="H862" s="90"/>
    </row>
    <row r="863" spans="1:8" ht="15.5" x14ac:dyDescent="0.35">
      <c r="A863" s="123" t="s">
        <v>666</v>
      </c>
      <c r="B863" s="90"/>
      <c r="C863" s="90"/>
      <c r="D863" s="90"/>
      <c r="E863" s="90"/>
      <c r="F863" s="90"/>
      <c r="G863" s="90"/>
      <c r="H863" s="90"/>
    </row>
    <row r="864" spans="1:8" x14ac:dyDescent="0.3">
      <c r="A864" s="1" t="s">
        <v>571</v>
      </c>
      <c r="B864" s="90" t="s">
        <v>327</v>
      </c>
      <c r="C864" s="90"/>
      <c r="D864" s="108">
        <f>D856*(D869-D868)</f>
        <v>262.87725094076342</v>
      </c>
      <c r="E864" s="108">
        <f>E856*(E869-E868)</f>
        <v>1909.3404469288616</v>
      </c>
      <c r="F864" s="108">
        <f>F856*(F869-F868)</f>
        <v>1005.7816949842726</v>
      </c>
      <c r="G864" s="108">
        <f>G856*(G869-G868)</f>
        <v>280.19061430611464</v>
      </c>
      <c r="H864" s="108">
        <f>H856*(H869-H868)</f>
        <v>280.19061430611464</v>
      </c>
    </row>
    <row r="865" spans="1:8" x14ac:dyDescent="0.3">
      <c r="A865" s="1" t="s">
        <v>572</v>
      </c>
      <c r="B865" s="90" t="s">
        <v>327</v>
      </c>
      <c r="C865" s="90"/>
      <c r="D865" s="108">
        <f>D857*(D869-D868)</f>
        <v>116.81563029252159</v>
      </c>
      <c r="E865" s="108">
        <f>E857*(E869-E868)</f>
        <v>848.45990648791326</v>
      </c>
      <c r="F865" s="108">
        <f>F857*(F869-F868)</f>
        <v>446.94252627719328</v>
      </c>
      <c r="G865" s="108">
        <f>G857*(G869-G868)</f>
        <v>124.50922662605414</v>
      </c>
      <c r="H865" s="108">
        <f>H857*(H869-H868)</f>
        <v>124.50922662605414</v>
      </c>
    </row>
    <row r="866" spans="1:8" x14ac:dyDescent="0.3">
      <c r="A866" s="1" t="s">
        <v>565</v>
      </c>
      <c r="B866" s="90" t="s">
        <v>327</v>
      </c>
      <c r="C866" s="90"/>
      <c r="D866" s="108">
        <f>D858*(D869-D868)</f>
        <v>3869.3166495211876</v>
      </c>
      <c r="E866" s="108">
        <f>E858*(E869-E868)</f>
        <v>13886.568728105132</v>
      </c>
      <c r="F866" s="108">
        <f>F858*(F869-F868)</f>
        <v>7313.4515125710541</v>
      </c>
      <c r="G866" s="108">
        <f>G858*(G869-G868)</f>
        <v>2036.5855189065653</v>
      </c>
      <c r="H866" s="108">
        <f>H858*(H869-H868)</f>
        <v>2036.5855189065653</v>
      </c>
    </row>
    <row r="867" spans="1:8" x14ac:dyDescent="0.3">
      <c r="A867" s="1" t="s">
        <v>656</v>
      </c>
      <c r="B867" s="90" t="s">
        <v>327</v>
      </c>
      <c r="C867" s="90"/>
      <c r="D867" s="108">
        <f>D859*(D869-D868)</f>
        <v>4.0598529243653747</v>
      </c>
      <c r="E867" s="108">
        <f>E859*(E869-E868)</f>
        <v>29.177535491067299</v>
      </c>
      <c r="F867" s="108">
        <f>F859*(F869-F868)</f>
        <v>15.225484460979764</v>
      </c>
      <c r="G867" s="108">
        <f>G859*(G869-G868)</f>
        <v>4.1681439898357437</v>
      </c>
      <c r="H867" s="108">
        <f>H859*(H869-H868)</f>
        <v>4.1681439898357437</v>
      </c>
    </row>
    <row r="868" spans="1:8" x14ac:dyDescent="0.3">
      <c r="A868" s="1" t="s">
        <v>534</v>
      </c>
      <c r="B868" s="90" t="s">
        <v>327</v>
      </c>
      <c r="C868" s="90"/>
      <c r="D868" s="108">
        <f>D869*0.02</f>
        <v>86.797334360792618</v>
      </c>
      <c r="E868" s="108">
        <f>E869*0.02</f>
        <v>340.27646157169335</v>
      </c>
      <c r="F868" s="108">
        <f>F869*0.02</f>
        <v>179.21226976109185</v>
      </c>
      <c r="G868" s="108">
        <f>G869*0.02</f>
        <v>49.907214363848368</v>
      </c>
      <c r="H868" s="108">
        <f>H869*0.02</f>
        <v>49.907214363848368</v>
      </c>
    </row>
    <row r="869" spans="1:8" x14ac:dyDescent="0.3">
      <c r="A869" s="1" t="s">
        <v>312</v>
      </c>
      <c r="B869" s="90" t="s">
        <v>327</v>
      </c>
      <c r="C869" s="90"/>
      <c r="D869" s="108">
        <f>D$458</f>
        <v>4339.8667180396305</v>
      </c>
      <c r="E869" s="108">
        <f>E$458</f>
        <v>17013.823078584668</v>
      </c>
      <c r="F869" s="108">
        <f>F$458</f>
        <v>8960.6134880545924</v>
      </c>
      <c r="G869" s="108">
        <f>G$458</f>
        <v>2495.3607181924185</v>
      </c>
      <c r="H869" s="108">
        <f>H$458</f>
        <v>2495.3607181924185</v>
      </c>
    </row>
    <row r="870" spans="1:8" x14ac:dyDescent="0.3">
      <c r="B870" s="90"/>
      <c r="C870" s="90"/>
      <c r="D870" s="90"/>
      <c r="E870" s="90"/>
      <c r="F870" s="90"/>
      <c r="G870" s="90"/>
      <c r="H870" s="90"/>
    </row>
    <row r="871" spans="1:8" ht="15.5" x14ac:dyDescent="0.35">
      <c r="A871" s="123" t="s">
        <v>695</v>
      </c>
      <c r="B871" s="90"/>
      <c r="C871" s="90"/>
      <c r="D871" s="90"/>
      <c r="E871" s="90"/>
      <c r="F871" s="90"/>
      <c r="G871" s="90"/>
      <c r="H871" s="90"/>
    </row>
    <row r="872" spans="1:8" x14ac:dyDescent="0.3">
      <c r="A872" s="1" t="s">
        <v>571</v>
      </c>
      <c r="B872" s="90" t="s">
        <v>327</v>
      </c>
      <c r="C872" s="90"/>
      <c r="D872" s="208">
        <f>D856*D877</f>
        <v>0.92156968484169821</v>
      </c>
      <c r="E872" s="208">
        <f>E856*E877</f>
        <v>6.0976537939775977</v>
      </c>
      <c r="F872" s="208">
        <f>F856*F877</f>
        <v>3.2120560679467807</v>
      </c>
      <c r="G872" s="208">
        <f>G856*G877</f>
        <v>0.89481441882650725</v>
      </c>
      <c r="H872" s="208">
        <f>H856*H877</f>
        <v>0.89481441882650725</v>
      </c>
    </row>
    <row r="873" spans="1:8" x14ac:dyDescent="0.3">
      <c r="A873" s="1" t="s">
        <v>572</v>
      </c>
      <c r="B873" s="90" t="s">
        <v>327</v>
      </c>
      <c r="C873" s="90"/>
      <c r="D873" s="208">
        <f>D857*D877</f>
        <v>0.40952095781586706</v>
      </c>
      <c r="E873" s="208">
        <f>E857*E877</f>
        <v>2.7096345107838489</v>
      </c>
      <c r="F873" s="208">
        <f>F857*F877</f>
        <v>1.4273519399998331</v>
      </c>
      <c r="G873" s="208">
        <f>G857*G877</f>
        <v>0.39763163208675384</v>
      </c>
      <c r="H873" s="208">
        <f>H857*H877</f>
        <v>0.39763163208675384</v>
      </c>
    </row>
    <row r="874" spans="1:8" x14ac:dyDescent="0.3">
      <c r="A874" s="1" t="s">
        <v>565</v>
      </c>
      <c r="B874" s="90" t="s">
        <v>327</v>
      </c>
      <c r="C874" s="90"/>
      <c r="D874" s="208">
        <f>D858*D877</f>
        <v>13.564676716949927</v>
      </c>
      <c r="E874" s="208">
        <f>E858*E877</f>
        <v>44.348030560217722</v>
      </c>
      <c r="F874" s="208">
        <f>F858*F877</f>
        <v>23.356178011328538</v>
      </c>
      <c r="G874" s="208">
        <f>G858*G877</f>
        <v>6.504022599057806</v>
      </c>
      <c r="H874" s="208">
        <f>H858*H877</f>
        <v>6.504022599057806</v>
      </c>
    </row>
    <row r="875" spans="1:8" x14ac:dyDescent="0.3">
      <c r="A875" s="1" t="s">
        <v>656</v>
      </c>
      <c r="B875" s="90" t="s">
        <v>327</v>
      </c>
      <c r="C875" s="90"/>
      <c r="D875" s="208">
        <f>D859*D877</f>
        <v>1.4232640392508284E-2</v>
      </c>
      <c r="E875" s="208">
        <f>E859*E877</f>
        <v>9.3181135020836484E-2</v>
      </c>
      <c r="F875" s="208">
        <f>F859*F877</f>
        <v>4.8623980724847249E-2</v>
      </c>
      <c r="G875" s="208">
        <f>G859*G877</f>
        <v>1.3311350028931631E-2</v>
      </c>
      <c r="H875" s="208">
        <f>H859*H877</f>
        <v>1.3311350028931631E-2</v>
      </c>
    </row>
    <row r="876" spans="1:8" x14ac:dyDescent="0.3">
      <c r="A876" s="1" t="s">
        <v>534</v>
      </c>
      <c r="B876" s="90" t="s">
        <v>327</v>
      </c>
      <c r="C876" s="90"/>
      <c r="D876" s="90"/>
      <c r="E876" s="90"/>
      <c r="F876" s="90"/>
      <c r="G876" s="90"/>
      <c r="H876" s="90"/>
    </row>
    <row r="877" spans="1:8" x14ac:dyDescent="0.3">
      <c r="A877" s="1" t="s">
        <v>312</v>
      </c>
      <c r="B877" s="90" t="s">
        <v>327</v>
      </c>
      <c r="C877" s="90"/>
      <c r="D877" s="108">
        <f>D$80</f>
        <v>14.91</v>
      </c>
      <c r="E877" s="108">
        <f>E$80</f>
        <v>53.2485</v>
      </c>
      <c r="F877" s="108">
        <f>F$80</f>
        <v>28.04421</v>
      </c>
      <c r="G877" s="108">
        <f>G$80</f>
        <v>7.8097799999999999</v>
      </c>
      <c r="H877" s="108">
        <f>H$80</f>
        <v>7.8097799999999999</v>
      </c>
    </row>
    <row r="878" spans="1:8" x14ac:dyDescent="0.3">
      <c r="B878" s="90"/>
      <c r="C878" s="90"/>
      <c r="D878" s="90"/>
      <c r="E878" s="90"/>
      <c r="F878" s="90"/>
      <c r="G878" s="90"/>
      <c r="H878" s="90"/>
    </row>
    <row r="879" spans="1:8" ht="15.5" x14ac:dyDescent="0.35">
      <c r="A879" s="123" t="s">
        <v>696</v>
      </c>
      <c r="B879" s="90"/>
      <c r="C879" s="90"/>
      <c r="D879" s="90"/>
      <c r="E879" s="90"/>
      <c r="F879" s="90"/>
      <c r="G879" s="90"/>
      <c r="H879" s="90"/>
    </row>
    <row r="880" spans="1:8" x14ac:dyDescent="0.3">
      <c r="A880" s="1" t="s">
        <v>571</v>
      </c>
      <c r="B880" s="90" t="s">
        <v>327</v>
      </c>
      <c r="C880" s="90"/>
      <c r="D880" s="108">
        <f>D850-D864-D872</f>
        <v>257.0021936688388</v>
      </c>
      <c r="E880" s="108">
        <f>E850-E864-E872</f>
        <v>3620.2555134182776</v>
      </c>
      <c r="F880" s="108">
        <f>F850-F864-F872</f>
        <v>1907.0390157076354</v>
      </c>
      <c r="G880" s="108">
        <f>G850-G864-G872</f>
        <v>531.26283365616996</v>
      </c>
      <c r="H880" s="108">
        <f>H850-H864-H872</f>
        <v>531.26283365616996</v>
      </c>
    </row>
    <row r="881" spans="1:8" x14ac:dyDescent="0.3">
      <c r="A881" s="1" t="s">
        <v>572</v>
      </c>
      <c r="B881" s="90" t="s">
        <v>327</v>
      </c>
      <c r="C881" s="90"/>
      <c r="D881" s="108">
        <f t="shared" ref="D881:H883" si="26">D851-D865-D873</f>
        <v>114.20491173179235</v>
      </c>
      <c r="E881" s="108">
        <f t="shared" si="26"/>
        <v>1608.7448727742096</v>
      </c>
      <c r="F881" s="108">
        <f t="shared" si="26"/>
        <v>847.43721191194527</v>
      </c>
      <c r="G881" s="108">
        <f t="shared" si="26"/>
        <v>236.07901612802959</v>
      </c>
      <c r="H881" s="108">
        <f t="shared" si="26"/>
        <v>236.07901612802959</v>
      </c>
    </row>
    <row r="882" spans="1:8" x14ac:dyDescent="0.3">
      <c r="A882" s="1" t="s">
        <v>565</v>
      </c>
      <c r="B882" s="90" t="s">
        <v>327</v>
      </c>
      <c r="C882" s="90"/>
      <c r="D882" s="108">
        <f t="shared" si="26"/>
        <v>3782.8410916789048</v>
      </c>
      <c r="E882" s="108">
        <f t="shared" si="26"/>
        <v>26329.99635096376</v>
      </c>
      <c r="F882" s="108">
        <f t="shared" si="26"/>
        <v>13866.863399395146</v>
      </c>
      <c r="G882" s="108">
        <f t="shared" si="26"/>
        <v>3861.5219015700322</v>
      </c>
      <c r="H882" s="108">
        <f t="shared" si="26"/>
        <v>3861.5219015700322</v>
      </c>
    </row>
    <row r="883" spans="1:8" x14ac:dyDescent="0.3">
      <c r="A883" s="1" t="s">
        <v>656</v>
      </c>
      <c r="B883" s="90" t="s">
        <v>327</v>
      </c>
      <c r="C883" s="90"/>
      <c r="D883" s="108">
        <f t="shared" si="26"/>
        <v>3.9691190614659502</v>
      </c>
      <c r="E883" s="108">
        <f t="shared" si="26"/>
        <v>55.322838784145567</v>
      </c>
      <c r="F883" s="108">
        <f t="shared" si="26"/>
        <v>28.868682980547561</v>
      </c>
      <c r="G883" s="108">
        <f t="shared" si="26"/>
        <v>7.9031197836905784</v>
      </c>
      <c r="H883" s="108">
        <f t="shared" si="26"/>
        <v>7.9031197836905784</v>
      </c>
    </row>
    <row r="884" spans="1:8" x14ac:dyDescent="0.3">
      <c r="A884" s="1" t="s">
        <v>534</v>
      </c>
      <c r="B884" s="90" t="s">
        <v>327</v>
      </c>
      <c r="C884" s="90"/>
      <c r="D884" s="108">
        <f>D885-SUM(D880:D883)</f>
        <v>84.857496247775998</v>
      </c>
      <c r="E884" s="108">
        <f>E885-SUM(E880:E883)</f>
        <v>645.19019542735623</v>
      </c>
      <c r="F884" s="108">
        <f>F885-SUM(F880:F883)</f>
        <v>339.800169591741</v>
      </c>
      <c r="G884" s="108">
        <f>G885-SUM(G880:G883)</f>
        <v>94.627895329345847</v>
      </c>
      <c r="H884" s="108">
        <f>H885-SUM(H880:H883)</f>
        <v>94.627895329345847</v>
      </c>
    </row>
    <row r="885" spans="1:8" x14ac:dyDescent="0.3">
      <c r="A885" s="1" t="s">
        <v>312</v>
      </c>
      <c r="B885" s="90" t="s">
        <v>327</v>
      </c>
      <c r="C885" s="90"/>
      <c r="D885" s="108">
        <f>SUM(D880:D883)/0.98</f>
        <v>4242.8748123887781</v>
      </c>
      <c r="E885" s="108">
        <f>SUM(E880:E883)/0.98</f>
        <v>32259.509771367746</v>
      </c>
      <c r="F885" s="108">
        <f>SUM(F880:F883)/0.98</f>
        <v>16990.008479587017</v>
      </c>
      <c r="G885" s="108">
        <f>SUM(G880:G883)/0.98</f>
        <v>4731.3947664672678</v>
      </c>
      <c r="H885" s="108">
        <f>SUM(H880:H883)/0.98</f>
        <v>4731.3947664672678</v>
      </c>
    </row>
    <row r="886" spans="1:8" x14ac:dyDescent="0.3">
      <c r="B886" s="90"/>
      <c r="C886" s="90"/>
      <c r="D886" s="90"/>
      <c r="E886" s="90"/>
      <c r="F886" s="90"/>
      <c r="G886" s="90"/>
      <c r="H886" s="90"/>
    </row>
    <row r="887" spans="1:8" ht="15.5" x14ac:dyDescent="0.35">
      <c r="A887" s="123" t="s">
        <v>697</v>
      </c>
      <c r="B887" s="90"/>
      <c r="C887" s="90"/>
      <c r="D887" s="90"/>
      <c r="E887" s="90"/>
      <c r="F887" s="90"/>
      <c r="G887" s="90"/>
      <c r="H887" s="90"/>
    </row>
    <row r="888" spans="1:8" x14ac:dyDescent="0.3">
      <c r="A888" s="1" t="s">
        <v>571</v>
      </c>
      <c r="B888" s="90" t="s">
        <v>327</v>
      </c>
      <c r="C888" s="90"/>
      <c r="D888" s="108">
        <f>D842*'Input &amp; Calculation Summary'!C$129+D880</f>
        <v>309.00758582179412</v>
      </c>
      <c r="E888" s="108">
        <f>E842*'Input &amp; Calculation Summary'!D$129+E880</f>
        <v>4192.7773247954592</v>
      </c>
      <c r="F888" s="108">
        <f>F842*'Input &amp; Calculation Summary'!E$129+F880</f>
        <v>2208.6302211787511</v>
      </c>
      <c r="G888" s="108">
        <f>G842*'Input &amp; Calculation Summary'!F$129+G880</f>
        <v>615.28231402560994</v>
      </c>
      <c r="H888" s="108">
        <f>H842*'Input &amp; Calculation Summary'!G$129+H880</f>
        <v>615.28231402560994</v>
      </c>
    </row>
    <row r="889" spans="1:8" x14ac:dyDescent="0.3">
      <c r="A889" s="1" t="s">
        <v>572</v>
      </c>
      <c r="B889" s="90" t="s">
        <v>327</v>
      </c>
      <c r="C889" s="90"/>
      <c r="D889" s="108">
        <f>D843*'Input &amp; Calculation Summary'!C$129+D881</f>
        <v>137.31471922261312</v>
      </c>
      <c r="E889" s="108">
        <f>E843*'Input &amp; Calculation Summary'!D$129+E881</f>
        <v>1863.1582767979462</v>
      </c>
      <c r="F889" s="108">
        <f>F843*'Input &amp; Calculation Summary'!E$129+F881</f>
        <v>981.45628975801026</v>
      </c>
      <c r="G889" s="108">
        <f>G843*'Input &amp; Calculation Summary'!F$129+G881</f>
        <v>273.41502949960102</v>
      </c>
      <c r="H889" s="108">
        <f>H843*'Input &amp; Calculation Summary'!G$129+H881</f>
        <v>273.41502949960102</v>
      </c>
    </row>
    <row r="890" spans="1:8" x14ac:dyDescent="0.3">
      <c r="A890" s="1" t="s">
        <v>565</v>
      </c>
      <c r="B890" s="90" t="s">
        <v>327</v>
      </c>
      <c r="C890" s="90"/>
      <c r="D890" s="108">
        <f>D844*'Input &amp; Calculation Summary'!C$129+D882</f>
        <v>4634.5880270030211</v>
      </c>
      <c r="E890" s="108">
        <f>E844*'Input &amp; Calculation Summary'!D$129+E882</f>
        <v>30803.431140922548</v>
      </c>
      <c r="F890" s="108">
        <f>F844*'Input &amp; Calculation Summary'!E$129+F882</f>
        <v>16222.826853837094</v>
      </c>
      <c r="G890" s="108">
        <f>G844*'Input &amp; Calculation Summary'!F$129+G882</f>
        <v>4517.58983968955</v>
      </c>
      <c r="H890" s="108">
        <f>H844*'Input &amp; Calculation Summary'!G$129+H882</f>
        <v>4517.58983968955</v>
      </c>
    </row>
    <row r="891" spans="1:8" x14ac:dyDescent="0.3">
      <c r="A891" s="1" t="s">
        <v>656</v>
      </c>
      <c r="B891" s="90" t="s">
        <v>327</v>
      </c>
      <c r="C891" s="90"/>
      <c r="D891" s="108">
        <f>D845*'Input &amp; Calculation Summary'!C$129+D883</f>
        <v>9.3464637841596776</v>
      </c>
      <c r="E891" s="108">
        <f>E845*'Input &amp; Calculation Summary'!D$129+E883</f>
        <v>97.274673313111521</v>
      </c>
      <c r="F891" s="108">
        <f>F845*'Input &amp; Calculation Summary'!E$129+F883</f>
        <v>50.917780896121002</v>
      </c>
      <c r="G891" s="108">
        <f>G845*'Input &amp; Calculation Summary'!F$129+G883</f>
        <v>14.020224440167175</v>
      </c>
      <c r="H891" s="108">
        <f>H845*'Input &amp; Calculation Summary'!G$129+H883</f>
        <v>14.020224440167175</v>
      </c>
    </row>
    <row r="892" spans="1:8" x14ac:dyDescent="0.3">
      <c r="A892" s="1" t="s">
        <v>534</v>
      </c>
      <c r="B892" s="90" t="s">
        <v>327</v>
      </c>
      <c r="C892" s="90"/>
      <c r="D892" s="108">
        <f>D846*'Input &amp; Calculation Summary'!C$129+D884</f>
        <v>103.88279175166551</v>
      </c>
      <c r="E892" s="108">
        <f>E846*'Input &amp; Calculation Summary'!D$129+E884</f>
        <v>754.21717175161484</v>
      </c>
      <c r="F892" s="108">
        <f>F846*'Input &amp; Calculation Summary'!E$129+F884</f>
        <v>397.22104378918391</v>
      </c>
      <c r="G892" s="108">
        <f>G846*'Input &amp; Calculation Summary'!F$129+G884</f>
        <v>110.61851852357044</v>
      </c>
      <c r="H892" s="108">
        <f>H846*'Input &amp; Calculation Summary'!G$129+H884</f>
        <v>110.61851852357044</v>
      </c>
    </row>
    <row r="893" spans="1:8" x14ac:dyDescent="0.3">
      <c r="A893" s="1" t="s">
        <v>312</v>
      </c>
      <c r="B893" s="90" t="s">
        <v>327</v>
      </c>
      <c r="C893" s="90"/>
      <c r="D893" s="108">
        <f>SUM(D888:D892)</f>
        <v>5194.1395875832541</v>
      </c>
      <c r="E893" s="108">
        <f>SUM(E888:E892)</f>
        <v>37710.858587580682</v>
      </c>
      <c r="F893" s="108">
        <f>SUM(F888:F892)</f>
        <v>19861.052189459162</v>
      </c>
      <c r="G893" s="108">
        <f>SUM(G888:G892)</f>
        <v>5530.9259261784991</v>
      </c>
      <c r="H893" s="108">
        <f>SUM(H888:H892)</f>
        <v>5530.9259261784991</v>
      </c>
    </row>
    <row r="894" spans="1:8" x14ac:dyDescent="0.3">
      <c r="B894" s="90"/>
      <c r="C894" s="90"/>
      <c r="D894" s="90"/>
      <c r="E894" s="90"/>
      <c r="F894" s="90"/>
      <c r="G894" s="90"/>
      <c r="H894" s="90"/>
    </row>
    <row r="895" spans="1:8" ht="13.5" x14ac:dyDescent="0.35">
      <c r="A895" s="218" t="s">
        <v>702</v>
      </c>
      <c r="B895" s="217"/>
      <c r="C895" s="217"/>
      <c r="D895" s="217"/>
      <c r="E895" s="217"/>
      <c r="F895" s="217"/>
      <c r="G895" s="217"/>
      <c r="H895" s="217"/>
    </row>
    <row r="896" spans="1:8" ht="15.5" x14ac:dyDescent="0.35">
      <c r="A896" s="123" t="s">
        <v>690</v>
      </c>
      <c r="B896" s="90"/>
      <c r="C896" s="90"/>
      <c r="D896" s="90"/>
      <c r="E896" s="90"/>
      <c r="F896" s="90"/>
      <c r="G896" s="90"/>
      <c r="H896" s="90"/>
    </row>
    <row r="897" spans="1:8" x14ac:dyDescent="0.3">
      <c r="A897" s="1" t="s">
        <v>571</v>
      </c>
      <c r="B897" s="90" t="s">
        <v>327</v>
      </c>
      <c r="C897" s="90"/>
      <c r="D897" s="108">
        <f>IF(ABS(D888-D810)&lt;1,D888,D888+D888-D810)</f>
        <v>309.00758582179412</v>
      </c>
      <c r="E897" s="108">
        <f>IF(ABS(E888-E810)&lt;1,E888,E888+E888-E810)</f>
        <v>4192.7773247954592</v>
      </c>
      <c r="F897" s="108">
        <f>IF(ABS(F888-F810)&lt;1,F888,F888+F888-F810)</f>
        <v>2208.6302211787511</v>
      </c>
      <c r="G897" s="108">
        <f>IF(ABS(G888-G810)&lt;1,G888,G888+G888-G810)</f>
        <v>615.28231402560994</v>
      </c>
      <c r="H897" s="108">
        <f>IF(ABS(H888-H810)&lt;1,H888,H888+H888-H810)</f>
        <v>615.28231402560994</v>
      </c>
    </row>
    <row r="898" spans="1:8" x14ac:dyDescent="0.3">
      <c r="A898" s="1" t="s">
        <v>572</v>
      </c>
      <c r="B898" s="90" t="s">
        <v>327</v>
      </c>
      <c r="C898" s="90"/>
      <c r="D898" s="108">
        <f>IF(ABS(D888-D810)&lt;1,D889,D889+D889-D811)</f>
        <v>137.31471922261312</v>
      </c>
      <c r="E898" s="108">
        <f>IF(ABS(E888-E810)&lt;1,E889,E889+E889-E811)</f>
        <v>1863.1582767979462</v>
      </c>
      <c r="F898" s="108">
        <f>IF(ABS(F888-F810)&lt;1,F889,F889+F889-F811)</f>
        <v>981.45628975801026</v>
      </c>
      <c r="G898" s="108">
        <f>IF(ABS(G888-G810)&lt;1,G889,G889+G889-G811)</f>
        <v>273.41502949960102</v>
      </c>
      <c r="H898" s="108">
        <f>IF(ABS(H888-H810)&lt;1,H889,H889+H889-H811)</f>
        <v>273.41502949960102</v>
      </c>
    </row>
    <row r="899" spans="1:8" x14ac:dyDescent="0.3">
      <c r="A899" s="1" t="s">
        <v>565</v>
      </c>
      <c r="B899" s="90" t="s">
        <v>327</v>
      </c>
      <c r="C899" s="90"/>
      <c r="D899" s="108">
        <f>IF(ABS(D888-D810)&lt;1,D890,D890-(D888-D810+D889-D811)/2)</f>
        <v>4634.5880270030211</v>
      </c>
      <c r="E899" s="108">
        <f>IF(ABS(E888-E810)&lt;1,E890,E890-(E888-E810+E889-E811)/2)</f>
        <v>30803.431140922548</v>
      </c>
      <c r="F899" s="108">
        <f>IF(ABS(F888-F810)&lt;1,F890,F890-(F888-F810+F889-F811)/2)</f>
        <v>16222.826853837094</v>
      </c>
      <c r="G899" s="108">
        <f>IF(ABS(G888-G810)&lt;1,G890,G890-(G888-G810+G889-G811)/2)</f>
        <v>4517.58983968955</v>
      </c>
      <c r="H899" s="108">
        <f>IF(ABS(H888-H810)&lt;1,H890,H890-(H888-H810+H889-H811)/2)</f>
        <v>4517.58983968955</v>
      </c>
    </row>
    <row r="900" spans="1:8" x14ac:dyDescent="0.3">
      <c r="A900" s="1" t="s">
        <v>656</v>
      </c>
      <c r="B900" s="90" t="s">
        <v>327</v>
      </c>
      <c r="C900" s="90"/>
      <c r="D900" s="108">
        <f>IF(ABS(D888-D810)&lt;1,D891,D891-(D888-D810+D889-D811)/2)</f>
        <v>9.3464637841596776</v>
      </c>
      <c r="E900" s="108">
        <f>IF(ABS(E888-E810)&lt;1,E891,E891-(E888-E810+E889-E811)/2)</f>
        <v>97.274673313111521</v>
      </c>
      <c r="F900" s="108">
        <f>IF(ABS(F888-F810)&lt;1,F891,F891-(F888-F810+F889-F811)/2)</f>
        <v>50.917780896121002</v>
      </c>
      <c r="G900" s="108">
        <f>IF(ABS(G888-G810)&lt;1,G891,G891-(G888-G810+G889-G811)/2)</f>
        <v>14.020224440167175</v>
      </c>
      <c r="H900" s="108">
        <f>IF(ABS(H888-H810)&lt;1,H891,H891-(H888-H810+H889-H811)/2)</f>
        <v>14.020224440167175</v>
      </c>
    </row>
    <row r="901" spans="1:8" x14ac:dyDescent="0.3">
      <c r="A901" s="1" t="s">
        <v>534</v>
      </c>
      <c r="B901" s="90" t="s">
        <v>327</v>
      </c>
      <c r="C901" s="90"/>
      <c r="D901" s="108">
        <f>D892</f>
        <v>103.88279175166551</v>
      </c>
      <c r="E901" s="108">
        <f>E892</f>
        <v>754.21717175161484</v>
      </c>
      <c r="F901" s="108">
        <f>F892</f>
        <v>397.22104378918391</v>
      </c>
      <c r="G901" s="108">
        <f>G892</f>
        <v>110.61851852357044</v>
      </c>
      <c r="H901" s="108">
        <f>H892</f>
        <v>110.61851852357044</v>
      </c>
    </row>
    <row r="902" spans="1:8" x14ac:dyDescent="0.3">
      <c r="A902" s="1" t="s">
        <v>312</v>
      </c>
      <c r="B902" s="90" t="s">
        <v>327</v>
      </c>
      <c r="C902" s="90"/>
      <c r="D902" s="108">
        <f>SUM(D897:D901)</f>
        <v>5194.1395875832541</v>
      </c>
      <c r="E902" s="108">
        <f>SUM(E897:E901)</f>
        <v>37710.858587580682</v>
      </c>
      <c r="F902" s="108">
        <f>SUM(F897:F901)</f>
        <v>19861.052189459162</v>
      </c>
      <c r="G902" s="108">
        <f>SUM(G897:G901)</f>
        <v>5530.9259261784991</v>
      </c>
      <c r="H902" s="108">
        <f>SUM(H897:H901)</f>
        <v>5530.9259261784991</v>
      </c>
    </row>
    <row r="903" spans="1:8" x14ac:dyDescent="0.3">
      <c r="B903" s="90"/>
      <c r="C903" s="90"/>
      <c r="D903" s="90"/>
      <c r="E903" s="90"/>
      <c r="F903" s="90"/>
      <c r="G903" s="90"/>
      <c r="H903" s="90"/>
    </row>
    <row r="904" spans="1:8" ht="15.5" x14ac:dyDescent="0.35">
      <c r="A904" s="123" t="s">
        <v>691</v>
      </c>
      <c r="B904" s="90"/>
      <c r="C904" s="90"/>
      <c r="D904" s="90"/>
      <c r="E904" s="90"/>
      <c r="F904" s="90"/>
      <c r="G904" s="90"/>
      <c r="H904" s="90"/>
    </row>
    <row r="905" spans="1:8" x14ac:dyDescent="0.3">
      <c r="A905" s="1" t="s">
        <v>571</v>
      </c>
      <c r="B905" s="90" t="s">
        <v>327</v>
      </c>
      <c r="C905" s="90"/>
      <c r="D905" s="108">
        <f>D897</f>
        <v>309.00758582179412</v>
      </c>
      <c r="E905" s="108">
        <f>E897</f>
        <v>4192.7773247954592</v>
      </c>
      <c r="F905" s="108">
        <f>F897</f>
        <v>2208.6302211787511</v>
      </c>
      <c r="G905" s="108">
        <f>G897</f>
        <v>615.28231402560994</v>
      </c>
      <c r="H905" s="108">
        <f>H897</f>
        <v>615.28231402560994</v>
      </c>
    </row>
    <row r="906" spans="1:8" x14ac:dyDescent="0.3">
      <c r="A906" s="1" t="s">
        <v>572</v>
      </c>
      <c r="B906" s="90" t="s">
        <v>327</v>
      </c>
      <c r="C906" s="90"/>
      <c r="D906" s="108">
        <f t="shared" ref="D906:H908" si="27">D898</f>
        <v>137.31471922261312</v>
      </c>
      <c r="E906" s="108">
        <f t="shared" si="27"/>
        <v>1863.1582767979462</v>
      </c>
      <c r="F906" s="108">
        <f t="shared" si="27"/>
        <v>981.45628975801026</v>
      </c>
      <c r="G906" s="108">
        <f t="shared" si="27"/>
        <v>273.41502949960102</v>
      </c>
      <c r="H906" s="108">
        <f t="shared" si="27"/>
        <v>273.41502949960102</v>
      </c>
    </row>
    <row r="907" spans="1:8" x14ac:dyDescent="0.3">
      <c r="A907" s="1" t="s">
        <v>565</v>
      </c>
      <c r="B907" s="90" t="s">
        <v>327</v>
      </c>
      <c r="C907" s="90"/>
      <c r="D907" s="108">
        <f t="shared" si="27"/>
        <v>4634.5880270030211</v>
      </c>
      <c r="E907" s="108">
        <f t="shared" si="27"/>
        <v>30803.431140922548</v>
      </c>
      <c r="F907" s="108">
        <f t="shared" si="27"/>
        <v>16222.826853837094</v>
      </c>
      <c r="G907" s="108">
        <f t="shared" si="27"/>
        <v>4517.58983968955</v>
      </c>
      <c r="H907" s="108">
        <f t="shared" si="27"/>
        <v>4517.58983968955</v>
      </c>
    </row>
    <row r="908" spans="1:8" x14ac:dyDescent="0.3">
      <c r="A908" s="1" t="s">
        <v>656</v>
      </c>
      <c r="B908" s="90" t="s">
        <v>327</v>
      </c>
      <c r="C908" s="90"/>
      <c r="D908" s="108">
        <f t="shared" si="27"/>
        <v>9.3464637841596776</v>
      </c>
      <c r="E908" s="108">
        <f t="shared" si="27"/>
        <v>97.274673313111521</v>
      </c>
      <c r="F908" s="108">
        <f t="shared" si="27"/>
        <v>50.917780896121002</v>
      </c>
      <c r="G908" s="108">
        <f t="shared" si="27"/>
        <v>14.020224440167175</v>
      </c>
      <c r="H908" s="108">
        <f t="shared" si="27"/>
        <v>14.020224440167175</v>
      </c>
    </row>
    <row r="909" spans="1:8" x14ac:dyDescent="0.3">
      <c r="A909" s="1" t="s">
        <v>534</v>
      </c>
      <c r="B909" s="90" t="s">
        <v>327</v>
      </c>
      <c r="C909" s="90"/>
      <c r="D909" s="108">
        <f>SUM(D905:D908)/'Input &amp; Calculation Summary'!C$128*(1-'Input &amp; Calculation Summary'!C$128)</f>
        <v>9453.3340494015229</v>
      </c>
      <c r="E909" s="108">
        <f>SUM(E905:E908)/'Input &amp; Calculation Summary'!D$128*(1-'Input &amp; Calculation Summary'!D$128)</f>
        <v>68633.762629396835</v>
      </c>
      <c r="F909" s="108">
        <f>SUM(F905:F908)/'Input &amp; Calculation Summary'!E$128*(1-'Input &amp; Calculation Summary'!E$128)</f>
        <v>36147.114984815678</v>
      </c>
      <c r="G909" s="108">
        <f>SUM(G905:G908)/'Input &amp; Calculation Summary'!F$128*(1-'Input &amp; Calculation Summary'!F$128)</f>
        <v>10066.285185644867</v>
      </c>
      <c r="H909" s="108">
        <f>SUM(H905:H908)/'Input &amp; Calculation Summary'!G$128*(1-'Input &amp; Calculation Summary'!G$128)</f>
        <v>10066.285185644867</v>
      </c>
    </row>
    <row r="910" spans="1:8" x14ac:dyDescent="0.3">
      <c r="A910" s="1" t="s">
        <v>312</v>
      </c>
      <c r="B910" s="90" t="s">
        <v>327</v>
      </c>
      <c r="C910" s="90"/>
      <c r="D910" s="108">
        <f>SUM(D905:D909)</f>
        <v>14543.590845233111</v>
      </c>
      <c r="E910" s="108">
        <f>SUM(E905:E909)</f>
        <v>105590.40404522591</v>
      </c>
      <c r="F910" s="108">
        <f>SUM(F905:F909)</f>
        <v>55610.946130485652</v>
      </c>
      <c r="G910" s="108">
        <f>SUM(G905:G909)</f>
        <v>15486.592593299796</v>
      </c>
      <c r="H910" s="108">
        <f>SUM(H905:H909)</f>
        <v>15486.592593299796</v>
      </c>
    </row>
    <row r="911" spans="1:8" x14ac:dyDescent="0.3">
      <c r="B911" s="90"/>
      <c r="C911" s="90"/>
      <c r="D911" s="90"/>
      <c r="E911" s="90"/>
      <c r="F911" s="90"/>
      <c r="G911" s="90"/>
      <c r="H911" s="90"/>
    </row>
    <row r="912" spans="1:8" ht="15.5" x14ac:dyDescent="0.35">
      <c r="A912" s="123" t="s">
        <v>692</v>
      </c>
      <c r="B912" s="90"/>
      <c r="C912" s="90"/>
      <c r="D912" s="90"/>
      <c r="E912" s="90"/>
      <c r="F912" s="90"/>
      <c r="G912" s="90"/>
      <c r="H912" s="90"/>
    </row>
    <row r="913" spans="1:8" x14ac:dyDescent="0.3">
      <c r="A913" s="1" t="s">
        <v>571</v>
      </c>
      <c r="B913" s="90" t="s">
        <v>327</v>
      </c>
      <c r="C913" s="90"/>
      <c r="D913" s="108">
        <f>D905/'Input &amp; Calculation Summary'!C$129</f>
        <v>309.00758582179412</v>
      </c>
      <c r="E913" s="108">
        <f>E905/'Input &amp; Calculation Summary'!D$129</f>
        <v>4192.7773247954592</v>
      </c>
      <c r="F913" s="108">
        <f>F905/'Input &amp; Calculation Summary'!E$129</f>
        <v>2208.6302211787511</v>
      </c>
      <c r="G913" s="108">
        <f>G905/'Input &amp; Calculation Summary'!F$129</f>
        <v>615.28231402560994</v>
      </c>
      <c r="H913" s="108">
        <f>H905/'Input &amp; Calculation Summary'!G$129</f>
        <v>615.28231402560994</v>
      </c>
    </row>
    <row r="914" spans="1:8" x14ac:dyDescent="0.3">
      <c r="A914" s="1" t="s">
        <v>572</v>
      </c>
      <c r="B914" s="90" t="s">
        <v>327</v>
      </c>
      <c r="C914" s="90"/>
      <c r="D914" s="108">
        <f>D906/'Input &amp; Calculation Summary'!C$129</f>
        <v>137.31471922261312</v>
      </c>
      <c r="E914" s="108">
        <f>E906/'Input &amp; Calculation Summary'!D$129</f>
        <v>1863.1582767979462</v>
      </c>
      <c r="F914" s="108">
        <f>F906/'Input &amp; Calculation Summary'!E$129</f>
        <v>981.45628975801026</v>
      </c>
      <c r="G914" s="108">
        <f>G906/'Input &amp; Calculation Summary'!F$129</f>
        <v>273.41502949960102</v>
      </c>
      <c r="H914" s="108">
        <f>H906/'Input &amp; Calculation Summary'!G$129</f>
        <v>273.41502949960102</v>
      </c>
    </row>
    <row r="915" spans="1:8" x14ac:dyDescent="0.3">
      <c r="A915" s="1" t="s">
        <v>565</v>
      </c>
      <c r="B915" s="90" t="s">
        <v>327</v>
      </c>
      <c r="C915" s="90"/>
      <c r="D915" s="108">
        <f>D907/'Input &amp; Calculation Summary'!C$129+(D$117/'Input &amp; Calculation Summary'!C$129)</f>
        <v>4651.9018256282989</v>
      </c>
      <c r="E915" s="108">
        <f>E907/'Input &amp; Calculation Summary'!D$129+(E$117/'Input &amp; Calculation Summary'!D$129)</f>
        <v>30929.13400288115</v>
      </c>
      <c r="F915" s="108">
        <f>F907/'Input &amp; Calculation Summary'!E$129+(F$117/'Input &amp; Calculation Summary'!E$129)</f>
        <v>16289.030361135292</v>
      </c>
      <c r="G915" s="108">
        <f>G907/'Input &amp; Calculation Summary'!F$129+(G$117/'Input &amp; Calculation Summary'!F$129)</f>
        <v>4536.026259443478</v>
      </c>
      <c r="H915" s="108">
        <f>H907/'Input &amp; Calculation Summary'!G$129+(H$117/'Input &amp; Calculation Summary'!G$129)</f>
        <v>4536.026259443478</v>
      </c>
    </row>
    <row r="916" spans="1:8" x14ac:dyDescent="0.3">
      <c r="A916" s="1" t="s">
        <v>656</v>
      </c>
      <c r="B916" s="90" t="s">
        <v>327</v>
      </c>
      <c r="C916" s="90"/>
      <c r="D916" s="108">
        <f>D908/'Input &amp; Calculation Summary'!C$129+(D$116/'Input &amp; Calculation Summary'!C$129)</f>
        <v>215.22859581487245</v>
      </c>
      <c r="E916" s="108">
        <f>E908/'Input &amp; Calculation Summary'!D$129+(E$116/'Input &amp; Calculation Summary'!D$129)</f>
        <v>1592.0346495909675</v>
      </c>
      <c r="F916" s="108">
        <f>F908/'Input &amp; Calculation Summary'!E$129+(F$116/'Input &amp; Calculation Summary'!E$129)</f>
        <v>838.15803506912505</v>
      </c>
      <c r="G916" s="108">
        <f>G908/'Input &amp; Calculation Summary'!F$129+(G$116/'Input &amp; Calculation Summary'!F$129)</f>
        <v>233.25168762758608</v>
      </c>
      <c r="H916" s="108">
        <f>H908/'Input &amp; Calculation Summary'!G$129+(H$116/'Input &amp; Calculation Summary'!G$129)</f>
        <v>233.25168762758608</v>
      </c>
    </row>
    <row r="917" spans="1:8" x14ac:dyDescent="0.3">
      <c r="A917" s="1" t="s">
        <v>534</v>
      </c>
      <c r="B917" s="90" t="s">
        <v>327</v>
      </c>
      <c r="C917" s="90"/>
      <c r="D917" s="108">
        <f>D909/'Input &amp; Calculation Summary'!C$129+(D$118/'Input &amp; Calculation Summary'!C$129)</f>
        <v>9974.1245542654997</v>
      </c>
      <c r="E917" s="108">
        <f>E909/'Input &amp; Calculation Summary'!D$129+(E$118/'Input &amp; Calculation Summary'!D$129)</f>
        <v>72414.842585281905</v>
      </c>
      <c r="F917" s="108">
        <f>F909/'Input &amp; Calculation Summary'!E$129+(F$118/'Input &amp; Calculation Summary'!E$129)</f>
        <v>38138.483761581818</v>
      </c>
      <c r="G917" s="108">
        <f>G909/'Input &amp; Calculation Summary'!F$129+(G$118/'Input &amp; Calculation Summary'!F$129)</f>
        <v>10620.843579174678</v>
      </c>
      <c r="H917" s="108">
        <f>H909/'Input &amp; Calculation Summary'!G$129+(H$118/'Input &amp; Calculation Summary'!G$129)</f>
        <v>10620.843579174678</v>
      </c>
    </row>
    <row r="918" spans="1:8" x14ac:dyDescent="0.3">
      <c r="A918" s="1" t="s">
        <v>312</v>
      </c>
      <c r="B918" s="90" t="s">
        <v>327</v>
      </c>
      <c r="C918" s="90"/>
      <c r="D918" s="108">
        <f>SUM(D913:D917)</f>
        <v>15287.577280753078</v>
      </c>
      <c r="E918" s="108">
        <f>SUM(E913:E917)</f>
        <v>110991.94683934742</v>
      </c>
      <c r="F918" s="108">
        <f>SUM(F913:F917)</f>
        <v>58455.758668722992</v>
      </c>
      <c r="G918" s="108">
        <f>SUM(G913:G917)</f>
        <v>16278.818869770952</v>
      </c>
      <c r="H918" s="108">
        <f>SUM(H913:H917)</f>
        <v>16278.818869770952</v>
      </c>
    </row>
    <row r="919" spans="1:8" x14ac:dyDescent="0.3">
      <c r="B919" s="90"/>
      <c r="C919" s="90"/>
      <c r="D919" s="90"/>
      <c r="E919" s="90"/>
      <c r="F919" s="90"/>
      <c r="G919" s="90"/>
      <c r="H919" s="90"/>
    </row>
    <row r="920" spans="1:8" ht="15.5" x14ac:dyDescent="0.35">
      <c r="A920" s="123" t="s">
        <v>682</v>
      </c>
      <c r="B920" s="90"/>
      <c r="C920" s="90"/>
      <c r="D920" s="90"/>
      <c r="E920" s="90"/>
      <c r="F920" s="90"/>
      <c r="G920" s="90"/>
      <c r="H920" s="90"/>
    </row>
    <row r="921" spans="1:8" x14ac:dyDescent="0.3">
      <c r="A921" s="1" t="s">
        <v>571</v>
      </c>
      <c r="B921" s="90" t="s">
        <v>327</v>
      </c>
      <c r="C921" s="90"/>
      <c r="D921" s="108">
        <f>D913+D$363</f>
        <v>520.01752549317916</v>
      </c>
      <c r="E921" s="108">
        <f>E913+E$363</f>
        <v>5724.7665717813979</v>
      </c>
      <c r="F921" s="108">
        <f>F913+F$363</f>
        <v>3015.4778912580123</v>
      </c>
      <c r="G921" s="108">
        <f>G913+G$363</f>
        <v>839.97407025021425</v>
      </c>
      <c r="H921" s="108">
        <f>H913+H$363</f>
        <v>839.97407025021425</v>
      </c>
    </row>
    <row r="922" spans="1:8" x14ac:dyDescent="0.3">
      <c r="A922" s="1" t="s">
        <v>572</v>
      </c>
      <c r="B922" s="90" t="s">
        <v>327</v>
      </c>
      <c r="C922" s="90"/>
      <c r="D922" s="108">
        <f>D914+D$374</f>
        <v>231.08190148158403</v>
      </c>
      <c r="E922" s="108">
        <f>E914+E$374</f>
        <v>2543.9333870350611</v>
      </c>
      <c r="F922" s="108">
        <f>F914+F$374</f>
        <v>1339.9978478162241</v>
      </c>
      <c r="G922" s="108">
        <f>G914+G$374</f>
        <v>373.26204566771128</v>
      </c>
      <c r="H922" s="108">
        <f>H914+H$374</f>
        <v>373.26204566771128</v>
      </c>
    </row>
    <row r="923" spans="1:8" x14ac:dyDescent="0.3">
      <c r="A923" s="1" t="s">
        <v>565</v>
      </c>
      <c r="B923" s="90" t="s">
        <v>327</v>
      </c>
      <c r="C923" s="90"/>
      <c r="D923" s="108">
        <f>D915+D$50+(D$32/HCl_MolWt*CaCl2_MolWt/2/'Input &amp; Calculation Summary'!C$129)</f>
        <v>8517.4783656282998</v>
      </c>
      <c r="E923" s="108">
        <f>E915+E$50+(E$32/HCl_MolWt*CaCl2_MolWt/2/'Input &amp; Calculation Summary'!D$129)</f>
        <v>44734.375611881151</v>
      </c>
      <c r="F923" s="108">
        <f>F915+F$50+(F$32/HCl_MolWt*CaCl2_MolWt/2/'Input &amp; Calculation Summary'!E$129)</f>
        <v>23559.790941875293</v>
      </c>
      <c r="G923" s="108">
        <f>G915+G$50+(G$32/HCl_MolWt*CaCl2_MolWt/2/'Input &amp; Calculation Summary'!F$129)</f>
        <v>6560.7950287634785</v>
      </c>
      <c r="H923" s="108">
        <f>H915+H$50+(H$32/HCl_MolWt*CaCl2_MolWt/2/'Input &amp; Calculation Summary'!G$129)</f>
        <v>6560.7950287634785</v>
      </c>
    </row>
    <row r="924" spans="1:8" x14ac:dyDescent="0.3">
      <c r="A924" s="1" t="s">
        <v>656</v>
      </c>
      <c r="B924" s="90" t="s">
        <v>327</v>
      </c>
      <c r="C924" s="90"/>
      <c r="D924" s="108">
        <f>D916-(D$361+D$370)-(D$32/HCl_MolWt*Ca_OH_2_MolWt/2/'Input &amp; Calculation Summary'!C$129)</f>
        <v>53.817004302793634</v>
      </c>
      <c r="E924" s="108">
        <f>E916-(E$361+E$370)-(E$32/HCl_MolWt*Ca_OH_2_MolWt/2/'Input &amp; Calculation Summary'!D$129)</f>
        <v>420.14282818912829</v>
      </c>
      <c r="F924" s="108">
        <f>F916-(F$361+F$370)-(F$32/HCl_MolWt*Ca_OH_2_MolWt/2/'Input &amp; Calculation Summary'!E$129)</f>
        <v>220.96167579748987</v>
      </c>
      <c r="G924" s="108">
        <f>G916-(G$361+G$370)-(G$32/HCl_MolWt*Ca_OH_2_MolWt/2/'Input &amp; Calculation Summary'!F$129)</f>
        <v>61.374220488649655</v>
      </c>
      <c r="H924" s="108">
        <f>H916-(H$361+H$370)-(H$32/HCl_MolWt*Ca_OH_2_MolWt/2/'Input &amp; Calculation Summary'!G$129)</f>
        <v>61.374220488649655</v>
      </c>
    </row>
    <row r="925" spans="1:8" x14ac:dyDescent="0.3">
      <c r="A925" s="1" t="s">
        <v>534</v>
      </c>
      <c r="B925" s="90" t="s">
        <v>327</v>
      </c>
      <c r="C925" s="90"/>
      <c r="D925" s="90" t="s">
        <v>687</v>
      </c>
      <c r="E925" s="90" t="s">
        <v>687</v>
      </c>
      <c r="F925" s="90" t="s">
        <v>687</v>
      </c>
      <c r="G925" s="90" t="s">
        <v>687</v>
      </c>
      <c r="H925" s="90" t="s">
        <v>687</v>
      </c>
    </row>
    <row r="926" spans="1:8" x14ac:dyDescent="0.3">
      <c r="A926" s="1" t="s">
        <v>312</v>
      </c>
      <c r="B926" s="90" t="s">
        <v>327</v>
      </c>
      <c r="C926" s="90"/>
      <c r="D926" s="108">
        <f>SUM(D921:D924)</f>
        <v>9322.3947969058554</v>
      </c>
      <c r="E926" s="108">
        <f>SUM(E921:E924)</f>
        <v>53423.218398886733</v>
      </c>
      <c r="F926" s="108">
        <f>SUM(F921:F924)</f>
        <v>28136.228356747019</v>
      </c>
      <c r="G926" s="108">
        <f>SUM(G921:G924)</f>
        <v>7835.4053651700533</v>
      </c>
      <c r="H926" s="108">
        <f>SUM(H921:H924)</f>
        <v>7835.4053651700533</v>
      </c>
    </row>
    <row r="927" spans="1:8" x14ac:dyDescent="0.3">
      <c r="B927" s="90"/>
      <c r="C927" s="90"/>
      <c r="D927" s="90"/>
      <c r="E927" s="90"/>
      <c r="F927" s="90"/>
      <c r="G927" s="90"/>
      <c r="H927" s="90"/>
    </row>
    <row r="928" spans="1:8" ht="15.5" x14ac:dyDescent="0.35">
      <c r="A928" s="123" t="s">
        <v>693</v>
      </c>
      <c r="B928" s="90"/>
      <c r="C928" s="90"/>
      <c r="D928" s="90"/>
      <c r="E928" s="90"/>
      <c r="F928" s="90"/>
      <c r="G928" s="90"/>
      <c r="H928" s="90"/>
    </row>
    <row r="929" spans="1:8" x14ac:dyDescent="0.3">
      <c r="A929" s="1" t="s">
        <v>571</v>
      </c>
      <c r="B929" s="90" t="s">
        <v>327</v>
      </c>
      <c r="C929" s="90"/>
      <c r="D929" s="108">
        <f>D921*0.1</f>
        <v>52.001752549317921</v>
      </c>
      <c r="E929" s="108">
        <f>E921*0.1</f>
        <v>572.47665717813982</v>
      </c>
      <c r="F929" s="108">
        <f>F921*0.1</f>
        <v>301.54778912580122</v>
      </c>
      <c r="G929" s="108">
        <f>G921*0.1</f>
        <v>83.997407025021431</v>
      </c>
      <c r="H929" s="108">
        <f>H921*0.1</f>
        <v>83.997407025021431</v>
      </c>
    </row>
    <row r="930" spans="1:8" x14ac:dyDescent="0.3">
      <c r="A930" s="1" t="s">
        <v>572</v>
      </c>
      <c r="B930" s="90" t="s">
        <v>327</v>
      </c>
      <c r="C930" s="90"/>
      <c r="D930" s="108">
        <f t="shared" ref="D930:H932" si="28">D922*0.1</f>
        <v>23.108190148158403</v>
      </c>
      <c r="E930" s="108">
        <f t="shared" si="28"/>
        <v>254.39333870350612</v>
      </c>
      <c r="F930" s="108">
        <f t="shared" si="28"/>
        <v>133.99978478162242</v>
      </c>
      <c r="G930" s="108">
        <f t="shared" si="28"/>
        <v>37.326204566771132</v>
      </c>
      <c r="H930" s="108">
        <f t="shared" si="28"/>
        <v>37.326204566771132</v>
      </c>
    </row>
    <row r="931" spans="1:8" x14ac:dyDescent="0.3">
      <c r="A931" s="1" t="s">
        <v>565</v>
      </c>
      <c r="B931" s="90" t="s">
        <v>327</v>
      </c>
      <c r="C931" s="90"/>
      <c r="D931" s="108">
        <f t="shared" si="28"/>
        <v>851.74783656283</v>
      </c>
      <c r="E931" s="108">
        <f t="shared" si="28"/>
        <v>4473.4375611881151</v>
      </c>
      <c r="F931" s="108">
        <f t="shared" si="28"/>
        <v>2355.9790941875294</v>
      </c>
      <c r="G931" s="108">
        <f t="shared" si="28"/>
        <v>656.07950287634787</v>
      </c>
      <c r="H931" s="108">
        <f t="shared" si="28"/>
        <v>656.07950287634787</v>
      </c>
    </row>
    <row r="932" spans="1:8" x14ac:dyDescent="0.3">
      <c r="A932" s="1" t="s">
        <v>656</v>
      </c>
      <c r="B932" s="90" t="s">
        <v>327</v>
      </c>
      <c r="C932" s="90"/>
      <c r="D932" s="108">
        <f t="shared" si="28"/>
        <v>5.3817004302793636</v>
      </c>
      <c r="E932" s="108">
        <f t="shared" si="28"/>
        <v>42.014282818912832</v>
      </c>
      <c r="F932" s="108">
        <f t="shared" si="28"/>
        <v>22.09616757974899</v>
      </c>
      <c r="G932" s="108">
        <f t="shared" si="28"/>
        <v>6.1374220488649662</v>
      </c>
      <c r="H932" s="108">
        <f t="shared" si="28"/>
        <v>6.1374220488649662</v>
      </c>
    </row>
    <row r="933" spans="1:8" x14ac:dyDescent="0.3">
      <c r="A933" s="1" t="s">
        <v>534</v>
      </c>
      <c r="B933" s="90" t="s">
        <v>327</v>
      </c>
      <c r="C933" s="90"/>
      <c r="D933" s="108">
        <f>SUM(D929:D932)*0.02/0.98</f>
        <v>19.025295503889502</v>
      </c>
      <c r="E933" s="108">
        <f>SUM(E929:E932)*0.02/0.98</f>
        <v>109.02697632425865</v>
      </c>
      <c r="F933" s="108">
        <f>SUM(F929:F932)*0.02/0.98</f>
        <v>57.420874197442899</v>
      </c>
      <c r="G933" s="108">
        <f>SUM(G929:G932)*0.02/0.98</f>
        <v>15.990623194224602</v>
      </c>
      <c r="H933" s="108">
        <f>SUM(H929:H932)*0.02/0.98</f>
        <v>15.990623194224602</v>
      </c>
    </row>
    <row r="934" spans="1:8" x14ac:dyDescent="0.3">
      <c r="A934" s="1" t="s">
        <v>312</v>
      </c>
      <c r="B934" s="90" t="s">
        <v>327</v>
      </c>
      <c r="C934" s="90"/>
      <c r="D934" s="108">
        <f>SUM(D929:D933)</f>
        <v>951.26477519447519</v>
      </c>
      <c r="E934" s="108">
        <f>SUM(E929:E933)</f>
        <v>5451.3488162129324</v>
      </c>
      <c r="F934" s="108">
        <f>SUM(F929:F933)</f>
        <v>2871.043709872145</v>
      </c>
      <c r="G934" s="108">
        <f>SUM(G929:G933)</f>
        <v>799.53115971122998</v>
      </c>
      <c r="H934" s="108">
        <f>SUM(H929:H933)</f>
        <v>799.53115971122998</v>
      </c>
    </row>
    <row r="935" spans="1:8" x14ac:dyDescent="0.3">
      <c r="B935" s="90"/>
      <c r="C935" s="90"/>
      <c r="D935" s="90"/>
      <c r="E935" s="90"/>
      <c r="F935" s="90"/>
      <c r="G935" s="90"/>
      <c r="H935" s="90"/>
    </row>
    <row r="936" spans="1:8" ht="15.5" x14ac:dyDescent="0.35">
      <c r="A936" s="123" t="s">
        <v>684</v>
      </c>
      <c r="B936" s="90"/>
      <c r="C936" s="90"/>
      <c r="D936" s="90"/>
      <c r="E936" s="90"/>
      <c r="F936" s="90"/>
      <c r="G936" s="90"/>
      <c r="H936" s="90"/>
    </row>
    <row r="937" spans="1:8" x14ac:dyDescent="0.3">
      <c r="A937" s="1" t="s">
        <v>571</v>
      </c>
      <c r="B937" s="90" t="s">
        <v>327</v>
      </c>
      <c r="C937" s="90"/>
      <c r="D937" s="108">
        <f>(D921-D929)*'Input &amp; Calculation Summary'!C$129+D$385</f>
        <v>520.76825786170753</v>
      </c>
      <c r="E937" s="108">
        <f>(E921-E929)*'Input &amp; Calculation Summary'!D$129+E$385</f>
        <v>5535.2872263497429</v>
      </c>
      <c r="F937" s="108">
        <f>(F921-F929)*'Input &amp; Calculation Summary'!E$129+F$385</f>
        <v>2915.6420196520266</v>
      </c>
      <c r="G937" s="108">
        <f>(G921-G929)*'Input &amp; Calculation Summary'!F$129+G$385</f>
        <v>812.14960228134396</v>
      </c>
      <c r="H937" s="108">
        <f>(H921-H929)*'Input &amp; Calculation Summary'!G$129+H$385</f>
        <v>812.14960228134396</v>
      </c>
    </row>
    <row r="938" spans="1:8" x14ac:dyDescent="0.3">
      <c r="A938" s="1" t="s">
        <v>572</v>
      </c>
      <c r="B938" s="90" t="s">
        <v>327</v>
      </c>
      <c r="C938" s="90"/>
      <c r="D938" s="108">
        <f>(D922-D930)*'Input &amp; Calculation Summary'!C$129+D$396</f>
        <v>231.41550689816836</v>
      </c>
      <c r="E938" s="108">
        <f>(E922-E930)*'Input &amp; Calculation Summary'!D$129+E$396</f>
        <v>2459.7338258908335</v>
      </c>
      <c r="F938" s="108">
        <f>(F922-F930)*'Input &amp; Calculation Summary'!E$129+F$396</f>
        <v>1295.6334525491552</v>
      </c>
      <c r="G938" s="108">
        <f>(G922-G930)*'Input &amp; Calculation Summary'!F$129+G$396</f>
        <v>360.8975951429677</v>
      </c>
      <c r="H938" s="108">
        <f>(H922-H930)*'Input &amp; Calculation Summary'!G$129+H$396</f>
        <v>360.8975951429677</v>
      </c>
    </row>
    <row r="939" spans="1:8" x14ac:dyDescent="0.3">
      <c r="A939" s="1" t="s">
        <v>565</v>
      </c>
      <c r="B939" s="90" t="s">
        <v>327</v>
      </c>
      <c r="C939" s="90"/>
      <c r="D939" s="108">
        <f>(D923-D931)*'Input &amp; Calculation Summary'!C$129</f>
        <v>7665.7305290654695</v>
      </c>
      <c r="E939" s="108">
        <f>(E923-E931)*'Input &amp; Calculation Summary'!D$129</f>
        <v>40260.938050693032</v>
      </c>
      <c r="F939" s="108">
        <f>(F923-F931)*'Input &amp; Calculation Summary'!E$129</f>
        <v>21203.811847687764</v>
      </c>
      <c r="G939" s="108">
        <f>(G923-G931)*'Input &amp; Calculation Summary'!F$129</f>
        <v>5904.7155258871308</v>
      </c>
      <c r="H939" s="108">
        <f>(H923-H931)*'Input &amp; Calculation Summary'!G$129</f>
        <v>5904.7155258871308</v>
      </c>
    </row>
    <row r="940" spans="1:8" x14ac:dyDescent="0.3">
      <c r="A940" s="1" t="s">
        <v>656</v>
      </c>
      <c r="B940" s="90" t="s">
        <v>327</v>
      </c>
      <c r="C940" s="90"/>
      <c r="D940" s="108">
        <f>(D924-D932)*'Input &amp; Calculation Summary'!C$129-(D$383+D$392)</f>
        <v>8.0824059944945645</v>
      </c>
      <c r="E940" s="108">
        <f>(E924-E932)*'Input &amp; Calculation Summary'!D$129-(E$383+E$392)</f>
        <v>85.155590019755664</v>
      </c>
      <c r="F940" s="108">
        <f>(F924-F932)*'Input &amp; Calculation Summary'!E$129-(F$383+F$392)</f>
        <v>44.566418399832088</v>
      </c>
      <c r="G940" s="108">
        <f>(G924-G932)*'Input &amp; Calculation Summary'!F$129-(G$383+G$392)</f>
        <v>12.267431655050586</v>
      </c>
      <c r="H940" s="108">
        <f>(H924-H932)*'Input &amp; Calculation Summary'!G$129-(H$383+H$392)</f>
        <v>12.267431655050586</v>
      </c>
    </row>
    <row r="941" spans="1:8" x14ac:dyDescent="0.3">
      <c r="A941" s="1" t="s">
        <v>534</v>
      </c>
      <c r="B941" s="90" t="s">
        <v>327</v>
      </c>
      <c r="C941" s="90"/>
      <c r="D941" s="108"/>
      <c r="E941" s="108"/>
      <c r="F941" s="108"/>
      <c r="G941" s="108"/>
      <c r="H941" s="108"/>
    </row>
    <row r="942" spans="1:8" x14ac:dyDescent="0.3">
      <c r="A942" s="1" t="s">
        <v>312</v>
      </c>
      <c r="B942" s="90" t="s">
        <v>327</v>
      </c>
      <c r="C942" s="90"/>
      <c r="D942" s="108">
        <f>SUM(D937:D940)</f>
        <v>8425.9966998198415</v>
      </c>
      <c r="E942" s="108">
        <f>SUM(E937:E940)</f>
        <v>48341.114692953364</v>
      </c>
      <c r="F942" s="108">
        <f>SUM(F937:F940)</f>
        <v>25459.653738288776</v>
      </c>
      <c r="G942" s="108">
        <f>SUM(G937:G940)</f>
        <v>7090.0301549664928</v>
      </c>
      <c r="H942" s="108">
        <f>SUM(H937:H940)</f>
        <v>7090.0301549664928</v>
      </c>
    </row>
    <row r="943" spans="1:8" x14ac:dyDescent="0.3">
      <c r="A943" s="1" t="s">
        <v>571</v>
      </c>
      <c r="B943" s="90" t="s">
        <v>694</v>
      </c>
      <c r="C943" s="90"/>
      <c r="D943" s="215">
        <f>D937/(D942-D941)</f>
        <v>6.1804944437355666E-2</v>
      </c>
      <c r="E943" s="215">
        <f>E937/(E942-E941)</f>
        <v>0.11450474945619357</v>
      </c>
      <c r="F943" s="215">
        <f>F937/(F942-F941)</f>
        <v>0.11452009715541388</v>
      </c>
      <c r="G943" s="215">
        <f>G937/(G942-G941)</f>
        <v>0.11454811679643444</v>
      </c>
      <c r="H943" s="215">
        <f>H937/(H942-H941)</f>
        <v>0.11454811679643444</v>
      </c>
    </row>
    <row r="944" spans="1:8" x14ac:dyDescent="0.3">
      <c r="A944" s="1" t="s">
        <v>572</v>
      </c>
      <c r="B944" s="90" t="s">
        <v>694</v>
      </c>
      <c r="C944" s="90"/>
      <c r="D944" s="215">
        <f>D938/(D942-D941)</f>
        <v>2.7464466833118546E-2</v>
      </c>
      <c r="E944" s="215">
        <f>E938/(E942-E941)</f>
        <v>5.0882852857536326E-2</v>
      </c>
      <c r="F944" s="215">
        <f>F938/(F942-F941)</f>
        <v>5.0889672965216015E-2</v>
      </c>
      <c r="G944" s="215">
        <f>G938/(G942-G941)</f>
        <v>5.0902124145432957E-2</v>
      </c>
      <c r="H944" s="215">
        <f>H938/(H942-H941)</f>
        <v>5.0902124145432957E-2</v>
      </c>
    </row>
    <row r="945" spans="1:8" x14ac:dyDescent="0.3">
      <c r="A945" s="1" t="s">
        <v>565</v>
      </c>
      <c r="B945" s="90" t="s">
        <v>694</v>
      </c>
      <c r="C945" s="90"/>
      <c r="D945" s="215">
        <f>D939/(D942-D941)</f>
        <v>0.90977136618500842</v>
      </c>
      <c r="E945" s="215">
        <f>E939/(E942-E941)</f>
        <v>0.83285084149211452</v>
      </c>
      <c r="F945" s="215">
        <f>F939/(F942-F941)</f>
        <v>0.83283975758866469</v>
      </c>
      <c r="G945" s="215">
        <f>G939/(G942-G941)</f>
        <v>0.83281952217804578</v>
      </c>
      <c r="H945" s="215">
        <f>H939/(H942-H941)</f>
        <v>0.83281952217804578</v>
      </c>
    </row>
    <row r="946" spans="1:8" x14ac:dyDescent="0.3">
      <c r="A946" s="1" t="s">
        <v>656</v>
      </c>
      <c r="B946" s="90" t="s">
        <v>694</v>
      </c>
      <c r="C946" s="90"/>
      <c r="D946" s="215">
        <f>D940/(D942-D941)</f>
        <v>9.592225445171818E-4</v>
      </c>
      <c r="E946" s="215">
        <f>E940/(E942-E941)</f>
        <v>1.7615561941555459E-3</v>
      </c>
      <c r="F946" s="215">
        <f>F940/(F942-F941)</f>
        <v>1.7504722907055348E-3</v>
      </c>
      <c r="G946" s="215">
        <f>G940/(G942-G941)</f>
        <v>1.7302368800868044E-3</v>
      </c>
      <c r="H946" s="215">
        <f>H940/(H942-H941)</f>
        <v>1.7302368800868044E-3</v>
      </c>
    </row>
    <row r="947" spans="1:8" x14ac:dyDescent="0.3">
      <c r="A947" s="1" t="s">
        <v>534</v>
      </c>
      <c r="B947" s="90" t="s">
        <v>694</v>
      </c>
      <c r="C947" s="90"/>
      <c r="D947" s="215"/>
      <c r="E947" s="215"/>
      <c r="F947" s="215"/>
      <c r="G947" s="215"/>
      <c r="H947" s="215"/>
    </row>
    <row r="948" spans="1:8" x14ac:dyDescent="0.3">
      <c r="A948" s="1" t="s">
        <v>312</v>
      </c>
      <c r="B948" s="90" t="s">
        <v>694</v>
      </c>
      <c r="C948" s="90"/>
      <c r="D948" s="215">
        <f>SUM(D943:D946)</f>
        <v>0.99999999999999978</v>
      </c>
      <c r="E948" s="215">
        <f>SUM(E943:E946)</f>
        <v>1</v>
      </c>
      <c r="F948" s="215">
        <f>SUM(F943:F946)</f>
        <v>1.0000000000000002</v>
      </c>
      <c r="G948" s="215">
        <f>SUM(G943:G946)</f>
        <v>0.99999999999999989</v>
      </c>
      <c r="H948" s="215">
        <f>SUM(H943:H946)</f>
        <v>0.99999999999999989</v>
      </c>
    </row>
    <row r="949" spans="1:8" x14ac:dyDescent="0.3">
      <c r="B949" s="90"/>
      <c r="C949" s="90"/>
      <c r="D949" s="90"/>
      <c r="E949" s="90"/>
      <c r="F949" s="90"/>
      <c r="G949" s="90"/>
      <c r="H949" s="90"/>
    </row>
    <row r="950" spans="1:8" ht="15.5" x14ac:dyDescent="0.35">
      <c r="A950" s="123" t="s">
        <v>666</v>
      </c>
      <c r="B950" s="90"/>
      <c r="C950" s="90"/>
      <c r="D950" s="90"/>
      <c r="E950" s="90"/>
      <c r="F950" s="90"/>
      <c r="G950" s="90"/>
      <c r="H950" s="90"/>
    </row>
    <row r="951" spans="1:8" x14ac:dyDescent="0.3">
      <c r="A951" s="1" t="s">
        <v>571</v>
      </c>
      <c r="B951" s="90" t="s">
        <v>327</v>
      </c>
      <c r="C951" s="90"/>
      <c r="D951" s="108">
        <f>D943*(D956-D955)</f>
        <v>262.86071694648905</v>
      </c>
      <c r="E951" s="108">
        <f>E943*(E956-E955)</f>
        <v>1909.2002779272343</v>
      </c>
      <c r="F951" s="108">
        <f>F943*(F956-F955)</f>
        <v>1005.6469206796414</v>
      </c>
      <c r="G951" s="108">
        <f>G943*(G956-G955)</f>
        <v>280.1220935768049</v>
      </c>
      <c r="H951" s="108">
        <f>H943*(H956-H955)</f>
        <v>280.1220935768049</v>
      </c>
    </row>
    <row r="952" spans="1:8" x14ac:dyDescent="0.3">
      <c r="A952" s="1" t="s">
        <v>572</v>
      </c>
      <c r="B952" s="90" t="s">
        <v>327</v>
      </c>
      <c r="C952" s="90"/>
      <c r="D952" s="108">
        <f>D944*(D956-D955)</f>
        <v>116.80828302699938</v>
      </c>
      <c r="E952" s="108">
        <f>E944*(E956-E955)</f>
        <v>848.39761912674373</v>
      </c>
      <c r="F952" s="108">
        <f>F944*(F956-F955)</f>
        <v>446.88263617530572</v>
      </c>
      <c r="G952" s="108">
        <f>G944*(G956-G955)</f>
        <v>124.4787778437659</v>
      </c>
      <c r="H952" s="108">
        <f>H944*(H956-H955)</f>
        <v>124.4787778437659</v>
      </c>
    </row>
    <row r="953" spans="1:8" x14ac:dyDescent="0.3">
      <c r="A953" s="1" t="s">
        <v>565</v>
      </c>
      <c r="B953" s="90" t="s">
        <v>327</v>
      </c>
      <c r="C953" s="90"/>
      <c r="D953" s="108">
        <f>D945*(D956-D955)</f>
        <v>3869.3207436691282</v>
      </c>
      <c r="E953" s="108">
        <f>E945*(E956-E955)</f>
        <v>13886.577330637254</v>
      </c>
      <c r="F953" s="108">
        <f>F945*(F956-F955)</f>
        <v>7313.5000619323637</v>
      </c>
      <c r="G953" s="108">
        <f>G945*(G956-G955)</f>
        <v>2036.6214185671379</v>
      </c>
      <c r="H953" s="108">
        <f>H945*(H956-H955)</f>
        <v>2036.6214185671379</v>
      </c>
    </row>
    <row r="954" spans="1:8" x14ac:dyDescent="0.3">
      <c r="A954" s="1" t="s">
        <v>656</v>
      </c>
      <c r="B954" s="90" t="s">
        <v>327</v>
      </c>
      <c r="C954" s="90"/>
      <c r="D954" s="108">
        <f>D946*(D956-D955)</f>
        <v>4.0796400362205372</v>
      </c>
      <c r="E954" s="108">
        <f>E946*(E956-E955)</f>
        <v>29.371389321740448</v>
      </c>
      <c r="F954" s="108">
        <f>F946*(F956-F955)</f>
        <v>15.371599506190599</v>
      </c>
      <c r="G954" s="108">
        <f>G946*(G956-G955)</f>
        <v>4.2312138408616899</v>
      </c>
      <c r="H954" s="108">
        <f>H946*(H956-H955)</f>
        <v>4.2312138408616899</v>
      </c>
    </row>
    <row r="955" spans="1:8" x14ac:dyDescent="0.3">
      <c r="A955" s="1" t="s">
        <v>534</v>
      </c>
      <c r="B955" s="90" t="s">
        <v>327</v>
      </c>
      <c r="C955" s="90"/>
      <c r="D955" s="108">
        <f>D956*0.02</f>
        <v>86.797334360792618</v>
      </c>
      <c r="E955" s="108">
        <f>E956*0.02</f>
        <v>340.27646157169335</v>
      </c>
      <c r="F955" s="108">
        <f>F956*0.02</f>
        <v>179.21226976109185</v>
      </c>
      <c r="G955" s="108">
        <f>G956*0.02</f>
        <v>49.907214363848368</v>
      </c>
      <c r="H955" s="108">
        <f>H956*0.02</f>
        <v>49.907214363848368</v>
      </c>
    </row>
    <row r="956" spans="1:8" x14ac:dyDescent="0.3">
      <c r="A956" s="1" t="s">
        <v>312</v>
      </c>
      <c r="B956" s="90" t="s">
        <v>327</v>
      </c>
      <c r="C956" s="90"/>
      <c r="D956" s="108">
        <f>D$458</f>
        <v>4339.8667180396305</v>
      </c>
      <c r="E956" s="108">
        <f>E$458</f>
        <v>17013.823078584668</v>
      </c>
      <c r="F956" s="108">
        <f>F$458</f>
        <v>8960.6134880545924</v>
      </c>
      <c r="G956" s="108">
        <f>G$458</f>
        <v>2495.3607181924185</v>
      </c>
      <c r="H956" s="108">
        <f>H$458</f>
        <v>2495.3607181924185</v>
      </c>
    </row>
    <row r="957" spans="1:8" x14ac:dyDescent="0.3">
      <c r="B957" s="90"/>
      <c r="C957" s="90"/>
      <c r="D957" s="90"/>
      <c r="E957" s="90"/>
      <c r="F957" s="90"/>
      <c r="G957" s="90"/>
      <c r="H957" s="90"/>
    </row>
    <row r="958" spans="1:8" ht="15.5" x14ac:dyDescent="0.35">
      <c r="A958" s="123" t="s">
        <v>695</v>
      </c>
      <c r="B958" s="90"/>
      <c r="C958" s="90"/>
      <c r="D958" s="90"/>
      <c r="E958" s="90"/>
      <c r="F958" s="90"/>
      <c r="G958" s="90"/>
      <c r="H958" s="90"/>
    </row>
    <row r="959" spans="1:8" x14ac:dyDescent="0.3">
      <c r="A959" s="1" t="s">
        <v>571</v>
      </c>
      <c r="B959" s="90" t="s">
        <v>327</v>
      </c>
      <c r="C959" s="90"/>
      <c r="D959" s="208">
        <f>D943*D964</f>
        <v>0.92151172156097294</v>
      </c>
      <c r="E959" s="208">
        <f>E943*E964</f>
        <v>6.0972061514181233</v>
      </c>
      <c r="F959" s="208">
        <f>F943*F964</f>
        <v>3.2116256538468293</v>
      </c>
      <c r="G959" s="208">
        <f>G943*G964</f>
        <v>0.89459559159445778</v>
      </c>
      <c r="H959" s="208">
        <f>H943*H964</f>
        <v>0.89459559159445778</v>
      </c>
    </row>
    <row r="960" spans="1:8" x14ac:dyDescent="0.3">
      <c r="A960" s="1" t="s">
        <v>572</v>
      </c>
      <c r="B960" s="90" t="s">
        <v>327</v>
      </c>
      <c r="C960" s="90"/>
      <c r="D960" s="208">
        <f>D944*D964</f>
        <v>0.40949520048179755</v>
      </c>
      <c r="E960" s="208">
        <f>E944*E964</f>
        <v>2.7094355903845231</v>
      </c>
      <c r="F960" s="208">
        <f>F944*F964</f>
        <v>1.4271606754678405</v>
      </c>
      <c r="G960" s="208">
        <f>G944*G964</f>
        <v>0.3975343911085194</v>
      </c>
      <c r="H960" s="208">
        <f>H944*H964</f>
        <v>0.3975343911085194</v>
      </c>
    </row>
    <row r="961" spans="1:8" x14ac:dyDescent="0.3">
      <c r="A961" s="1" t="s">
        <v>565</v>
      </c>
      <c r="B961" s="90" t="s">
        <v>327</v>
      </c>
      <c r="C961" s="90"/>
      <c r="D961" s="208">
        <f>D945*D964</f>
        <v>13.564691069818476</v>
      </c>
      <c r="E961" s="208">
        <f>E945*E964</f>
        <v>44.348058033192864</v>
      </c>
      <c r="F961" s="208">
        <f>F945*F964</f>
        <v>23.356333058165607</v>
      </c>
      <c r="G961" s="208">
        <f>G945*G964</f>
        <v>6.5041372479156587</v>
      </c>
      <c r="H961" s="208">
        <f>H945*H964</f>
        <v>6.5041372479156587</v>
      </c>
    </row>
    <row r="962" spans="1:8" x14ac:dyDescent="0.3">
      <c r="A962" s="1" t="s">
        <v>656</v>
      </c>
      <c r="B962" s="90" t="s">
        <v>327</v>
      </c>
      <c r="C962" s="90"/>
      <c r="D962" s="208">
        <f>D946*D964</f>
        <v>1.430200813875118E-2</v>
      </c>
      <c r="E962" s="208">
        <f>E946*E964</f>
        <v>9.3800225004491589E-2</v>
      </c>
      <c r="F962" s="208">
        <f>F946*F964</f>
        <v>4.9090612519727066E-2</v>
      </c>
      <c r="G962" s="208">
        <f>G946*G964</f>
        <v>1.3512769381364323E-2</v>
      </c>
      <c r="H962" s="208">
        <f>H946*H964</f>
        <v>1.3512769381364323E-2</v>
      </c>
    </row>
    <row r="963" spans="1:8" x14ac:dyDescent="0.3">
      <c r="A963" s="1" t="s">
        <v>534</v>
      </c>
      <c r="B963" s="90" t="s">
        <v>327</v>
      </c>
      <c r="C963" s="90"/>
      <c r="D963" s="90"/>
      <c r="E963" s="90"/>
      <c r="F963" s="90"/>
      <c r="G963" s="90"/>
      <c r="H963" s="90"/>
    </row>
    <row r="964" spans="1:8" x14ac:dyDescent="0.3">
      <c r="A964" s="1" t="s">
        <v>312</v>
      </c>
      <c r="B964" s="90" t="s">
        <v>327</v>
      </c>
      <c r="C964" s="90"/>
      <c r="D964" s="108">
        <f>D$80</f>
        <v>14.91</v>
      </c>
      <c r="E964" s="108">
        <f>E$80</f>
        <v>53.2485</v>
      </c>
      <c r="F964" s="108">
        <f>F$80</f>
        <v>28.04421</v>
      </c>
      <c r="G964" s="108">
        <f>G$80</f>
        <v>7.8097799999999999</v>
      </c>
      <c r="H964" s="108">
        <f>H$80</f>
        <v>7.8097799999999999</v>
      </c>
    </row>
    <row r="965" spans="1:8" x14ac:dyDescent="0.3">
      <c r="B965" s="90"/>
      <c r="C965" s="90"/>
      <c r="D965" s="90"/>
      <c r="E965" s="90"/>
      <c r="F965" s="90"/>
      <c r="G965" s="90"/>
      <c r="H965" s="90"/>
    </row>
    <row r="966" spans="1:8" ht="15.5" x14ac:dyDescent="0.35">
      <c r="A966" s="123" t="s">
        <v>696</v>
      </c>
      <c r="B966" s="90"/>
      <c r="C966" s="90"/>
      <c r="D966" s="90"/>
      <c r="E966" s="90"/>
      <c r="F966" s="90"/>
      <c r="G966" s="90"/>
      <c r="H966" s="90"/>
    </row>
    <row r="967" spans="1:8" x14ac:dyDescent="0.3">
      <c r="A967" s="1" t="s">
        <v>571</v>
      </c>
      <c r="B967" s="90" t="s">
        <v>327</v>
      </c>
      <c r="C967" s="90"/>
      <c r="D967" s="108">
        <f>D937-D951-D959</f>
        <v>256.98602919365749</v>
      </c>
      <c r="E967" s="108">
        <f>E937-E951-E959</f>
        <v>3619.9897422710906</v>
      </c>
      <c r="F967" s="108">
        <f>F937-F951-F959</f>
        <v>1906.7834733185384</v>
      </c>
      <c r="G967" s="108">
        <f>G937-G951-G959</f>
        <v>531.13291311294461</v>
      </c>
      <c r="H967" s="108">
        <f>H937-H951-H959</f>
        <v>531.13291311294461</v>
      </c>
    </row>
    <row r="968" spans="1:8" x14ac:dyDescent="0.3">
      <c r="A968" s="1" t="s">
        <v>572</v>
      </c>
      <c r="B968" s="90" t="s">
        <v>327</v>
      </c>
      <c r="C968" s="90"/>
      <c r="D968" s="108">
        <f t="shared" ref="D968:H970" si="29">D938-D952-D960</f>
        <v>114.19772867068718</v>
      </c>
      <c r="E968" s="108">
        <f t="shared" si="29"/>
        <v>1608.626771173705</v>
      </c>
      <c r="F968" s="108">
        <f t="shared" si="29"/>
        <v>847.32365569838169</v>
      </c>
      <c r="G968" s="108">
        <f t="shared" si="29"/>
        <v>236.0212829080933</v>
      </c>
      <c r="H968" s="108">
        <f t="shared" si="29"/>
        <v>236.0212829080933</v>
      </c>
    </row>
    <row r="969" spans="1:8" x14ac:dyDescent="0.3">
      <c r="A969" s="1" t="s">
        <v>565</v>
      </c>
      <c r="B969" s="90" t="s">
        <v>327</v>
      </c>
      <c r="C969" s="90"/>
      <c r="D969" s="108">
        <f t="shared" si="29"/>
        <v>3782.8450943265229</v>
      </c>
      <c r="E969" s="108">
        <f t="shared" si="29"/>
        <v>26330.012662022586</v>
      </c>
      <c r="F969" s="108">
        <f t="shared" si="29"/>
        <v>13866.955452697235</v>
      </c>
      <c r="G969" s="108">
        <f t="shared" si="29"/>
        <v>3861.589970072077</v>
      </c>
      <c r="H969" s="108">
        <f t="shared" si="29"/>
        <v>3861.589970072077</v>
      </c>
    </row>
    <row r="970" spans="1:8" x14ac:dyDescent="0.3">
      <c r="A970" s="1" t="s">
        <v>656</v>
      </c>
      <c r="B970" s="90" t="s">
        <v>327</v>
      </c>
      <c r="C970" s="90"/>
      <c r="D970" s="108">
        <f t="shared" si="29"/>
        <v>3.9884639501352761</v>
      </c>
      <c r="E970" s="108">
        <f t="shared" si="29"/>
        <v>55.690400473010719</v>
      </c>
      <c r="F970" s="108">
        <f t="shared" si="29"/>
        <v>29.145728281121762</v>
      </c>
      <c r="G970" s="108">
        <f t="shared" si="29"/>
        <v>8.0227050448075321</v>
      </c>
      <c r="H970" s="108">
        <f t="shared" si="29"/>
        <v>8.0227050448075321</v>
      </c>
    </row>
    <row r="971" spans="1:8" x14ac:dyDescent="0.3">
      <c r="A971" s="1" t="s">
        <v>534</v>
      </c>
      <c r="B971" s="90" t="s">
        <v>327</v>
      </c>
      <c r="C971" s="90"/>
      <c r="D971" s="108">
        <f>D972-SUM(D967:D970)</f>
        <v>84.857496247775998</v>
      </c>
      <c r="E971" s="108">
        <f>E972-SUM(E967:E970)</f>
        <v>645.19019542735623</v>
      </c>
      <c r="F971" s="108">
        <f>F972-SUM(F967:F970)</f>
        <v>339.800169591741</v>
      </c>
      <c r="G971" s="108">
        <f>G972-SUM(G967:G970)</f>
        <v>94.627895329345847</v>
      </c>
      <c r="H971" s="108">
        <f>H972-SUM(H967:H970)</f>
        <v>94.627895329345847</v>
      </c>
    </row>
    <row r="972" spans="1:8" x14ac:dyDescent="0.3">
      <c r="A972" s="1" t="s">
        <v>312</v>
      </c>
      <c r="B972" s="90" t="s">
        <v>327</v>
      </c>
      <c r="C972" s="90"/>
      <c r="D972" s="108">
        <f>SUM(D967:D970)/0.98</f>
        <v>4242.874812388779</v>
      </c>
      <c r="E972" s="108">
        <f>SUM(E967:E970)/0.98</f>
        <v>32259.509771367746</v>
      </c>
      <c r="F972" s="108">
        <f>SUM(F967:F970)/0.98</f>
        <v>16990.008479587017</v>
      </c>
      <c r="G972" s="108">
        <f>SUM(G967:G970)/0.98</f>
        <v>4731.3947664672678</v>
      </c>
      <c r="H972" s="108">
        <f>SUM(H967:H970)/0.98</f>
        <v>4731.3947664672678</v>
      </c>
    </row>
    <row r="973" spans="1:8" x14ac:dyDescent="0.3">
      <c r="B973" s="90"/>
      <c r="C973" s="90"/>
      <c r="D973" s="90"/>
      <c r="E973" s="90"/>
      <c r="F973" s="90"/>
      <c r="G973" s="90"/>
      <c r="H973" s="90"/>
    </row>
    <row r="974" spans="1:8" ht="15.5" x14ac:dyDescent="0.35">
      <c r="A974" s="123" t="s">
        <v>697</v>
      </c>
      <c r="B974" s="90"/>
      <c r="C974" s="90"/>
      <c r="D974" s="90"/>
      <c r="E974" s="90"/>
      <c r="F974" s="90"/>
      <c r="G974" s="90"/>
      <c r="H974" s="90"/>
    </row>
    <row r="975" spans="1:8" x14ac:dyDescent="0.3">
      <c r="A975" s="1" t="s">
        <v>571</v>
      </c>
      <c r="B975" s="90" t="s">
        <v>327</v>
      </c>
      <c r="C975" s="90"/>
      <c r="D975" s="108">
        <f>D929*'Input &amp; Calculation Summary'!C$129+D967</f>
        <v>308.98778174297541</v>
      </c>
      <c r="E975" s="108">
        <f>E929*'Input &amp; Calculation Summary'!D$129+E967</f>
        <v>4192.4663994492303</v>
      </c>
      <c r="F975" s="108">
        <f>F929*'Input &amp; Calculation Summary'!E$129+F967</f>
        <v>2208.3312624443397</v>
      </c>
      <c r="G975" s="108">
        <f>G929*'Input &amp; Calculation Summary'!F$129+G967</f>
        <v>615.13032013796601</v>
      </c>
      <c r="H975" s="108">
        <f>H929*'Input &amp; Calculation Summary'!G$129+H967</f>
        <v>615.13032013796601</v>
      </c>
    </row>
    <row r="976" spans="1:8" x14ac:dyDescent="0.3">
      <c r="A976" s="1" t="s">
        <v>572</v>
      </c>
      <c r="B976" s="90" t="s">
        <v>327</v>
      </c>
      <c r="C976" s="90"/>
      <c r="D976" s="108">
        <f>D930*'Input &amp; Calculation Summary'!C$129+D968</f>
        <v>137.30591881884558</v>
      </c>
      <c r="E976" s="108">
        <f>E930*'Input &amp; Calculation Summary'!D$129+E968</f>
        <v>1863.0201098772111</v>
      </c>
      <c r="F976" s="108">
        <f>F930*'Input &amp; Calculation Summary'!E$129+F968</f>
        <v>981.32344048000414</v>
      </c>
      <c r="G976" s="108">
        <f>G930*'Input &amp; Calculation Summary'!F$129+G968</f>
        <v>273.34748747486441</v>
      </c>
      <c r="H976" s="108">
        <f>H930*'Input &amp; Calculation Summary'!G$129+H968</f>
        <v>273.34748747486441</v>
      </c>
    </row>
    <row r="977" spans="1:8" x14ac:dyDescent="0.3">
      <c r="A977" s="1" t="s">
        <v>565</v>
      </c>
      <c r="B977" s="90" t="s">
        <v>327</v>
      </c>
      <c r="C977" s="90"/>
      <c r="D977" s="108">
        <f>D931*'Input &amp; Calculation Summary'!C$129+D969</f>
        <v>4634.5929308893528</v>
      </c>
      <c r="E977" s="108">
        <f>E931*'Input &amp; Calculation Summary'!D$129+E969</f>
        <v>30803.450223210701</v>
      </c>
      <c r="F977" s="108">
        <f>F931*'Input &amp; Calculation Summary'!E$129+F969</f>
        <v>16222.934546884764</v>
      </c>
      <c r="G977" s="108">
        <f>G931*'Input &amp; Calculation Summary'!F$129+G969</f>
        <v>4517.6694729484252</v>
      </c>
      <c r="H977" s="108">
        <f>H931*'Input &amp; Calculation Summary'!G$129+H969</f>
        <v>4517.6694729484252</v>
      </c>
    </row>
    <row r="978" spans="1:8" x14ac:dyDescent="0.3">
      <c r="A978" s="1" t="s">
        <v>656</v>
      </c>
      <c r="B978" s="90" t="s">
        <v>327</v>
      </c>
      <c r="C978" s="90"/>
      <c r="D978" s="108">
        <f>D932*'Input &amp; Calculation Summary'!C$129+D970</f>
        <v>9.3701643804146393</v>
      </c>
      <c r="E978" s="108">
        <f>E932*'Input &amp; Calculation Summary'!D$129+E970</f>
        <v>97.704683291923544</v>
      </c>
      <c r="F978" s="108">
        <f>F932*'Input &amp; Calculation Summary'!E$129+F970</f>
        <v>51.241895860870756</v>
      </c>
      <c r="G978" s="108">
        <f>G932*'Input &amp; Calculation Summary'!F$129+G970</f>
        <v>14.160127093672498</v>
      </c>
      <c r="H978" s="108">
        <f>H932*'Input &amp; Calculation Summary'!G$129+H970</f>
        <v>14.160127093672498</v>
      </c>
    </row>
    <row r="979" spans="1:8" x14ac:dyDescent="0.3">
      <c r="A979" s="1" t="s">
        <v>534</v>
      </c>
      <c r="B979" s="90" t="s">
        <v>327</v>
      </c>
      <c r="C979" s="90"/>
      <c r="D979" s="108">
        <f>D933*'Input &amp; Calculation Summary'!C$129+D971</f>
        <v>103.88279175166551</v>
      </c>
      <c r="E979" s="108">
        <f>E933*'Input &amp; Calculation Summary'!D$129+E971</f>
        <v>754.21717175161484</v>
      </c>
      <c r="F979" s="108">
        <f>F933*'Input &amp; Calculation Summary'!E$129+F971</f>
        <v>397.22104378918391</v>
      </c>
      <c r="G979" s="108">
        <f>G933*'Input &amp; Calculation Summary'!F$129+G971</f>
        <v>110.61851852357044</v>
      </c>
      <c r="H979" s="108">
        <f>H933*'Input &amp; Calculation Summary'!G$129+H971</f>
        <v>110.61851852357044</v>
      </c>
    </row>
    <row r="980" spans="1:8" x14ac:dyDescent="0.3">
      <c r="A980" s="1" t="s">
        <v>312</v>
      </c>
      <c r="B980" s="90" t="s">
        <v>327</v>
      </c>
      <c r="C980" s="90"/>
      <c r="D980" s="108">
        <f>SUM(D975:D979)</f>
        <v>5194.1395875832541</v>
      </c>
      <c r="E980" s="108">
        <f>SUM(E975:E979)</f>
        <v>37710.858587580682</v>
      </c>
      <c r="F980" s="108">
        <f>SUM(F975:F979)</f>
        <v>19861.052189459166</v>
      </c>
      <c r="G980" s="108">
        <f>SUM(G975:G979)</f>
        <v>5530.9259261784991</v>
      </c>
      <c r="H980" s="108">
        <f>SUM(H975:H979)</f>
        <v>5530.9259261784991</v>
      </c>
    </row>
    <row r="981" spans="1:8" x14ac:dyDescent="0.3">
      <c r="B981" s="90"/>
      <c r="C981" s="90"/>
      <c r="D981" s="90"/>
      <c r="E981" s="90"/>
      <c r="F981" s="90"/>
      <c r="G981" s="90"/>
      <c r="H981" s="90"/>
    </row>
    <row r="982" spans="1:8" ht="13.5" x14ac:dyDescent="0.35">
      <c r="A982" s="218" t="s">
        <v>703</v>
      </c>
      <c r="B982" s="217"/>
      <c r="C982" s="217"/>
      <c r="D982" s="217"/>
      <c r="E982" s="217"/>
      <c r="F982" s="217"/>
      <c r="G982" s="217"/>
      <c r="H982" s="217"/>
    </row>
    <row r="983" spans="1:8" ht="15.5" x14ac:dyDescent="0.35">
      <c r="A983" s="123" t="s">
        <v>690</v>
      </c>
      <c r="B983" s="90"/>
      <c r="C983" s="90"/>
      <c r="D983" s="90"/>
      <c r="E983" s="90"/>
      <c r="F983" s="90"/>
      <c r="G983" s="90"/>
      <c r="H983" s="90"/>
    </row>
    <row r="984" spans="1:8" x14ac:dyDescent="0.3">
      <c r="A984" s="1" t="s">
        <v>571</v>
      </c>
      <c r="B984" s="90" t="s">
        <v>327</v>
      </c>
      <c r="C984" s="90"/>
      <c r="D984" s="108">
        <f>IF(ABS(D975-D897)&lt;1,D975,D975+D975-D897)</f>
        <v>308.98778174297541</v>
      </c>
      <c r="E984" s="108">
        <f>IF(ABS(E975-E897)&lt;1,E975,E975+E975-E897)</f>
        <v>4192.4663994492303</v>
      </c>
      <c r="F984" s="108">
        <f>IF(ABS(F975-F897)&lt;1,F975,F975+F975-F897)</f>
        <v>2208.3312624443397</v>
      </c>
      <c r="G984" s="108">
        <f>IF(ABS(G975-G897)&lt;1,G975,G975+G975-G897)</f>
        <v>615.13032013796601</v>
      </c>
      <c r="H984" s="108">
        <f>IF(ABS(H975-H897)&lt;1,H975,H975+H975-H897)</f>
        <v>615.13032013796601</v>
      </c>
    </row>
    <row r="985" spans="1:8" x14ac:dyDescent="0.3">
      <c r="A985" s="1" t="s">
        <v>572</v>
      </c>
      <c r="B985" s="90" t="s">
        <v>327</v>
      </c>
      <c r="C985" s="90"/>
      <c r="D985" s="108">
        <f>IF(ABS(D975-D897)&lt;1,D976,D976+D976-D898)</f>
        <v>137.30591881884558</v>
      </c>
      <c r="E985" s="108">
        <f>IF(ABS(E975-E897)&lt;1,E976,E976+E976-E898)</f>
        <v>1863.0201098772111</v>
      </c>
      <c r="F985" s="108">
        <f>IF(ABS(F975-F897)&lt;1,F976,F976+F976-F898)</f>
        <v>981.32344048000414</v>
      </c>
      <c r="G985" s="108">
        <f>IF(ABS(G975-G897)&lt;1,G976,G976+G976-G898)</f>
        <v>273.34748747486441</v>
      </c>
      <c r="H985" s="108">
        <f>IF(ABS(H975-H897)&lt;1,H976,H976+H976-H898)</f>
        <v>273.34748747486441</v>
      </c>
    </row>
    <row r="986" spans="1:8" x14ac:dyDescent="0.3">
      <c r="A986" s="1" t="s">
        <v>565</v>
      </c>
      <c r="B986" s="90" t="s">
        <v>327</v>
      </c>
      <c r="C986" s="90"/>
      <c r="D986" s="108">
        <f>IF(ABS(D975-D897)&lt;1,D977,D977-(D975-D897+D976-D898)/2)</f>
        <v>4634.5929308893528</v>
      </c>
      <c r="E986" s="108">
        <f>IF(ABS(E975-E897)&lt;1,E977,E977-(E975-E897+E976-E898)/2)</f>
        <v>30803.450223210701</v>
      </c>
      <c r="F986" s="108">
        <f>IF(ABS(F975-F897)&lt;1,F977,F977-(F975-F897+F976-F898)/2)</f>
        <v>16222.934546884764</v>
      </c>
      <c r="G986" s="108">
        <f>IF(ABS(G975-G897)&lt;1,G977,G977-(G975-G897+G976-G898)/2)</f>
        <v>4517.6694729484252</v>
      </c>
      <c r="H986" s="108">
        <f>IF(ABS(H975-H897)&lt;1,H977,H977-(H975-H897+H976-H898)/2)</f>
        <v>4517.6694729484252</v>
      </c>
    </row>
    <row r="987" spans="1:8" x14ac:dyDescent="0.3">
      <c r="A987" s="1" t="s">
        <v>656</v>
      </c>
      <c r="B987" s="90" t="s">
        <v>327</v>
      </c>
      <c r="C987" s="90"/>
      <c r="D987" s="108">
        <f>IF(ABS(D975-D897)&lt;1,D978,D978-(D975-D897+D976-D898)/2)</f>
        <v>9.3701643804146393</v>
      </c>
      <c r="E987" s="108">
        <f>IF(ABS(E975-E897)&lt;1,E978,E978-(E975-E897+E976-E898)/2)</f>
        <v>97.704683291923544</v>
      </c>
      <c r="F987" s="108">
        <f>IF(ABS(F975-F897)&lt;1,F978,F978-(F975-F897+F976-F898)/2)</f>
        <v>51.241895860870756</v>
      </c>
      <c r="G987" s="108">
        <f>IF(ABS(G975-G897)&lt;1,G978,G978-(G975-G897+G976-G898)/2)</f>
        <v>14.160127093672498</v>
      </c>
      <c r="H987" s="108">
        <f>IF(ABS(H975-H897)&lt;1,H978,H978-(H975-H897+H976-H898)/2)</f>
        <v>14.160127093672498</v>
      </c>
    </row>
    <row r="988" spans="1:8" x14ac:dyDescent="0.3">
      <c r="A988" s="1" t="s">
        <v>534</v>
      </c>
      <c r="B988" s="90" t="s">
        <v>327</v>
      </c>
      <c r="C988" s="90"/>
      <c r="D988" s="108">
        <f>D979</f>
        <v>103.88279175166551</v>
      </c>
      <c r="E988" s="108">
        <f>E979</f>
        <v>754.21717175161484</v>
      </c>
      <c r="F988" s="108">
        <f>F979</f>
        <v>397.22104378918391</v>
      </c>
      <c r="G988" s="108">
        <f>G979</f>
        <v>110.61851852357044</v>
      </c>
      <c r="H988" s="108">
        <f>H979</f>
        <v>110.61851852357044</v>
      </c>
    </row>
    <row r="989" spans="1:8" x14ac:dyDescent="0.3">
      <c r="A989" s="1" t="s">
        <v>312</v>
      </c>
      <c r="B989" s="90" t="s">
        <v>327</v>
      </c>
      <c r="C989" s="90"/>
      <c r="D989" s="108">
        <f>SUM(D984:D988)</f>
        <v>5194.1395875832541</v>
      </c>
      <c r="E989" s="108">
        <f>SUM(E984:E988)</f>
        <v>37710.858587580682</v>
      </c>
      <c r="F989" s="108">
        <f>SUM(F984:F988)</f>
        <v>19861.052189459166</v>
      </c>
      <c r="G989" s="108">
        <f>SUM(G984:G988)</f>
        <v>5530.9259261784991</v>
      </c>
      <c r="H989" s="108">
        <f>SUM(H984:H988)</f>
        <v>5530.9259261784991</v>
      </c>
    </row>
    <row r="990" spans="1:8" x14ac:dyDescent="0.3">
      <c r="B990" s="90"/>
      <c r="C990" s="90"/>
      <c r="D990" s="90"/>
      <c r="E990" s="90"/>
      <c r="F990" s="90"/>
      <c r="G990" s="90"/>
      <c r="H990" s="90"/>
    </row>
    <row r="991" spans="1:8" ht="15.5" x14ac:dyDescent="0.35">
      <c r="A991" s="123" t="s">
        <v>691</v>
      </c>
      <c r="B991" s="90"/>
      <c r="C991" s="90"/>
      <c r="D991" s="90"/>
      <c r="E991" s="90"/>
      <c r="F991" s="90"/>
      <c r="G991" s="90"/>
      <c r="H991" s="90"/>
    </row>
    <row r="992" spans="1:8" x14ac:dyDescent="0.3">
      <c r="A992" s="1" t="s">
        <v>571</v>
      </c>
      <c r="B992" s="90" t="s">
        <v>327</v>
      </c>
      <c r="C992" s="90"/>
      <c r="D992" s="108">
        <f>D984</f>
        <v>308.98778174297541</v>
      </c>
      <c r="E992" s="108">
        <f>E984</f>
        <v>4192.4663994492303</v>
      </c>
      <c r="F992" s="108">
        <f>F984</f>
        <v>2208.3312624443397</v>
      </c>
      <c r="G992" s="108">
        <f>G984</f>
        <v>615.13032013796601</v>
      </c>
      <c r="H992" s="108">
        <f>H984</f>
        <v>615.13032013796601</v>
      </c>
    </row>
    <row r="993" spans="1:8" x14ac:dyDescent="0.3">
      <c r="A993" s="1" t="s">
        <v>572</v>
      </c>
      <c r="B993" s="90" t="s">
        <v>327</v>
      </c>
      <c r="C993" s="90"/>
      <c r="D993" s="108">
        <f t="shared" ref="D993:H995" si="30">D985</f>
        <v>137.30591881884558</v>
      </c>
      <c r="E993" s="108">
        <f t="shared" si="30"/>
        <v>1863.0201098772111</v>
      </c>
      <c r="F993" s="108">
        <f t="shared" si="30"/>
        <v>981.32344048000414</v>
      </c>
      <c r="G993" s="108">
        <f t="shared" si="30"/>
        <v>273.34748747486441</v>
      </c>
      <c r="H993" s="108">
        <f t="shared" si="30"/>
        <v>273.34748747486441</v>
      </c>
    </row>
    <row r="994" spans="1:8" x14ac:dyDescent="0.3">
      <c r="A994" s="1" t="s">
        <v>565</v>
      </c>
      <c r="B994" s="90" t="s">
        <v>327</v>
      </c>
      <c r="C994" s="90"/>
      <c r="D994" s="108">
        <f t="shared" si="30"/>
        <v>4634.5929308893528</v>
      </c>
      <c r="E994" s="108">
        <f t="shared" si="30"/>
        <v>30803.450223210701</v>
      </c>
      <c r="F994" s="108">
        <f t="shared" si="30"/>
        <v>16222.934546884764</v>
      </c>
      <c r="G994" s="108">
        <f t="shared" si="30"/>
        <v>4517.6694729484252</v>
      </c>
      <c r="H994" s="108">
        <f t="shared" si="30"/>
        <v>4517.6694729484252</v>
      </c>
    </row>
    <row r="995" spans="1:8" x14ac:dyDescent="0.3">
      <c r="A995" s="1" t="s">
        <v>656</v>
      </c>
      <c r="B995" s="90" t="s">
        <v>327</v>
      </c>
      <c r="C995" s="90"/>
      <c r="D995" s="108">
        <f t="shared" si="30"/>
        <v>9.3701643804146393</v>
      </c>
      <c r="E995" s="108">
        <f t="shared" si="30"/>
        <v>97.704683291923544</v>
      </c>
      <c r="F995" s="108">
        <f t="shared" si="30"/>
        <v>51.241895860870756</v>
      </c>
      <c r="G995" s="108">
        <f t="shared" si="30"/>
        <v>14.160127093672498</v>
      </c>
      <c r="H995" s="108">
        <f t="shared" si="30"/>
        <v>14.160127093672498</v>
      </c>
    </row>
    <row r="996" spans="1:8" x14ac:dyDescent="0.3">
      <c r="A996" s="1" t="s">
        <v>534</v>
      </c>
      <c r="B996" s="90" t="s">
        <v>327</v>
      </c>
      <c r="C996" s="90"/>
      <c r="D996" s="108">
        <f>SUM(D992:D995)/'Input &amp; Calculation Summary'!C$128*(1-'Input &amp; Calculation Summary'!C$128)</f>
        <v>9453.3340494015229</v>
      </c>
      <c r="E996" s="108">
        <f>SUM(E992:E995)/'Input &amp; Calculation Summary'!D$128*(1-'Input &amp; Calculation Summary'!D$128)</f>
        <v>68633.762629396835</v>
      </c>
      <c r="F996" s="108">
        <f>SUM(F992:F995)/'Input &amp; Calculation Summary'!E$128*(1-'Input &amp; Calculation Summary'!E$128)</f>
        <v>36147.114984815686</v>
      </c>
      <c r="G996" s="108">
        <f>SUM(G992:G995)/'Input &amp; Calculation Summary'!F$128*(1-'Input &amp; Calculation Summary'!F$128)</f>
        <v>10066.285185644867</v>
      </c>
      <c r="H996" s="108">
        <f>SUM(H992:H995)/'Input &amp; Calculation Summary'!G$128*(1-'Input &amp; Calculation Summary'!G$128)</f>
        <v>10066.285185644867</v>
      </c>
    </row>
    <row r="997" spans="1:8" x14ac:dyDescent="0.3">
      <c r="A997" s="1" t="s">
        <v>312</v>
      </c>
      <c r="B997" s="90" t="s">
        <v>327</v>
      </c>
      <c r="C997" s="90"/>
      <c r="D997" s="108">
        <f>SUM(D992:D996)</f>
        <v>14543.590845233111</v>
      </c>
      <c r="E997" s="108">
        <f>SUM(E992:E996)</f>
        <v>105590.40404522591</v>
      </c>
      <c r="F997" s="108">
        <f>SUM(F992:F996)</f>
        <v>55610.946130485667</v>
      </c>
      <c r="G997" s="108">
        <f>SUM(G992:G996)</f>
        <v>15486.592593299796</v>
      </c>
      <c r="H997" s="108">
        <f>SUM(H992:H996)</f>
        <v>15486.592593299796</v>
      </c>
    </row>
    <row r="998" spans="1:8" x14ac:dyDescent="0.3">
      <c r="B998" s="90"/>
      <c r="C998" s="90"/>
      <c r="D998" s="90"/>
      <c r="E998" s="90"/>
      <c r="F998" s="90"/>
      <c r="G998" s="90"/>
      <c r="H998" s="90"/>
    </row>
    <row r="999" spans="1:8" ht="15.5" x14ac:dyDescent="0.35">
      <c r="A999" s="123" t="s">
        <v>692</v>
      </c>
      <c r="B999" s="90"/>
      <c r="C999" s="90"/>
      <c r="D999" s="90"/>
      <c r="E999" s="90"/>
      <c r="F999" s="90"/>
      <c r="G999" s="90"/>
      <c r="H999" s="90"/>
    </row>
    <row r="1000" spans="1:8" x14ac:dyDescent="0.3">
      <c r="A1000" s="1" t="s">
        <v>571</v>
      </c>
      <c r="B1000" s="90" t="s">
        <v>327</v>
      </c>
      <c r="C1000" s="90"/>
      <c r="D1000" s="108">
        <f>D992/'Input &amp; Calculation Summary'!C$129</f>
        <v>308.98778174297541</v>
      </c>
      <c r="E1000" s="108">
        <f>E992/'Input &amp; Calculation Summary'!D$129</f>
        <v>4192.4663994492303</v>
      </c>
      <c r="F1000" s="108">
        <f>F992/'Input &amp; Calculation Summary'!E$129</f>
        <v>2208.3312624443397</v>
      </c>
      <c r="G1000" s="108">
        <f>G992/'Input &amp; Calculation Summary'!F$129</f>
        <v>615.13032013796601</v>
      </c>
      <c r="H1000" s="108">
        <f>H992/'Input &amp; Calculation Summary'!G$129</f>
        <v>615.13032013796601</v>
      </c>
    </row>
    <row r="1001" spans="1:8" x14ac:dyDescent="0.3">
      <c r="A1001" s="1" t="s">
        <v>572</v>
      </c>
      <c r="B1001" s="90" t="s">
        <v>327</v>
      </c>
      <c r="C1001" s="90"/>
      <c r="D1001" s="108">
        <f>D993/'Input &amp; Calculation Summary'!C$129</f>
        <v>137.30591881884558</v>
      </c>
      <c r="E1001" s="108">
        <f>E993/'Input &amp; Calculation Summary'!D$129</f>
        <v>1863.0201098772111</v>
      </c>
      <c r="F1001" s="108">
        <f>F993/'Input &amp; Calculation Summary'!E$129</f>
        <v>981.32344048000414</v>
      </c>
      <c r="G1001" s="108">
        <f>G993/'Input &amp; Calculation Summary'!F$129</f>
        <v>273.34748747486441</v>
      </c>
      <c r="H1001" s="108">
        <f>H993/'Input &amp; Calculation Summary'!G$129</f>
        <v>273.34748747486441</v>
      </c>
    </row>
    <row r="1002" spans="1:8" x14ac:dyDescent="0.3">
      <c r="A1002" s="1" t="s">
        <v>565</v>
      </c>
      <c r="B1002" s="90" t="s">
        <v>327</v>
      </c>
      <c r="C1002" s="90"/>
      <c r="D1002" s="108">
        <f>D994/'Input &amp; Calculation Summary'!C$129+(D$117/'Input &amp; Calculation Summary'!C$129)</f>
        <v>4651.9067295146306</v>
      </c>
      <c r="E1002" s="108">
        <f>E994/'Input &amp; Calculation Summary'!D$129+(E$117/'Input &amp; Calculation Summary'!D$129)</f>
        <v>30929.153085169302</v>
      </c>
      <c r="F1002" s="108">
        <f>F994/'Input &amp; Calculation Summary'!E$129+(F$117/'Input &amp; Calculation Summary'!E$129)</f>
        <v>16289.138054182962</v>
      </c>
      <c r="G1002" s="108">
        <f>G994/'Input &amp; Calculation Summary'!F$129+(G$117/'Input &amp; Calculation Summary'!F$129)</f>
        <v>4536.1058927023532</v>
      </c>
      <c r="H1002" s="108">
        <f>H994/'Input &amp; Calculation Summary'!G$129+(H$117/'Input &amp; Calculation Summary'!G$129)</f>
        <v>4536.1058927023532</v>
      </c>
    </row>
    <row r="1003" spans="1:8" x14ac:dyDescent="0.3">
      <c r="A1003" s="1" t="s">
        <v>656</v>
      </c>
      <c r="B1003" s="90" t="s">
        <v>327</v>
      </c>
      <c r="C1003" s="90"/>
      <c r="D1003" s="108">
        <f>D995/'Input &amp; Calculation Summary'!C$129+(D$116/'Input &amp; Calculation Summary'!C$129)</f>
        <v>215.25229641112742</v>
      </c>
      <c r="E1003" s="108">
        <f>E995/'Input &amp; Calculation Summary'!D$129+(E$116/'Input &amp; Calculation Summary'!D$129)</f>
        <v>1592.4646595697795</v>
      </c>
      <c r="F1003" s="108">
        <f>F995/'Input &amp; Calculation Summary'!E$129+(F$116/'Input &amp; Calculation Summary'!E$129)</f>
        <v>838.48215003387475</v>
      </c>
      <c r="G1003" s="108">
        <f>G995/'Input &amp; Calculation Summary'!F$129+(G$116/'Input &amp; Calculation Summary'!F$129)</f>
        <v>233.3915902810914</v>
      </c>
      <c r="H1003" s="108">
        <f>H995/'Input &amp; Calculation Summary'!G$129+(H$116/'Input &amp; Calculation Summary'!G$129)</f>
        <v>233.3915902810914</v>
      </c>
    </row>
    <row r="1004" spans="1:8" x14ac:dyDescent="0.3">
      <c r="A1004" s="1" t="s">
        <v>534</v>
      </c>
      <c r="B1004" s="90" t="s">
        <v>327</v>
      </c>
      <c r="C1004" s="90"/>
      <c r="D1004" s="108">
        <f>D996/'Input &amp; Calculation Summary'!C$129+(D$118/'Input &amp; Calculation Summary'!C$129)</f>
        <v>9974.1245542654997</v>
      </c>
      <c r="E1004" s="108">
        <f>E996/'Input &amp; Calculation Summary'!D$129+(E$118/'Input &amp; Calculation Summary'!D$129)</f>
        <v>72414.842585281905</v>
      </c>
      <c r="F1004" s="108">
        <f>F996/'Input &amp; Calculation Summary'!E$129+(F$118/'Input &amp; Calculation Summary'!E$129)</f>
        <v>38138.483761581825</v>
      </c>
      <c r="G1004" s="108">
        <f>G996/'Input &amp; Calculation Summary'!F$129+(G$118/'Input &amp; Calculation Summary'!F$129)</f>
        <v>10620.843579174678</v>
      </c>
      <c r="H1004" s="108">
        <f>H996/'Input &amp; Calculation Summary'!G$129+(H$118/'Input &amp; Calculation Summary'!G$129)</f>
        <v>10620.843579174678</v>
      </c>
    </row>
    <row r="1005" spans="1:8" x14ac:dyDescent="0.3">
      <c r="A1005" s="1" t="s">
        <v>312</v>
      </c>
      <c r="B1005" s="90" t="s">
        <v>327</v>
      </c>
      <c r="C1005" s="90"/>
      <c r="D1005" s="108">
        <f>SUM(D1000:D1004)</f>
        <v>15287.577280753078</v>
      </c>
      <c r="E1005" s="108">
        <f>SUM(E1000:E1004)</f>
        <v>110991.94683934742</v>
      </c>
      <c r="F1005" s="108">
        <f>SUM(F1000:F1004)</f>
        <v>58455.758668723007</v>
      </c>
      <c r="G1005" s="108">
        <f>SUM(G1000:G1004)</f>
        <v>16278.818869770952</v>
      </c>
      <c r="H1005" s="108">
        <f>SUM(H1000:H1004)</f>
        <v>16278.818869770952</v>
      </c>
    </row>
    <row r="1006" spans="1:8" x14ac:dyDescent="0.3">
      <c r="B1006" s="90"/>
      <c r="C1006" s="90"/>
      <c r="D1006" s="90"/>
      <c r="E1006" s="90"/>
      <c r="F1006" s="90"/>
      <c r="G1006" s="90"/>
      <c r="H1006" s="90"/>
    </row>
    <row r="1007" spans="1:8" ht="15.5" x14ac:dyDescent="0.35">
      <c r="A1007" s="123" t="s">
        <v>682</v>
      </c>
      <c r="B1007" s="90"/>
      <c r="C1007" s="90"/>
      <c r="D1007" s="90"/>
      <c r="E1007" s="90"/>
      <c r="F1007" s="90"/>
      <c r="G1007" s="90"/>
      <c r="H1007" s="90"/>
    </row>
    <row r="1008" spans="1:8" x14ac:dyDescent="0.3">
      <c r="A1008" s="1" t="s">
        <v>571</v>
      </c>
      <c r="B1008" s="90" t="s">
        <v>327</v>
      </c>
      <c r="C1008" s="90"/>
      <c r="D1008" s="108">
        <f>D1000+D$363</f>
        <v>519.9977214143604</v>
      </c>
      <c r="E1008" s="108">
        <f>E1000+E$363</f>
        <v>5724.455646435169</v>
      </c>
      <c r="F1008" s="108">
        <f>F1000+F$363</f>
        <v>3015.1789325236005</v>
      </c>
      <c r="G1008" s="108">
        <f>G1000+G$363</f>
        <v>839.82207636257044</v>
      </c>
      <c r="H1008" s="108">
        <f>H1000+H$363</f>
        <v>839.82207636257044</v>
      </c>
    </row>
    <row r="1009" spans="1:8" x14ac:dyDescent="0.3">
      <c r="A1009" s="1" t="s">
        <v>572</v>
      </c>
      <c r="B1009" s="90" t="s">
        <v>327</v>
      </c>
      <c r="C1009" s="90"/>
      <c r="D1009" s="108">
        <f>D1001+D$374</f>
        <v>231.07310107781649</v>
      </c>
      <c r="E1009" s="108">
        <f>E1001+E$374</f>
        <v>2543.7952201143262</v>
      </c>
      <c r="F1009" s="108">
        <f>F1001+F$374</f>
        <v>1339.8649985382181</v>
      </c>
      <c r="G1009" s="108">
        <f>G1001+G$374</f>
        <v>373.19450364297461</v>
      </c>
      <c r="H1009" s="108">
        <f>H1001+H$374</f>
        <v>373.19450364297461</v>
      </c>
    </row>
    <row r="1010" spans="1:8" x14ac:dyDescent="0.3">
      <c r="A1010" s="1" t="s">
        <v>565</v>
      </c>
      <c r="B1010" s="90" t="s">
        <v>327</v>
      </c>
      <c r="C1010" s="90"/>
      <c r="D1010" s="108">
        <f>D1002+D$50+(D$32/HCl_MolWt*CaCl2_MolWt/2/'Input &amp; Calculation Summary'!C$129)</f>
        <v>8517.4832695146306</v>
      </c>
      <c r="E1010" s="108">
        <f>E1002+E$50+(E$32/HCl_MolWt*CaCl2_MolWt/2/'Input &amp; Calculation Summary'!D$129)</f>
        <v>44734.394694169299</v>
      </c>
      <c r="F1010" s="108">
        <f>F1002+F$50+(F$32/HCl_MolWt*CaCl2_MolWt/2/'Input &amp; Calculation Summary'!E$129)</f>
        <v>23559.898634922964</v>
      </c>
      <c r="G1010" s="108">
        <f>G1002+G$50+(G$32/HCl_MolWt*CaCl2_MolWt/2/'Input &amp; Calculation Summary'!F$129)</f>
        <v>6560.8746620223537</v>
      </c>
      <c r="H1010" s="108">
        <f>H1002+H$50+(H$32/HCl_MolWt*CaCl2_MolWt/2/'Input &amp; Calculation Summary'!G$129)</f>
        <v>6560.8746620223537</v>
      </c>
    </row>
    <row r="1011" spans="1:8" x14ac:dyDescent="0.3">
      <c r="A1011" s="1" t="s">
        <v>656</v>
      </c>
      <c r="B1011" s="90" t="s">
        <v>327</v>
      </c>
      <c r="C1011" s="90"/>
      <c r="D1011" s="108">
        <f>D1003-(D$361+D$370)-(D$32/HCl_MolWt*Ca_OH_2_MolWt/2/'Input &amp; Calculation Summary'!C$129)</f>
        <v>53.840704899048603</v>
      </c>
      <c r="E1011" s="108">
        <f>E1003-(E$361+E$370)-(E$32/HCl_MolWt*Ca_OH_2_MolWt/2/'Input &amp; Calculation Summary'!D$129)</f>
        <v>420.57283816794029</v>
      </c>
      <c r="F1011" s="108">
        <f>F1003-(F$361+F$370)-(F$32/HCl_MolWt*Ca_OH_2_MolWt/2/'Input &amp; Calculation Summary'!E$129)</f>
        <v>221.28579076223957</v>
      </c>
      <c r="G1011" s="108">
        <f>G1003-(G$361+G$370)-(G$32/HCl_MolWt*Ca_OH_2_MolWt/2/'Input &amp; Calculation Summary'!F$129)</f>
        <v>61.514123142154972</v>
      </c>
      <c r="H1011" s="108">
        <f>H1003-(H$361+H$370)-(H$32/HCl_MolWt*Ca_OH_2_MolWt/2/'Input &amp; Calculation Summary'!G$129)</f>
        <v>61.514123142154972</v>
      </c>
    </row>
    <row r="1012" spans="1:8" x14ac:dyDescent="0.3">
      <c r="A1012" s="1" t="s">
        <v>534</v>
      </c>
      <c r="B1012" s="90" t="s">
        <v>327</v>
      </c>
      <c r="C1012" s="90"/>
      <c r="D1012" s="90" t="s">
        <v>687</v>
      </c>
      <c r="E1012" s="90" t="s">
        <v>687</v>
      </c>
      <c r="F1012" s="90" t="s">
        <v>687</v>
      </c>
      <c r="G1012" s="90" t="s">
        <v>687</v>
      </c>
      <c r="H1012" s="90" t="s">
        <v>687</v>
      </c>
    </row>
    <row r="1013" spans="1:8" x14ac:dyDescent="0.3">
      <c r="A1013" s="1" t="s">
        <v>312</v>
      </c>
      <c r="B1013" s="90" t="s">
        <v>327</v>
      </c>
      <c r="C1013" s="90"/>
      <c r="D1013" s="108">
        <f>SUM(D1008:D1011)</f>
        <v>9322.3947969058554</v>
      </c>
      <c r="E1013" s="108">
        <f>SUM(E1008:E1011)</f>
        <v>53423.21839888674</v>
      </c>
      <c r="F1013" s="108">
        <f>SUM(F1008:F1011)</f>
        <v>28136.228356747022</v>
      </c>
      <c r="G1013" s="108">
        <f>SUM(G1008:G1011)</f>
        <v>7835.4053651700542</v>
      </c>
      <c r="H1013" s="108">
        <f>SUM(H1008:H1011)</f>
        <v>7835.4053651700542</v>
      </c>
    </row>
    <row r="1014" spans="1:8" x14ac:dyDescent="0.3">
      <c r="B1014" s="90"/>
      <c r="C1014" s="90"/>
      <c r="D1014" s="90"/>
      <c r="E1014" s="90"/>
      <c r="F1014" s="90"/>
      <c r="G1014" s="90"/>
      <c r="H1014" s="90"/>
    </row>
    <row r="1015" spans="1:8" ht="15.5" x14ac:dyDescent="0.35">
      <c r="A1015" s="123" t="s">
        <v>693</v>
      </c>
      <c r="B1015" s="90"/>
      <c r="C1015" s="90"/>
      <c r="D1015" s="90"/>
      <c r="E1015" s="90"/>
      <c r="F1015" s="90"/>
      <c r="G1015" s="90"/>
      <c r="H1015" s="90"/>
    </row>
    <row r="1016" spans="1:8" x14ac:dyDescent="0.3">
      <c r="A1016" s="1" t="s">
        <v>571</v>
      </c>
      <c r="B1016" s="90" t="s">
        <v>327</v>
      </c>
      <c r="C1016" s="90"/>
      <c r="D1016" s="108">
        <f>D1008*0.1</f>
        <v>51.99977214143604</v>
      </c>
      <c r="E1016" s="108">
        <f>E1008*0.1</f>
        <v>572.44556464351695</v>
      </c>
      <c r="F1016" s="108">
        <f>F1008*0.1</f>
        <v>301.51789325236007</v>
      </c>
      <c r="G1016" s="108">
        <f>G1008*0.1</f>
        <v>83.982207636257044</v>
      </c>
      <c r="H1016" s="108">
        <f>H1008*0.1</f>
        <v>83.982207636257044</v>
      </c>
    </row>
    <row r="1017" spans="1:8" x14ac:dyDescent="0.3">
      <c r="A1017" s="1" t="s">
        <v>572</v>
      </c>
      <c r="B1017" s="90" t="s">
        <v>327</v>
      </c>
      <c r="C1017" s="90"/>
      <c r="D1017" s="108">
        <f t="shared" ref="D1017:H1019" si="31">D1009*0.1</f>
        <v>23.10731010778165</v>
      </c>
      <c r="E1017" s="108">
        <f t="shared" si="31"/>
        <v>254.37952201143264</v>
      </c>
      <c r="F1017" s="108">
        <f t="shared" si="31"/>
        <v>133.98649985382181</v>
      </c>
      <c r="G1017" s="108">
        <f t="shared" si="31"/>
        <v>37.31945036429746</v>
      </c>
      <c r="H1017" s="108">
        <f t="shared" si="31"/>
        <v>37.31945036429746</v>
      </c>
    </row>
    <row r="1018" spans="1:8" x14ac:dyDescent="0.3">
      <c r="A1018" s="1" t="s">
        <v>565</v>
      </c>
      <c r="B1018" s="90" t="s">
        <v>327</v>
      </c>
      <c r="C1018" s="90"/>
      <c r="D1018" s="108">
        <f t="shared" si="31"/>
        <v>851.74832695146313</v>
      </c>
      <c r="E1018" s="108">
        <f t="shared" si="31"/>
        <v>4473.4394694169305</v>
      </c>
      <c r="F1018" s="108">
        <f t="shared" si="31"/>
        <v>2355.9898634922965</v>
      </c>
      <c r="G1018" s="108">
        <f t="shared" si="31"/>
        <v>656.08746620223542</v>
      </c>
      <c r="H1018" s="108">
        <f t="shared" si="31"/>
        <v>656.08746620223542</v>
      </c>
    </row>
    <row r="1019" spans="1:8" x14ac:dyDescent="0.3">
      <c r="A1019" s="1" t="s">
        <v>656</v>
      </c>
      <c r="B1019" s="90" t="s">
        <v>327</v>
      </c>
      <c r="C1019" s="90"/>
      <c r="D1019" s="108">
        <f t="shared" si="31"/>
        <v>5.384070489904861</v>
      </c>
      <c r="E1019" s="108">
        <f t="shared" si="31"/>
        <v>42.057283816794033</v>
      </c>
      <c r="F1019" s="108">
        <f t="shared" si="31"/>
        <v>22.128579076223957</v>
      </c>
      <c r="G1019" s="108">
        <f t="shared" si="31"/>
        <v>6.1514123142154977</v>
      </c>
      <c r="H1019" s="108">
        <f t="shared" si="31"/>
        <v>6.1514123142154977</v>
      </c>
    </row>
    <row r="1020" spans="1:8" x14ac:dyDescent="0.3">
      <c r="A1020" s="1" t="s">
        <v>534</v>
      </c>
      <c r="B1020" s="90" t="s">
        <v>327</v>
      </c>
      <c r="C1020" s="90"/>
      <c r="D1020" s="108">
        <f>SUM(D1016:D1019)*0.02/0.98</f>
        <v>19.025295503889502</v>
      </c>
      <c r="E1020" s="108">
        <f>SUM(E1016:E1019)*0.02/0.98</f>
        <v>109.02697632425865</v>
      </c>
      <c r="F1020" s="108">
        <f>SUM(F1016:F1019)*0.02/0.98</f>
        <v>57.420874197442913</v>
      </c>
      <c r="G1020" s="108">
        <f>SUM(G1016:G1019)*0.02/0.98</f>
        <v>15.990623194224602</v>
      </c>
      <c r="H1020" s="108">
        <f>SUM(H1016:H1019)*0.02/0.98</f>
        <v>15.990623194224602</v>
      </c>
    </row>
    <row r="1021" spans="1:8" x14ac:dyDescent="0.3">
      <c r="A1021" s="1" t="s">
        <v>312</v>
      </c>
      <c r="B1021" s="90" t="s">
        <v>327</v>
      </c>
      <c r="C1021" s="90"/>
      <c r="D1021" s="108">
        <f>SUM(D1016:D1020)</f>
        <v>951.26477519447519</v>
      </c>
      <c r="E1021" s="108">
        <f>SUM(E1016:E1020)</f>
        <v>5451.3488162129324</v>
      </c>
      <c r="F1021" s="108">
        <f>SUM(F1016:F1020)</f>
        <v>2871.0437098721454</v>
      </c>
      <c r="G1021" s="108">
        <f>SUM(G1016:G1020)</f>
        <v>799.53115971122998</v>
      </c>
      <c r="H1021" s="108">
        <f>SUM(H1016:H1020)</f>
        <v>799.53115971122998</v>
      </c>
    </row>
    <row r="1022" spans="1:8" x14ac:dyDescent="0.3">
      <c r="B1022" s="90"/>
      <c r="C1022" s="90"/>
      <c r="D1022" s="90"/>
      <c r="E1022" s="90"/>
      <c r="F1022" s="90"/>
      <c r="G1022" s="90"/>
      <c r="H1022" s="90"/>
    </row>
    <row r="1023" spans="1:8" ht="15.5" x14ac:dyDescent="0.35">
      <c r="A1023" s="123" t="s">
        <v>684</v>
      </c>
      <c r="B1023" s="90"/>
      <c r="C1023" s="90"/>
      <c r="D1023" s="90"/>
      <c r="E1023" s="90"/>
      <c r="F1023" s="90"/>
      <c r="G1023" s="90"/>
      <c r="H1023" s="90"/>
    </row>
    <row r="1024" spans="1:8" x14ac:dyDescent="0.3">
      <c r="A1024" s="1" t="s">
        <v>571</v>
      </c>
      <c r="B1024" s="90" t="s">
        <v>327</v>
      </c>
      <c r="C1024" s="90"/>
      <c r="D1024" s="108">
        <f>(D1008-D1016)*'Input &amp; Calculation Summary'!C$129+D$385</f>
        <v>520.75043419077065</v>
      </c>
      <c r="E1024" s="108">
        <f>(E1008-E1016)*'Input &amp; Calculation Summary'!D$129+E$385</f>
        <v>5535.007393538137</v>
      </c>
      <c r="F1024" s="108">
        <f>(F1008-F1016)*'Input &amp; Calculation Summary'!E$129+F$385</f>
        <v>2915.3729567910559</v>
      </c>
      <c r="G1024" s="108">
        <f>(G1008-G1016)*'Input &amp; Calculation Summary'!F$129+G$385</f>
        <v>812.01280778246451</v>
      </c>
      <c r="H1024" s="108">
        <f>(H1008-H1016)*'Input &amp; Calculation Summary'!G$129+H$385</f>
        <v>812.01280778246451</v>
      </c>
    </row>
    <row r="1025" spans="1:8" x14ac:dyDescent="0.3">
      <c r="A1025" s="1" t="s">
        <v>572</v>
      </c>
      <c r="B1025" s="90" t="s">
        <v>327</v>
      </c>
      <c r="C1025" s="90"/>
      <c r="D1025" s="108">
        <f>(D1009-D1017)*'Input &amp; Calculation Summary'!C$129+D$396</f>
        <v>231.40758653477758</v>
      </c>
      <c r="E1025" s="108">
        <f>(E1009-E1017)*'Input &amp; Calculation Summary'!D$129+E$396</f>
        <v>2459.6094756621724</v>
      </c>
      <c r="F1025" s="108">
        <f>(F1009-F1017)*'Input &amp; Calculation Summary'!E$129+F$396</f>
        <v>1295.5138881989496</v>
      </c>
      <c r="G1025" s="108">
        <f>(G1009-G1017)*'Input &amp; Calculation Summary'!F$129+G$396</f>
        <v>360.83680732070474</v>
      </c>
      <c r="H1025" s="108">
        <f>(H1009-H1017)*'Input &amp; Calculation Summary'!G$129+H$396</f>
        <v>360.83680732070474</v>
      </c>
    </row>
    <row r="1026" spans="1:8" x14ac:dyDescent="0.3">
      <c r="A1026" s="1" t="s">
        <v>565</v>
      </c>
      <c r="B1026" s="90" t="s">
        <v>327</v>
      </c>
      <c r="C1026" s="90"/>
      <c r="D1026" s="108">
        <f>(D1010-D1018)*'Input &amp; Calculation Summary'!C$129</f>
        <v>7665.7349425631674</v>
      </c>
      <c r="E1026" s="108">
        <f>(E1010-E1018)*'Input &amp; Calculation Summary'!D$129</f>
        <v>40260.955224752368</v>
      </c>
      <c r="F1026" s="108">
        <f>(F1010-F1018)*'Input &amp; Calculation Summary'!E$129</f>
        <v>21203.908771430666</v>
      </c>
      <c r="G1026" s="108">
        <f>(G1010-G1018)*'Input &amp; Calculation Summary'!F$129</f>
        <v>5904.7871958201185</v>
      </c>
      <c r="H1026" s="108">
        <f>(H1010-H1018)*'Input &amp; Calculation Summary'!G$129</f>
        <v>5904.7871958201185</v>
      </c>
    </row>
    <row r="1027" spans="1:8" x14ac:dyDescent="0.3">
      <c r="A1027" s="1" t="s">
        <v>656</v>
      </c>
      <c r="B1027" s="90" t="s">
        <v>327</v>
      </c>
      <c r="C1027" s="90"/>
      <c r="D1027" s="108">
        <f>(D1011-D1019)*'Input &amp; Calculation Summary'!C$129-(D$383+D$392)</f>
        <v>8.1037365311240421</v>
      </c>
      <c r="E1027" s="108">
        <f>(E1011-E1019)*'Input &amp; Calculation Summary'!D$129-(E$383+E$392)</f>
        <v>85.542599000686437</v>
      </c>
      <c r="F1027" s="108">
        <f>(F1011-F1019)*'Input &amp; Calculation Summary'!E$129-(F$383+F$392)</f>
        <v>44.858121868106821</v>
      </c>
      <c r="G1027" s="108">
        <f>(G1011-G1019)*'Input &amp; Calculation Summary'!F$129-(G$383+G$392)</f>
        <v>12.393344043205367</v>
      </c>
      <c r="H1027" s="108">
        <f>(H1011-H1019)*'Input &amp; Calculation Summary'!G$129-(H$383+H$392)</f>
        <v>12.393344043205367</v>
      </c>
    </row>
    <row r="1028" spans="1:8" x14ac:dyDescent="0.3">
      <c r="A1028" s="1" t="s">
        <v>534</v>
      </c>
      <c r="B1028" s="90" t="s">
        <v>327</v>
      </c>
      <c r="C1028" s="90"/>
      <c r="D1028" s="108"/>
      <c r="E1028" s="108"/>
      <c r="F1028" s="108"/>
      <c r="G1028" s="108"/>
      <c r="H1028" s="108"/>
    </row>
    <row r="1029" spans="1:8" x14ac:dyDescent="0.3">
      <c r="A1029" s="1" t="s">
        <v>312</v>
      </c>
      <c r="B1029" s="90" t="s">
        <v>327</v>
      </c>
      <c r="C1029" s="90"/>
      <c r="D1029" s="108">
        <f>SUM(D1024:D1027)</f>
        <v>8425.9966998198397</v>
      </c>
      <c r="E1029" s="108">
        <f>SUM(E1024:E1027)</f>
        <v>48341.114692953364</v>
      </c>
      <c r="F1029" s="108">
        <f>SUM(F1024:F1027)</f>
        <v>25459.653738288776</v>
      </c>
      <c r="G1029" s="108">
        <f>SUM(G1024:G1027)</f>
        <v>7090.0301549664937</v>
      </c>
      <c r="H1029" s="108">
        <f>SUM(H1024:H1027)</f>
        <v>7090.0301549664937</v>
      </c>
    </row>
    <row r="1030" spans="1:8" x14ac:dyDescent="0.3">
      <c r="A1030" s="1" t="s">
        <v>571</v>
      </c>
      <c r="B1030" s="90" t="s">
        <v>694</v>
      </c>
      <c r="C1030" s="90"/>
      <c r="D1030" s="215">
        <f>D1024/(D1029-D1028)</f>
        <v>6.1802829118352852E-2</v>
      </c>
      <c r="E1030" s="215">
        <f>E1024/(E1029-E1028)</f>
        <v>0.11449896074376145</v>
      </c>
      <c r="F1030" s="215">
        <f>F1024/(F1029-F1028)</f>
        <v>0.11450952894958764</v>
      </c>
      <c r="G1030" s="215">
        <f>G1024/(G1029-G1028)</f>
        <v>0.11452882287301103</v>
      </c>
      <c r="H1030" s="215">
        <f>H1024/(H1029-H1028)</f>
        <v>0.11452882287301103</v>
      </c>
    </row>
    <row r="1031" spans="1:8" x14ac:dyDescent="0.3">
      <c r="A1031" s="1" t="s">
        <v>572</v>
      </c>
      <c r="B1031" s="90" t="s">
        <v>694</v>
      </c>
      <c r="C1031" s="90"/>
      <c r="D1031" s="215">
        <f>D1025/(D1029-D1028)</f>
        <v>2.7463526841842393E-2</v>
      </c>
      <c r="E1031" s="215">
        <f>E1025/(E1029-E1028)</f>
        <v>5.0880280508316604E-2</v>
      </c>
      <c r="F1031" s="215">
        <f>F1025/(F1029-F1028)</f>
        <v>5.0884976736766306E-2</v>
      </c>
      <c r="G1031" s="215">
        <f>G1025/(G1029-G1028)</f>
        <v>5.0893550441099639E-2</v>
      </c>
      <c r="H1031" s="215">
        <f>H1025/(H1029-H1028)</f>
        <v>5.0893550441099639E-2</v>
      </c>
    </row>
    <row r="1032" spans="1:8" x14ac:dyDescent="0.3">
      <c r="A1032" s="1" t="s">
        <v>565</v>
      </c>
      <c r="B1032" s="90" t="s">
        <v>694</v>
      </c>
      <c r="C1032" s="90"/>
      <c r="D1032" s="215">
        <f>D1026/(D1029-D1028)</f>
        <v>0.90977188998033576</v>
      </c>
      <c r="E1032" s="215">
        <f>E1026/(E1029-E1028)</f>
        <v>0.83285119676028418</v>
      </c>
      <c r="F1032" s="215">
        <f>F1026/(F1029-F1028)</f>
        <v>0.83284356454314634</v>
      </c>
      <c r="G1032" s="215">
        <f>G1026/(G1029-G1028)</f>
        <v>0.83282963072926786</v>
      </c>
      <c r="H1032" s="215">
        <f>H1026/(H1029-H1028)</f>
        <v>0.83282963072926786</v>
      </c>
    </row>
    <row r="1033" spans="1:8" x14ac:dyDescent="0.3">
      <c r="A1033" s="1" t="s">
        <v>656</v>
      </c>
      <c r="B1033" s="90" t="s">
        <v>694</v>
      </c>
      <c r="C1033" s="90"/>
      <c r="D1033" s="215">
        <f>D1027/(D1029-D1028)</f>
        <v>9.6175405946898984E-4</v>
      </c>
      <c r="E1033" s="215">
        <f>E1027/(E1029-E1028)</f>
        <v>1.7695619876377385E-3</v>
      </c>
      <c r="F1033" s="215">
        <f>F1027/(F1029-F1028)</f>
        <v>1.7619297704997727E-3</v>
      </c>
      <c r="G1033" s="215">
        <f>G1027/(G1029-G1028)</f>
        <v>1.7479959566214195E-3</v>
      </c>
      <c r="H1033" s="215">
        <f>H1027/(H1029-H1028)</f>
        <v>1.7479959566214195E-3</v>
      </c>
    </row>
    <row r="1034" spans="1:8" x14ac:dyDescent="0.3">
      <c r="A1034" s="1" t="s">
        <v>534</v>
      </c>
      <c r="B1034" s="90" t="s">
        <v>694</v>
      </c>
      <c r="C1034" s="90"/>
      <c r="D1034" s="215"/>
      <c r="E1034" s="215"/>
      <c r="F1034" s="215"/>
      <c r="G1034" s="215"/>
      <c r="H1034" s="215"/>
    </row>
    <row r="1035" spans="1:8" x14ac:dyDescent="0.3">
      <c r="A1035" s="1" t="s">
        <v>312</v>
      </c>
      <c r="B1035" s="90" t="s">
        <v>694</v>
      </c>
      <c r="C1035" s="90"/>
      <c r="D1035" s="215">
        <f>SUM(D1030:D1033)</f>
        <v>1</v>
      </c>
      <c r="E1035" s="215">
        <f>SUM(E1030:E1033)</f>
        <v>1</v>
      </c>
      <c r="F1035" s="215">
        <f>SUM(F1030:F1033)</f>
        <v>1</v>
      </c>
      <c r="G1035" s="215">
        <f>SUM(G1030:G1033)</f>
        <v>1</v>
      </c>
      <c r="H1035" s="215">
        <f>SUM(H1030:H1033)</f>
        <v>1</v>
      </c>
    </row>
    <row r="1036" spans="1:8" x14ac:dyDescent="0.3">
      <c r="B1036" s="90"/>
      <c r="C1036" s="90"/>
      <c r="D1036" s="90"/>
      <c r="E1036" s="90"/>
      <c r="F1036" s="90"/>
      <c r="G1036" s="90"/>
      <c r="H1036" s="90"/>
    </row>
    <row r="1037" spans="1:8" ht="15.5" x14ac:dyDescent="0.35">
      <c r="A1037" s="123" t="s">
        <v>666</v>
      </c>
      <c r="B1037" s="90"/>
      <c r="C1037" s="90"/>
      <c r="D1037" s="90"/>
      <c r="E1037" s="90"/>
      <c r="F1037" s="90"/>
      <c r="G1037" s="90"/>
      <c r="H1037" s="90"/>
    </row>
    <row r="1038" spans="1:8" x14ac:dyDescent="0.3">
      <c r="A1038" s="1" t="s">
        <v>571</v>
      </c>
      <c r="B1038" s="90" t="s">
        <v>327</v>
      </c>
      <c r="C1038" s="90"/>
      <c r="D1038" s="108">
        <f>D1030*(D1043-D1042)</f>
        <v>262.85172034800149</v>
      </c>
      <c r="E1038" s="108">
        <f>E1030*(E1043-E1042)</f>
        <v>1909.1037595606449</v>
      </c>
      <c r="F1038" s="108">
        <f>F1030*(F1043-F1042)</f>
        <v>1005.5541170241238</v>
      </c>
      <c r="G1038" s="108">
        <f>G1030*(G1043-G1042)</f>
        <v>280.07491118416652</v>
      </c>
      <c r="H1038" s="108">
        <f>H1030*(H1043-H1042)</f>
        <v>280.07491118416652</v>
      </c>
    </row>
    <row r="1039" spans="1:8" x14ac:dyDescent="0.3">
      <c r="A1039" s="1" t="s">
        <v>572</v>
      </c>
      <c r="B1039" s="90" t="s">
        <v>327</v>
      </c>
      <c r="C1039" s="90"/>
      <c r="D1039" s="108">
        <f>D1031*(D1043-D1042)</f>
        <v>116.80428517888184</v>
      </c>
      <c r="E1039" s="108">
        <f>E1031*(E1043-E1042)</f>
        <v>848.35472894211341</v>
      </c>
      <c r="F1039" s="108">
        <f>F1031*(F1043-F1042)</f>
        <v>446.84139670907604</v>
      </c>
      <c r="G1039" s="108">
        <f>G1031*(G1043-G1042)</f>
        <v>124.45781124846319</v>
      </c>
      <c r="H1039" s="108">
        <f>H1031*(H1043-H1042)</f>
        <v>124.45781124846319</v>
      </c>
    </row>
    <row r="1040" spans="1:8" x14ac:dyDescent="0.3">
      <c r="A1040" s="1" t="s">
        <v>565</v>
      </c>
      <c r="B1040" s="90" t="s">
        <v>327</v>
      </c>
      <c r="C1040" s="90"/>
      <c r="D1040" s="108">
        <f>D1032*(D1043-D1042)</f>
        <v>3869.322971406998</v>
      </c>
      <c r="E1040" s="108">
        <f>E1032*(E1043-E1042)</f>
        <v>13886.583254217643</v>
      </c>
      <c r="F1040" s="108">
        <f>F1032*(F1043-F1042)</f>
        <v>7313.5334923270866</v>
      </c>
      <c r="G1040" s="108">
        <f>G1032*(G1043-G1042)</f>
        <v>2036.6461385591424</v>
      </c>
      <c r="H1040" s="108">
        <f>H1032*(H1043-H1042)</f>
        <v>2036.6461385591424</v>
      </c>
    </row>
    <row r="1041" spans="1:8" x14ac:dyDescent="0.3">
      <c r="A1041" s="1" t="s">
        <v>656</v>
      </c>
      <c r="B1041" s="90" t="s">
        <v>327</v>
      </c>
      <c r="C1041" s="90"/>
      <c r="D1041" s="108">
        <f>D1033*(D1043-D1042)</f>
        <v>4.0904067449563968</v>
      </c>
      <c r="E1041" s="108">
        <f>E1033*(E1043-E1042)</f>
        <v>29.504874292571966</v>
      </c>
      <c r="F1041" s="108">
        <f>F1033*(F1043-F1042)</f>
        <v>15.472212233214291</v>
      </c>
      <c r="G1041" s="108">
        <f>G1033*(G1043-G1042)</f>
        <v>4.2746428367980238</v>
      </c>
      <c r="H1041" s="108">
        <f>H1033*(H1043-H1042)</f>
        <v>4.2746428367980238</v>
      </c>
    </row>
    <row r="1042" spans="1:8" x14ac:dyDescent="0.3">
      <c r="A1042" s="1" t="s">
        <v>534</v>
      </c>
      <c r="B1042" s="90" t="s">
        <v>327</v>
      </c>
      <c r="C1042" s="90"/>
      <c r="D1042" s="108">
        <f>D1043*0.02</f>
        <v>86.797334360792618</v>
      </c>
      <c r="E1042" s="108">
        <f>E1043*0.02</f>
        <v>340.27646157169335</v>
      </c>
      <c r="F1042" s="108">
        <f>F1043*0.02</f>
        <v>179.21226976109185</v>
      </c>
      <c r="G1042" s="108">
        <f>G1043*0.02</f>
        <v>49.907214363848368</v>
      </c>
      <c r="H1042" s="108">
        <f>H1043*0.02</f>
        <v>49.907214363848368</v>
      </c>
    </row>
    <row r="1043" spans="1:8" x14ac:dyDescent="0.3">
      <c r="A1043" s="1" t="s">
        <v>312</v>
      </c>
      <c r="B1043" s="90" t="s">
        <v>327</v>
      </c>
      <c r="C1043" s="90"/>
      <c r="D1043" s="108">
        <f>D$458</f>
        <v>4339.8667180396305</v>
      </c>
      <c r="E1043" s="108">
        <f>E$458</f>
        <v>17013.823078584668</v>
      </c>
      <c r="F1043" s="108">
        <f>F$458</f>
        <v>8960.6134880545924</v>
      </c>
      <c r="G1043" s="108">
        <f>G$458</f>
        <v>2495.3607181924185</v>
      </c>
      <c r="H1043" s="108">
        <f>H$458</f>
        <v>2495.3607181924185</v>
      </c>
    </row>
    <row r="1044" spans="1:8" x14ac:dyDescent="0.3">
      <c r="B1044" s="90"/>
      <c r="C1044" s="90"/>
      <c r="D1044" s="90"/>
      <c r="E1044" s="90"/>
      <c r="F1044" s="90"/>
      <c r="G1044" s="90"/>
      <c r="H1044" s="90"/>
    </row>
    <row r="1045" spans="1:8" ht="15.5" x14ac:dyDescent="0.35">
      <c r="A1045" s="123" t="s">
        <v>695</v>
      </c>
      <c r="B1045" s="90"/>
      <c r="C1045" s="90"/>
      <c r="D1045" s="90"/>
      <c r="E1045" s="90"/>
      <c r="F1045" s="90"/>
      <c r="G1045" s="90"/>
      <c r="H1045" s="90"/>
    </row>
    <row r="1046" spans="1:8" x14ac:dyDescent="0.3">
      <c r="A1046" s="1" t="s">
        <v>571</v>
      </c>
      <c r="B1046" s="90" t="s">
        <v>327</v>
      </c>
      <c r="C1046" s="90"/>
      <c r="D1046" s="208">
        <f>D1030*D1051</f>
        <v>0.921480182154641</v>
      </c>
      <c r="E1046" s="208">
        <f>E1030*E1051</f>
        <v>6.0968979111641817</v>
      </c>
      <c r="F1046" s="208">
        <f>F1030*F1051</f>
        <v>3.211329276863315</v>
      </c>
      <c r="G1046" s="208">
        <f>G1030*G1051</f>
        <v>0.89444491029718409</v>
      </c>
      <c r="H1046" s="208">
        <f>H1030*H1051</f>
        <v>0.89444491029718409</v>
      </c>
    </row>
    <row r="1047" spans="1:8" x14ac:dyDescent="0.3">
      <c r="A1047" s="1" t="s">
        <v>572</v>
      </c>
      <c r="B1047" s="90" t="s">
        <v>327</v>
      </c>
      <c r="C1047" s="90"/>
      <c r="D1047" s="208">
        <f>D1031*D1051</f>
        <v>0.4094811852118701</v>
      </c>
      <c r="E1047" s="208">
        <f>E1031*E1051</f>
        <v>2.7092986166470965</v>
      </c>
      <c r="F1047" s="208">
        <f>F1031*F1051</f>
        <v>1.4270289734509889</v>
      </c>
      <c r="G1047" s="208">
        <f>G1031*G1051</f>
        <v>0.39746743236389115</v>
      </c>
      <c r="H1047" s="208">
        <f>H1031*H1051</f>
        <v>0.39746743236389115</v>
      </c>
    </row>
    <row r="1048" spans="1:8" x14ac:dyDescent="0.3">
      <c r="A1048" s="1" t="s">
        <v>565</v>
      </c>
      <c r="B1048" s="90" t="s">
        <v>327</v>
      </c>
      <c r="C1048" s="90"/>
      <c r="D1048" s="208">
        <f>D1032*D1051</f>
        <v>13.564698879606807</v>
      </c>
      <c r="E1048" s="208">
        <f>E1032*E1051</f>
        <v>44.348076950689993</v>
      </c>
      <c r="F1048" s="208">
        <f>F1032*F1051</f>
        <v>23.356439821196549</v>
      </c>
      <c r="G1048" s="208">
        <f>G1032*G1051</f>
        <v>6.5042161934768217</v>
      </c>
      <c r="H1048" s="208">
        <f>H1032*H1051</f>
        <v>6.5042161934768217</v>
      </c>
    </row>
    <row r="1049" spans="1:8" x14ac:dyDescent="0.3">
      <c r="A1049" s="1" t="s">
        <v>656</v>
      </c>
      <c r="B1049" s="90" t="s">
        <v>327</v>
      </c>
      <c r="C1049" s="90"/>
      <c r="D1049" s="208">
        <f>D1033*D1051</f>
        <v>1.4339753026682639E-2</v>
      </c>
      <c r="E1049" s="208">
        <f>E1033*E1051</f>
        <v>9.4226521498728122E-2</v>
      </c>
      <c r="F1049" s="208">
        <f>F1033*F1051</f>
        <v>4.9411928489147432E-2</v>
      </c>
      <c r="G1049" s="208">
        <f>G1033*G1051</f>
        <v>1.3651463862102829E-2</v>
      </c>
      <c r="H1049" s="208">
        <f>H1033*H1051</f>
        <v>1.3651463862102829E-2</v>
      </c>
    </row>
    <row r="1050" spans="1:8" x14ac:dyDescent="0.3">
      <c r="A1050" s="1" t="s">
        <v>534</v>
      </c>
      <c r="B1050" s="90" t="s">
        <v>327</v>
      </c>
      <c r="C1050" s="90"/>
      <c r="D1050" s="90"/>
      <c r="E1050" s="90"/>
      <c r="F1050" s="90"/>
      <c r="G1050" s="90"/>
      <c r="H1050" s="90"/>
    </row>
    <row r="1051" spans="1:8" x14ac:dyDescent="0.3">
      <c r="A1051" s="1" t="s">
        <v>312</v>
      </c>
      <c r="B1051" s="90" t="s">
        <v>327</v>
      </c>
      <c r="C1051" s="90"/>
      <c r="D1051" s="108">
        <f>D$80</f>
        <v>14.91</v>
      </c>
      <c r="E1051" s="108">
        <f>E$80</f>
        <v>53.2485</v>
      </c>
      <c r="F1051" s="108">
        <f>F$80</f>
        <v>28.04421</v>
      </c>
      <c r="G1051" s="108">
        <f>G$80</f>
        <v>7.8097799999999999</v>
      </c>
      <c r="H1051" s="108">
        <f>H$80</f>
        <v>7.8097799999999999</v>
      </c>
    </row>
    <row r="1052" spans="1:8" x14ac:dyDescent="0.3">
      <c r="B1052" s="90"/>
      <c r="C1052" s="90"/>
      <c r="D1052" s="90"/>
      <c r="E1052" s="90"/>
      <c r="F1052" s="90"/>
      <c r="G1052" s="90"/>
      <c r="H1052" s="90"/>
    </row>
    <row r="1053" spans="1:8" ht="15.5" x14ac:dyDescent="0.35">
      <c r="A1053" s="123" t="s">
        <v>696</v>
      </c>
      <c r="B1053" s="90"/>
      <c r="C1053" s="90"/>
      <c r="D1053" s="90"/>
      <c r="E1053" s="90"/>
      <c r="F1053" s="90"/>
      <c r="G1053" s="90"/>
      <c r="H1053" s="90"/>
    </row>
    <row r="1054" spans="1:8" x14ac:dyDescent="0.3">
      <c r="A1054" s="1" t="s">
        <v>571</v>
      </c>
      <c r="B1054" s="90" t="s">
        <v>327</v>
      </c>
      <c r="C1054" s="90"/>
      <c r="D1054" s="108">
        <f>D1024-D1038-D1046</f>
        <v>256.9772336606145</v>
      </c>
      <c r="E1054" s="108">
        <f>E1024-E1038-E1046</f>
        <v>3619.8067360663281</v>
      </c>
      <c r="F1054" s="108">
        <f>F1024-F1038-F1046</f>
        <v>1906.6075104900688</v>
      </c>
      <c r="G1054" s="108">
        <f>G1024-G1038-G1046</f>
        <v>531.0434516880008</v>
      </c>
      <c r="H1054" s="108">
        <f>H1024-H1038-H1046</f>
        <v>531.0434516880008</v>
      </c>
    </row>
    <row r="1055" spans="1:8" x14ac:dyDescent="0.3">
      <c r="A1055" s="1" t="s">
        <v>572</v>
      </c>
      <c r="B1055" s="90" t="s">
        <v>327</v>
      </c>
      <c r="C1055" s="90"/>
      <c r="D1055" s="108">
        <f t="shared" ref="D1055:H1057" si="32">D1025-D1039-D1047</f>
        <v>114.19382017068386</v>
      </c>
      <c r="E1055" s="108">
        <f t="shared" si="32"/>
        <v>1608.5454481034117</v>
      </c>
      <c r="F1055" s="108">
        <f t="shared" si="32"/>
        <v>847.24546251642266</v>
      </c>
      <c r="G1055" s="108">
        <f t="shared" si="32"/>
        <v>235.98152863987764</v>
      </c>
      <c r="H1055" s="108">
        <f t="shared" si="32"/>
        <v>235.98152863987764</v>
      </c>
    </row>
    <row r="1056" spans="1:8" x14ac:dyDescent="0.3">
      <c r="A1056" s="1" t="s">
        <v>565</v>
      </c>
      <c r="B1056" s="90" t="s">
        <v>327</v>
      </c>
      <c r="C1056" s="90"/>
      <c r="D1056" s="108">
        <f t="shared" si="32"/>
        <v>3782.8472722765623</v>
      </c>
      <c r="E1056" s="108">
        <f t="shared" si="32"/>
        <v>26330.023893584035</v>
      </c>
      <c r="F1056" s="108">
        <f t="shared" si="32"/>
        <v>13867.018839282384</v>
      </c>
      <c r="G1056" s="108">
        <f t="shared" si="32"/>
        <v>3861.6368410674995</v>
      </c>
      <c r="H1056" s="108">
        <f t="shared" si="32"/>
        <v>3861.6368410674995</v>
      </c>
    </row>
    <row r="1057" spans="1:8" x14ac:dyDescent="0.3">
      <c r="A1057" s="1" t="s">
        <v>656</v>
      </c>
      <c r="B1057" s="90" t="s">
        <v>327</v>
      </c>
      <c r="C1057" s="90"/>
      <c r="D1057" s="108">
        <f t="shared" si="32"/>
        <v>3.9989900331409629</v>
      </c>
      <c r="E1057" s="108">
        <f t="shared" si="32"/>
        <v>55.943498186615741</v>
      </c>
      <c r="F1057" s="108">
        <f t="shared" si="32"/>
        <v>29.336497706403382</v>
      </c>
      <c r="G1057" s="108">
        <f t="shared" si="32"/>
        <v>8.1050497425452406</v>
      </c>
      <c r="H1057" s="108">
        <f t="shared" si="32"/>
        <v>8.1050497425452406</v>
      </c>
    </row>
    <row r="1058" spans="1:8" x14ac:dyDescent="0.3">
      <c r="A1058" s="1" t="s">
        <v>534</v>
      </c>
      <c r="B1058" s="90" t="s">
        <v>327</v>
      </c>
      <c r="C1058" s="90"/>
      <c r="D1058" s="108">
        <f>D1059-SUM(D1054:D1057)</f>
        <v>84.857496247775998</v>
      </c>
      <c r="E1058" s="108">
        <f>E1059-SUM(E1054:E1057)</f>
        <v>645.19019542735623</v>
      </c>
      <c r="F1058" s="108">
        <f>F1059-SUM(F1054:F1057)</f>
        <v>339.800169591741</v>
      </c>
      <c r="G1058" s="108">
        <f>G1059-SUM(G1054:G1057)</f>
        <v>94.627895329345847</v>
      </c>
      <c r="H1058" s="108">
        <f>H1059-SUM(H1054:H1057)</f>
        <v>94.627895329345847</v>
      </c>
    </row>
    <row r="1059" spans="1:8" x14ac:dyDescent="0.3">
      <c r="A1059" s="1" t="s">
        <v>312</v>
      </c>
      <c r="B1059" s="90" t="s">
        <v>327</v>
      </c>
      <c r="C1059" s="90"/>
      <c r="D1059" s="108">
        <f>SUM(D1054:D1057)/0.98</f>
        <v>4242.8748123887781</v>
      </c>
      <c r="E1059" s="108">
        <f>SUM(E1054:E1057)/0.98</f>
        <v>32259.509771367746</v>
      </c>
      <c r="F1059" s="108">
        <f>SUM(F1054:F1057)/0.98</f>
        <v>16990.008479587021</v>
      </c>
      <c r="G1059" s="108">
        <f>SUM(G1054:G1057)/0.98</f>
        <v>4731.3947664672687</v>
      </c>
      <c r="H1059" s="108">
        <f>SUM(H1054:H1057)/0.98</f>
        <v>4731.3947664672687</v>
      </c>
    </row>
    <row r="1060" spans="1:8" x14ac:dyDescent="0.3">
      <c r="B1060" s="90"/>
      <c r="C1060" s="90"/>
      <c r="D1060" s="90"/>
      <c r="E1060" s="90"/>
      <c r="F1060" s="90"/>
      <c r="G1060" s="90"/>
      <c r="H1060" s="90"/>
    </row>
    <row r="1061" spans="1:8" ht="15.5" x14ac:dyDescent="0.35">
      <c r="A1061" s="123" t="s">
        <v>697</v>
      </c>
      <c r="B1061" s="90"/>
      <c r="C1061" s="90"/>
      <c r="D1061" s="90"/>
      <c r="E1061" s="90"/>
      <c r="F1061" s="90"/>
      <c r="G1061" s="90"/>
      <c r="H1061" s="90"/>
    </row>
    <row r="1062" spans="1:8" x14ac:dyDescent="0.3">
      <c r="A1062" s="1" t="s">
        <v>571</v>
      </c>
      <c r="B1062" s="90" t="s">
        <v>327</v>
      </c>
      <c r="C1062" s="90"/>
      <c r="D1062" s="108">
        <f>D1016*'Input &amp; Calculation Summary'!C$129+D1054</f>
        <v>308.97700580205054</v>
      </c>
      <c r="E1062" s="108">
        <f>E1016*'Input &amp; Calculation Summary'!D$129+E1054</f>
        <v>4192.2523007098453</v>
      </c>
      <c r="F1062" s="108">
        <f>F1016*'Input &amp; Calculation Summary'!E$129+F1054</f>
        <v>2208.1254037424287</v>
      </c>
      <c r="G1062" s="108">
        <f>G1016*'Input &amp; Calculation Summary'!F$129+G1054</f>
        <v>615.02565932425784</v>
      </c>
      <c r="H1062" s="108">
        <f>H1016*'Input &amp; Calculation Summary'!G$129+H1054</f>
        <v>615.02565932425784</v>
      </c>
    </row>
    <row r="1063" spans="1:8" x14ac:dyDescent="0.3">
      <c r="A1063" s="1" t="s">
        <v>572</v>
      </c>
      <c r="B1063" s="90" t="s">
        <v>327</v>
      </c>
      <c r="C1063" s="90"/>
      <c r="D1063" s="108">
        <f>D1017*'Input &amp; Calculation Summary'!C$129+D1055</f>
        <v>137.30113027846551</v>
      </c>
      <c r="E1063" s="108">
        <f>E1017*'Input &amp; Calculation Summary'!D$129+E1055</f>
        <v>1862.9249701148442</v>
      </c>
      <c r="F1063" s="108">
        <f>F1017*'Input &amp; Calculation Summary'!E$129+F1055</f>
        <v>981.23196237024445</v>
      </c>
      <c r="G1063" s="108">
        <f>G1017*'Input &amp; Calculation Summary'!F$129+G1055</f>
        <v>273.30097900417508</v>
      </c>
      <c r="H1063" s="108">
        <f>H1017*'Input &amp; Calculation Summary'!G$129+H1055</f>
        <v>273.30097900417508</v>
      </c>
    </row>
    <row r="1064" spans="1:8" x14ac:dyDescent="0.3">
      <c r="A1064" s="1" t="s">
        <v>565</v>
      </c>
      <c r="B1064" s="90" t="s">
        <v>327</v>
      </c>
      <c r="C1064" s="90"/>
      <c r="D1064" s="108">
        <f>D1018*'Input &amp; Calculation Summary'!C$129+D1056</f>
        <v>4634.5955992280251</v>
      </c>
      <c r="E1064" s="108">
        <f>E1018*'Input &amp; Calculation Summary'!D$129+E1056</f>
        <v>30803.463363000967</v>
      </c>
      <c r="F1064" s="108">
        <f>F1018*'Input &amp; Calculation Summary'!E$129+F1056</f>
        <v>16223.008702774681</v>
      </c>
      <c r="G1064" s="108">
        <f>G1018*'Input &amp; Calculation Summary'!F$129+G1056</f>
        <v>4517.7243072697347</v>
      </c>
      <c r="H1064" s="108">
        <f>H1018*'Input &amp; Calculation Summary'!G$129+H1056</f>
        <v>4517.7243072697347</v>
      </c>
    </row>
    <row r="1065" spans="1:8" x14ac:dyDescent="0.3">
      <c r="A1065" s="1" t="s">
        <v>656</v>
      </c>
      <c r="B1065" s="90" t="s">
        <v>327</v>
      </c>
      <c r="C1065" s="90"/>
      <c r="D1065" s="108">
        <f>D1019*'Input &amp; Calculation Summary'!C$129+D1057</f>
        <v>9.3830605230458239</v>
      </c>
      <c r="E1065" s="108">
        <f>E1019*'Input &amp; Calculation Summary'!D$129+E1057</f>
        <v>98.000782003409768</v>
      </c>
      <c r="F1065" s="108">
        <f>F1019*'Input &amp; Calculation Summary'!E$129+F1057</f>
        <v>51.465076782627335</v>
      </c>
      <c r="G1065" s="108">
        <f>G1019*'Input &amp; Calculation Summary'!F$129+G1057</f>
        <v>14.256462056760739</v>
      </c>
      <c r="H1065" s="108">
        <f>H1019*'Input &amp; Calculation Summary'!G$129+H1057</f>
        <v>14.256462056760739</v>
      </c>
    </row>
    <row r="1066" spans="1:8" x14ac:dyDescent="0.3">
      <c r="A1066" s="1" t="s">
        <v>534</v>
      </c>
      <c r="B1066" s="90" t="s">
        <v>327</v>
      </c>
      <c r="C1066" s="90"/>
      <c r="D1066" s="108">
        <f>D1020*'Input &amp; Calculation Summary'!C$129+D1058</f>
        <v>103.88279175166551</v>
      </c>
      <c r="E1066" s="108">
        <f>E1020*'Input &amp; Calculation Summary'!D$129+E1058</f>
        <v>754.21717175161484</v>
      </c>
      <c r="F1066" s="108">
        <f>F1020*'Input &amp; Calculation Summary'!E$129+F1058</f>
        <v>397.22104378918391</v>
      </c>
      <c r="G1066" s="108">
        <f>G1020*'Input &amp; Calculation Summary'!F$129+G1058</f>
        <v>110.61851852357044</v>
      </c>
      <c r="H1066" s="108">
        <f>H1020*'Input &amp; Calculation Summary'!G$129+H1058</f>
        <v>110.61851852357044</v>
      </c>
    </row>
    <row r="1067" spans="1:8" x14ac:dyDescent="0.3">
      <c r="A1067" s="1" t="s">
        <v>312</v>
      </c>
      <c r="B1067" s="90" t="s">
        <v>327</v>
      </c>
      <c r="C1067" s="90"/>
      <c r="D1067" s="108">
        <f>SUM(D1062:D1066)</f>
        <v>5194.1395875832523</v>
      </c>
      <c r="E1067" s="108">
        <f>SUM(E1062:E1066)</f>
        <v>37710.858587580682</v>
      </c>
      <c r="F1067" s="108">
        <f>SUM(F1062:F1066)</f>
        <v>19861.052189459166</v>
      </c>
      <c r="G1067" s="108">
        <f>SUM(G1062:G1066)</f>
        <v>5530.9259261784991</v>
      </c>
      <c r="H1067" s="108">
        <f>SUM(H1062:H1066)</f>
        <v>5530.9259261784991</v>
      </c>
    </row>
  </sheetData>
  <printOptions horizontalCentered="1" gridLines="1"/>
  <pageMargins left="0.5" right="0.5" top="0.75" bottom="0.75" header="0.5" footer="0.5"/>
  <pageSetup scale="83" fitToHeight="30" orientation="portrait" horizontalDpi="4294967292" verticalDpi="300" r:id="rId1"/>
  <headerFooter alignWithMargins="0">
    <oddHeader>&amp;L&amp;"Times New Roman,Regular"&amp;11CUECost - Air Pollution Control Systems Economics Spreadsheet</oddHeader>
    <oddFooter>&amp;L&amp;"Times New Roman,Regular"&amp;9&amp;F, &amp;A&amp;C&amp;"Times New Roman,Regular"&amp;11&amp;P&amp;R&amp;"Times New Roman,Regular"&amp;9&amp;D, &amp;T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0:L1341"/>
  <sheetViews>
    <sheetView topLeftCell="A20" zoomScale="75" workbookViewId="0">
      <selection activeCell="A20" sqref="A20"/>
    </sheetView>
  </sheetViews>
  <sheetFormatPr defaultColWidth="9.08984375" defaultRowHeight="13" x14ac:dyDescent="0.3"/>
  <cols>
    <col min="1" max="1" width="36.54296875" style="1" customWidth="1"/>
    <col min="2" max="2" width="10.08984375" style="90" customWidth="1"/>
    <col min="3" max="3" width="9.08984375" style="90"/>
    <col min="4" max="8" width="15.6328125" style="90" customWidth="1"/>
    <col min="9" max="9" width="9.08984375" style="1"/>
    <col min="10" max="11" width="10.6328125" style="1" customWidth="1"/>
    <col min="12" max="16384" width="9.08984375" style="1"/>
  </cols>
  <sheetData>
    <row r="20" spans="1:8" x14ac:dyDescent="0.3">
      <c r="A20" s="111"/>
      <c r="B20" s="112"/>
      <c r="C20" s="112"/>
      <c r="D20" s="112"/>
      <c r="E20" s="112"/>
      <c r="F20" s="112"/>
      <c r="G20" s="112"/>
      <c r="H20" s="112"/>
    </row>
    <row r="21" spans="1:8" ht="20.5" thickBot="1" x14ac:dyDescent="0.45">
      <c r="A21" s="109" t="s">
        <v>704</v>
      </c>
      <c r="D21" s="116" t="s">
        <v>320</v>
      </c>
      <c r="E21" s="116" t="s">
        <v>518</v>
      </c>
      <c r="F21" s="116" t="s">
        <v>519</v>
      </c>
      <c r="G21" s="116" t="s">
        <v>520</v>
      </c>
      <c r="H21" s="116" t="s">
        <v>521</v>
      </c>
    </row>
    <row r="23" spans="1:8" ht="13.5" x14ac:dyDescent="0.35">
      <c r="A23" s="211" t="s">
        <v>705</v>
      </c>
    </row>
    <row r="24" spans="1:8" x14ac:dyDescent="0.3">
      <c r="A24" s="113" t="s">
        <v>523</v>
      </c>
      <c r="B24" s="19" t="s">
        <v>51</v>
      </c>
      <c r="D24" s="90">
        <f>IF('Input &amp; Calculation Summary'!C$10=1,'LSD Cost &amp; Tech. Results'!D24,'LSD Cost &amp; Tech. Results'!D54)</f>
        <v>300</v>
      </c>
      <c r="E24" s="90">
        <f>IF('Input &amp; Calculation Summary'!D$10=1,'LSD Cost &amp; Tech. Results'!E24,'LSD Cost &amp; Tech. Results'!E54)</f>
        <v>147</v>
      </c>
      <c r="F24" s="90">
        <f>IF('Input &amp; Calculation Summary'!E$10=1,'LSD Cost &amp; Tech. Results'!F24,'LSD Cost &amp; Tech. Results'!F54)</f>
        <v>147</v>
      </c>
      <c r="G24" s="90">
        <f>IF('Input &amp; Calculation Summary'!F$10=1,'LSD Cost &amp; Tech. Results'!G24,'LSD Cost &amp; Tech. Results'!G54)</f>
        <v>147</v>
      </c>
      <c r="H24" s="90">
        <f>IF('Input &amp; Calculation Summary'!G$10=1,'LSD Cost &amp; Tech. Results'!H24,'LSD Cost &amp; Tech. Results'!H54)</f>
        <v>300</v>
      </c>
    </row>
    <row r="25" spans="1:8" x14ac:dyDescent="0.3">
      <c r="A25" s="1" t="s">
        <v>524</v>
      </c>
      <c r="B25" s="90" t="s">
        <v>132</v>
      </c>
      <c r="D25" s="90">
        <f>IF('Input &amp; Calculation Summary'!C$10=1,'LSD Cost &amp; Tech. Results'!D25,'LSD Cost &amp; Tech. Results'!D55)</f>
        <v>-12</v>
      </c>
      <c r="E25" s="90">
        <f>IF('Input &amp; Calculation Summary'!D$10=1,'LSD Cost &amp; Tech. Results'!E25,'LSD Cost &amp; Tech. Results'!E55)</f>
        <v>-17</v>
      </c>
      <c r="F25" s="90">
        <f>IF('Input &amp; Calculation Summary'!E$10=1,'LSD Cost &amp; Tech. Results'!F25,'LSD Cost &amp; Tech. Results'!F55)</f>
        <v>-17</v>
      </c>
      <c r="G25" s="90">
        <f>IF('Input &amp; Calculation Summary'!F$10=1,'LSD Cost &amp; Tech. Results'!G25,'LSD Cost &amp; Tech. Results'!G55)</f>
        <v>-17</v>
      </c>
      <c r="H25" s="90">
        <f>IF('Input &amp; Calculation Summary'!G$10=1,'LSD Cost &amp; Tech. Results'!H25,'LSD Cost &amp; Tech. Results'!H55)</f>
        <v>-12</v>
      </c>
    </row>
    <row r="26" spans="1:8" x14ac:dyDescent="0.3">
      <c r="A26" s="1" t="s">
        <v>525</v>
      </c>
      <c r="B26" s="90" t="s">
        <v>526</v>
      </c>
      <c r="D26" s="236">
        <f>IF('Input &amp; Calculation Summary'!C$10=1,'LSD Cost &amp; Tech. Results'!D26,'LSD Cost &amp; Tech. Results'!D56)</f>
        <v>205105.59024746579</v>
      </c>
      <c r="E26" s="236">
        <f>IF('Input &amp; Calculation Summary'!D$10=1,'LSD Cost &amp; Tech. Results'!E26,'LSD Cost &amp; Tech. Results'!E56)</f>
        <v>763020.83945181186</v>
      </c>
      <c r="F26" s="236">
        <f>IF('Input &amp; Calculation Summary'!E$10=1,'LSD Cost &amp; Tech. Results'!F26,'LSD Cost &amp; Tech. Results'!F56)</f>
        <v>404279.7747626804</v>
      </c>
      <c r="G26" s="236">
        <f>IF('Input &amp; Calculation Summary'!F$10=1,'LSD Cost &amp; Tech. Results'!G26,'LSD Cost &amp; Tech. Results'!G56)</f>
        <v>116276.38480098346</v>
      </c>
      <c r="H26" s="236">
        <f>IF('Input &amp; Calculation Summary'!G$10=1,'LSD Cost &amp; Tech. Results'!H26,'LSD Cost &amp; Tech. Results'!H56)</f>
        <v>107443.59274966927</v>
      </c>
    </row>
    <row r="27" spans="1:8" x14ac:dyDescent="0.3">
      <c r="A27" s="1" t="s">
        <v>525</v>
      </c>
      <c r="B27" s="90" t="s">
        <v>527</v>
      </c>
      <c r="D27" s="236">
        <f>IF('Input &amp; Calculation Summary'!C$10=1,'LSD Cost &amp; Tech. Results'!D27,'LSD Cost &amp; Tech. Results'!D57)</f>
        <v>314500.13882212539</v>
      </c>
      <c r="E27" s="236">
        <f>IF('Input &amp; Calculation Summary'!D$10=1,'LSD Cost &amp; Tech. Results'!E27,'LSD Cost &amp; Tech. Results'!E57)</f>
        <v>946637.47005103179</v>
      </c>
      <c r="F27" s="236">
        <f>IF('Input &amp; Calculation Summary'!E$10=1,'LSD Cost &amp; Tech. Results'!F27,'LSD Cost &amp; Tech. Results'!F57)</f>
        <v>501567.40600833134</v>
      </c>
      <c r="G27" s="236">
        <f>IF('Input &amp; Calculation Summary'!F$10=1,'LSD Cost &amp; Tech. Results'!G27,'LSD Cost &amp; Tech. Results'!G57)</f>
        <v>144257.63628391011</v>
      </c>
      <c r="H27" s="236">
        <f>IF('Input &amp; Calculation Summary'!G$10=1,'LSD Cost &amp; Tech. Results'!H27,'LSD Cost &amp; Tech. Results'!H57)</f>
        <v>164749.40928986404</v>
      </c>
    </row>
    <row r="28" spans="1:8" x14ac:dyDescent="0.3">
      <c r="A28" s="1" t="s">
        <v>528</v>
      </c>
      <c r="B28" s="90" t="s">
        <v>327</v>
      </c>
      <c r="D28" s="236">
        <f>IF('Input &amp; Calculation Summary'!C$10=1,'LSD Cost &amp; Tech. Results'!D28,'LSD Cost &amp; Tech. Results'!D58)</f>
        <v>167773.16285284923</v>
      </c>
      <c r="E28" s="236">
        <f>IF('Input &amp; Calculation Summary'!D$10=1,'LSD Cost &amp; Tech. Results'!E28,'LSD Cost &amp; Tech. Results'!E58)</f>
        <v>599172.98874379217</v>
      </c>
      <c r="F28" s="236">
        <f>IF('Input &amp; Calculation Summary'!E$10=1,'LSD Cost &amp; Tech. Results'!F28,'LSD Cost &amp; Tech. Results'!F58)</f>
        <v>315564.44073839724</v>
      </c>
      <c r="G28" s="236">
        <f>IF('Input &amp; Calculation Summary'!F$10=1,'LSD Cost &amp; Tech. Results'!G28,'LSD Cost &amp; Tech. Results'!G58)</f>
        <v>87878.70501575619</v>
      </c>
      <c r="H28" s="236">
        <f>IF('Input &amp; Calculation Summary'!G$10=1,'LSD Cost &amp; Tech. Results'!H28,'LSD Cost &amp; Tech. Results'!H58)</f>
        <v>87878.70501575619</v>
      </c>
    </row>
    <row r="29" spans="1:8" x14ac:dyDescent="0.3">
      <c r="A29" s="1" t="s">
        <v>529</v>
      </c>
      <c r="B29" s="90" t="s">
        <v>327</v>
      </c>
      <c r="D29" s="236">
        <f>IF('Input &amp; Calculation Summary'!C$10=1,'LSD Cost &amp; Tech. Results'!D29,'LSD Cost &amp; Tech. Results'!D59)</f>
        <v>662514.46976216964</v>
      </c>
      <c r="E29" s="236">
        <f>IF('Input &amp; Calculation Summary'!D$10=1,'LSD Cost &amp; Tech. Results'!E29,'LSD Cost &amp; Tech. Results'!E59)</f>
        <v>2366056.4549383563</v>
      </c>
      <c r="F29" s="236">
        <f>IF('Input &amp; Calculation Summary'!E$10=1,'LSD Cost &amp; Tech. Results'!F29,'LSD Cost &amp; Tech. Results'!F59)</f>
        <v>1246123.0662675342</v>
      </c>
      <c r="G29" s="236">
        <f>IF('Input &amp; Calculation Summary'!F$10=1,'LSD Cost &amp; Tech. Results'!G29,'LSD Cost &amp; Tech. Results'!G59)</f>
        <v>347021.61339095893</v>
      </c>
      <c r="H29" s="236">
        <f>IF('Input &amp; Calculation Summary'!G$10=1,'LSD Cost &amp; Tech. Results'!H29,'LSD Cost &amp; Tech. Results'!H59)</f>
        <v>347021.61339095893</v>
      </c>
    </row>
    <row r="30" spans="1:8" x14ac:dyDescent="0.3">
      <c r="A30" s="1" t="s">
        <v>530</v>
      </c>
      <c r="B30" s="90" t="s">
        <v>327</v>
      </c>
      <c r="D30" s="236">
        <f>IF('Input &amp; Calculation Summary'!C$10=1,'LSD Cost &amp; Tech. Results'!D30,'LSD Cost &amp; Tech. Results'!D60)</f>
        <v>193.83</v>
      </c>
      <c r="E30" s="236">
        <f>IF('Input &amp; Calculation Summary'!D$10=1,'LSD Cost &amp; Tech. Results'!E30,'LSD Cost &amp; Tech. Results'!E60)</f>
        <v>394.03230642880891</v>
      </c>
      <c r="F30" s="236">
        <f>IF('Input &amp; Calculation Summary'!E$10=1,'LSD Cost &amp; Tech. Results'!F30,'LSD Cost &amp; Tech. Results'!F60)</f>
        <v>207.52368138583944</v>
      </c>
      <c r="G30" s="236">
        <f>IF('Input &amp; Calculation Summary'!F$10=1,'LSD Cost &amp; Tech. Results'!G30,'LSD Cost &amp; Tech. Results'!G60)</f>
        <v>57.791404942891965</v>
      </c>
      <c r="H30" s="236">
        <f>IF('Input &amp; Calculation Summary'!G$10=1,'LSD Cost &amp; Tech. Results'!H30,'LSD Cost &amp; Tech. Results'!H60)</f>
        <v>206.3978747960428</v>
      </c>
    </row>
    <row r="31" spans="1:8" x14ac:dyDescent="0.3">
      <c r="A31" s="1" t="s">
        <v>531</v>
      </c>
      <c r="B31" s="90" t="s">
        <v>327</v>
      </c>
      <c r="D31" s="236">
        <f>IF('Input &amp; Calculation Summary'!C$10=1,'LSD Cost &amp; Tech. Results'!D31,'LSD Cost &amp; Tech. Results'!D61)</f>
        <v>52552.209491370908</v>
      </c>
      <c r="E31" s="236">
        <f>IF('Input &amp; Calculation Summary'!D$10=1,'LSD Cost &amp; Tech. Results'!E31,'LSD Cost &amp; Tech. Results'!E61)</f>
        <v>187617.9133566535</v>
      </c>
      <c r="F31" s="236">
        <f>IF('Input &amp; Calculation Summary'!E$10=1,'LSD Cost &amp; Tech. Results'!F31,'LSD Cost &amp; Tech. Results'!F61)</f>
        <v>98812.101034504187</v>
      </c>
      <c r="G31" s="236">
        <f>IF('Input &amp; Calculation Summary'!F$10=1,'LSD Cost &amp; Tech. Results'!G31,'LSD Cost &amp; Tech. Results'!G61)</f>
        <v>27517.29395897585</v>
      </c>
      <c r="H31" s="236">
        <f>IF('Input &amp; Calculation Summary'!G$10=1,'LSD Cost &amp; Tech. Results'!H31,'LSD Cost &amp; Tech. Results'!H61)</f>
        <v>27526.572410564637</v>
      </c>
    </row>
    <row r="32" spans="1:8" x14ac:dyDescent="0.3">
      <c r="A32" s="1" t="s">
        <v>532</v>
      </c>
      <c r="B32" s="90" t="s">
        <v>327</v>
      </c>
      <c r="D32" s="208">
        <f>IF('Input &amp; Calculation Summary'!C$10=1,'LSD Cost &amp; Tech. Results'!D32,'LSD Cost &amp; Tech. Results'!D62)</f>
        <v>0</v>
      </c>
      <c r="E32" s="208">
        <f>IF('Input &amp; Calculation Summary'!D$10=1,'LSD Cost &amp; Tech. Results'!E32,'LSD Cost &amp; Tech. Results'!E62)</f>
        <v>0</v>
      </c>
      <c r="F32" s="208">
        <f>IF('Input &amp; Calculation Summary'!E$10=1,'LSD Cost &amp; Tech. Results'!F32,'LSD Cost &amp; Tech. Results'!F62)</f>
        <v>0</v>
      </c>
      <c r="G32" s="208">
        <f>IF('Input &amp; Calculation Summary'!F$10=1,'LSD Cost &amp; Tech. Results'!G32,'LSD Cost &amp; Tech. Results'!G62)</f>
        <v>0</v>
      </c>
      <c r="H32" s="208">
        <f>IF('Input &amp; Calculation Summary'!G$10=1,'LSD Cost &amp; Tech. Results'!H32,'LSD Cost &amp; Tech. Results'!H62)</f>
        <v>0</v>
      </c>
    </row>
    <row r="33" spans="1:8" x14ac:dyDescent="0.3">
      <c r="A33" s="1" t="s">
        <v>533</v>
      </c>
      <c r="B33" s="90" t="s">
        <v>327</v>
      </c>
      <c r="D33" s="236">
        <f>IF('Input &amp; Calculation Summary'!C$10=1,'LSD Cost &amp; Tech. Results'!D33,'LSD Cost &amp; Tech. Results'!D63)</f>
        <v>149.92314802537967</v>
      </c>
      <c r="E33" s="236">
        <f>IF('Input &amp; Calculation Summary'!D$10=1,'LSD Cost &amp; Tech. Results'!E33,'LSD Cost &amp; Tech. Results'!E63)</f>
        <v>535.42473156468338</v>
      </c>
      <c r="F33" s="236">
        <f>IF('Input &amp; Calculation Summary'!E$10=1,'LSD Cost &amp; Tech. Results'!F33,'LSD Cost &amp; Tech. Results'!F63)</f>
        <v>281.99035862406657</v>
      </c>
      <c r="G33" s="236">
        <f>IF('Input &amp; Calculation Summary'!F$10=1,'LSD Cost &amp; Tech. Results'!G33,'LSD Cost &amp; Tech. Results'!G63)</f>
        <v>78.528960629486903</v>
      </c>
      <c r="H33" s="236">
        <f>IF('Input &amp; Calculation Summary'!G$10=1,'LSD Cost &amp; Tech. Results'!H33,'LSD Cost &amp; Tech. Results'!H63)</f>
        <v>78.528960629486903</v>
      </c>
    </row>
    <row r="34" spans="1:8" x14ac:dyDescent="0.3">
      <c r="A34" s="1" t="s">
        <v>534</v>
      </c>
      <c r="B34" s="90" t="s">
        <v>327</v>
      </c>
      <c r="D34" s="236">
        <f>IF('Input &amp; Calculation Summary'!C$10=1,'LSD Cost &amp; Tech. Results'!D34,'LSD Cost &amp; Tech. Results'!D64)</f>
        <v>59658.73835034934</v>
      </c>
      <c r="E34" s="236">
        <f>IF('Input &amp; Calculation Summary'!D$10=1,'LSD Cost &amp; Tech. Results'!E34,'LSD Cost &amp; Tech. Results'!E64)</f>
        <v>299972.50303613918</v>
      </c>
      <c r="F34" s="236">
        <f>IF('Input &amp; Calculation Summary'!E$10=1,'LSD Cost &amp; Tech. Results'!F34,'LSD Cost &amp; Tech. Results'!F64)</f>
        <v>164882.05593236664</v>
      </c>
      <c r="G34" s="236">
        <f>IF('Input &amp; Calculation Summary'!F$10=1,'LSD Cost &amp; Tech. Results'!G34,'LSD Cost &amp; Tech. Results'!G64)</f>
        <v>56429.161778633752</v>
      </c>
      <c r="H34" s="236">
        <f>IF('Input &amp; Calculation Summary'!G$10=1,'LSD Cost &amp; Tech. Results'!H34,'LSD Cost &amp; Tech. Results'!H64)</f>
        <v>31248.9350498854</v>
      </c>
    </row>
    <row r="35" spans="1:8" x14ac:dyDescent="0.3">
      <c r="A35" s="1" t="s">
        <v>60</v>
      </c>
      <c r="B35" s="90" t="s">
        <v>327</v>
      </c>
      <c r="D35" s="236">
        <f>IF('Input &amp; Calculation Summary'!C$10=1,'LSD Cost &amp; Tech. Results'!D35,'LSD Cost &amp; Tech. Results'!D65)</f>
        <v>3865.57654</v>
      </c>
      <c r="E35" s="236">
        <f>IF('Input &amp; Calculation Summary'!D$10=1,'LSD Cost &amp; Tech. Results'!E35,'LSD Cost &amp; Tech. Results'!E65)</f>
        <v>48080.896558998065</v>
      </c>
      <c r="F35" s="236">
        <f>IF('Input &amp; Calculation Summary'!E$10=1,'LSD Cost &amp; Tech. Results'!F35,'LSD Cost &amp; Tech. Results'!F65)</f>
        <v>25322.605521072321</v>
      </c>
      <c r="G35" s="236">
        <f>IF('Input &amp; Calculation Summary'!F$10=1,'LSD Cost &amp; Tech. Results'!G35,'LSD Cost &amp; Tech. Results'!G65)</f>
        <v>7051.8648286530488</v>
      </c>
      <c r="H35" s="236">
        <f>IF('Input &amp; Calculation Summary'!G$10=1,'LSD Cost &amp; Tech. Results'!H35,'LSD Cost &amp; Tech. Results'!H65)</f>
        <v>2024.7687693200005</v>
      </c>
    </row>
    <row r="36" spans="1:8" x14ac:dyDescent="0.3">
      <c r="A36" s="1" t="s">
        <v>535</v>
      </c>
      <c r="B36" s="90" t="s">
        <v>327</v>
      </c>
      <c r="D36" s="236">
        <f>IF('Input &amp; Calculation Summary'!C$10=1,'LSD Cost &amp; Tech. Results'!D36,'LSD Cost &amp; Tech. Results'!D66)</f>
        <v>942842.33360476454</v>
      </c>
      <c r="E36" s="236">
        <f>IF('Input &amp; Calculation Summary'!D$10=1,'LSD Cost &amp; Tech. Results'!E36,'LSD Cost &amp; Tech. Results'!E66)</f>
        <v>3453749.3171129348</v>
      </c>
      <c r="F36" s="236">
        <f>IF('Input &amp; Calculation Summary'!E$10=1,'LSD Cost &amp; Tech. Results'!F36,'LSD Cost &amp; Tech. Results'!F66)</f>
        <v>1825871.178012812</v>
      </c>
      <c r="G36" s="236">
        <f>IF('Input &amp; Calculation Summary'!F$10=1,'LSD Cost &amp; Tech. Results'!G36,'LSD Cost &amp; Tech. Results'!G66)</f>
        <v>518983.09450989711</v>
      </c>
      <c r="H36" s="236">
        <f>IF('Input &amp; Calculation Summary'!G$10=1,'LSD Cost &amp; Tech. Results'!H36,'LSD Cost &amp; Tech. Results'!H66)</f>
        <v>493960.75270259072</v>
      </c>
    </row>
    <row r="38" spans="1:8" ht="16" x14ac:dyDescent="0.35">
      <c r="A38" s="211" t="s">
        <v>706</v>
      </c>
      <c r="B38" s="90" t="s">
        <v>707</v>
      </c>
      <c r="D38" s="236">
        <f>D27/'Input &amp; Calculation Summary'!C168</f>
        <v>89857.182520607254</v>
      </c>
      <c r="E38" s="236">
        <f>E27/'Input &amp; Calculation Summary'!D168</f>
        <v>270467.84858600906</v>
      </c>
      <c r="F38" s="236">
        <f>F27/'Input &amp; Calculation Summary'!E168</f>
        <v>143304.97314523751</v>
      </c>
      <c r="G38" s="236">
        <f>G27/'Input &amp; Calculation Summary'!F168</f>
        <v>41216.467509688599</v>
      </c>
      <c r="H38" s="236">
        <f>H27/'Input &amp; Calculation Summary'!G168</f>
        <v>47071.259797104009</v>
      </c>
    </row>
    <row r="40" spans="1:8" ht="16" x14ac:dyDescent="0.35">
      <c r="A40" s="211" t="s">
        <v>708</v>
      </c>
      <c r="B40" s="90" t="s">
        <v>707</v>
      </c>
      <c r="D40" s="140">
        <f>('Input &amp; Calculation Summary'!C171/12)*3.1416*'Input &amp; Calculation Summary'!C172</f>
        <v>31.416</v>
      </c>
      <c r="E40" s="140">
        <f>('Input &amp; Calculation Summary'!D171/12)*3.1416*'Input &amp; Calculation Summary'!D172</f>
        <v>31.416</v>
      </c>
      <c r="F40" s="140">
        <f>('Input &amp; Calculation Summary'!E171/12)*3.1416*'Input &amp; Calculation Summary'!E172</f>
        <v>31.416</v>
      </c>
      <c r="G40" s="140">
        <f>('Input &amp; Calculation Summary'!F171/12)*3.1416*'Input &amp; Calculation Summary'!F172</f>
        <v>31.416</v>
      </c>
      <c r="H40" s="140">
        <f>('Input &amp; Calculation Summary'!G171/12)*3.1416*'Input &amp; Calculation Summary'!G172</f>
        <v>31.416</v>
      </c>
    </row>
    <row r="42" spans="1:8" ht="13.5" x14ac:dyDescent="0.35">
      <c r="A42" s="211" t="s">
        <v>709</v>
      </c>
      <c r="D42" s="236">
        <f>D38/D40</f>
        <v>2860.2362656164773</v>
      </c>
      <c r="E42" s="236">
        <f>E38/E40</f>
        <v>8609.2388778332388</v>
      </c>
      <c r="F42" s="236">
        <f>F38/F40</f>
        <v>4561.5283023057518</v>
      </c>
      <c r="G42" s="236">
        <f>G38/G40</f>
        <v>1311.9578402625605</v>
      </c>
      <c r="H42" s="236">
        <f>H38/H40</f>
        <v>1498.3212311275786</v>
      </c>
    </row>
    <row r="44" spans="1:8" ht="13.5" x14ac:dyDescent="0.35">
      <c r="A44" s="211" t="s">
        <v>710</v>
      </c>
      <c r="D44" s="236">
        <f>D42*(1+'Input &amp; Calculation Summary'!C174)</f>
        <v>3146.2598921781255</v>
      </c>
      <c r="E44" s="236">
        <f>E42*(1+'Input &amp; Calculation Summary'!D174)</f>
        <v>9470.1627656165638</v>
      </c>
      <c r="F44" s="236">
        <f>F42*(1+'Input &amp; Calculation Summary'!E174)</f>
        <v>5017.6811325363278</v>
      </c>
      <c r="G44" s="236">
        <f>G42*(1+'Input &amp; Calculation Summary'!F174)</f>
        <v>1443.1536242888167</v>
      </c>
      <c r="H44" s="236">
        <f>H42*(1+'Input &amp; Calculation Summary'!G174)</f>
        <v>1648.1533542403365</v>
      </c>
    </row>
    <row r="46" spans="1:8" ht="13.5" x14ac:dyDescent="0.35">
      <c r="A46" s="211" t="s">
        <v>711</v>
      </c>
      <c r="D46" s="91">
        <f>IF('Input &amp; Calculation Summary'!C25&lt;=500,1,(IF('Input &amp; Calculation Summary'!C25&lt;=1000,2,(IF('Input &amp; Calculation Summary'!C25&lt;=1500,3,4)))))</f>
        <v>1</v>
      </c>
      <c r="E46" s="90">
        <f>IF('Input &amp; Calculation Summary'!D25&lt;=500,1,(IF('Input &amp; Calculation Summary'!D25&lt;=1000,2,(IF('Input &amp; Calculation Summary'!D25&lt;=1500,3,4)))))</f>
        <v>1</v>
      </c>
      <c r="F46" s="90">
        <f>IF('Input &amp; Calculation Summary'!E25&lt;=500,1,(IF('Input &amp; Calculation Summary'!E25&lt;=1000,2,(IF('Input &amp; Calculation Summary'!E25&lt;=1500,3,4)))))</f>
        <v>1</v>
      </c>
      <c r="G46" s="90">
        <f>IF('Input &amp; Calculation Summary'!F25&lt;=500,1,(IF('Input &amp; Calculation Summary'!F25&lt;=1000,2,(IF('Input &amp; Calculation Summary'!F25&lt;=1500,3,4)))))</f>
        <v>1</v>
      </c>
      <c r="H46" s="90">
        <f>IF('Input &amp; Calculation Summary'!G25&lt;=500,1,(IF('Input &amp; Calculation Summary'!G25&lt;=1000,2,(IF('Input &amp; Calculation Summary'!G25&lt;=1500,3,4)))))</f>
        <v>1</v>
      </c>
    </row>
    <row r="48" spans="1:8" ht="16" x14ac:dyDescent="0.35">
      <c r="A48" s="211" t="s">
        <v>712</v>
      </c>
      <c r="B48" s="90" t="s">
        <v>707</v>
      </c>
      <c r="D48" s="240">
        <f>3.1416*('Input &amp; Calculation Summary'!C171/2/12)^2*(D44/D46)/(IF('Input &amp; Calculation Summary'!C167=2,0.2,0.3))</f>
        <v>3088.8406491458741</v>
      </c>
      <c r="E48" s="240">
        <f>3.1416*('Input &amp; Calculation Summary'!D171/2/12)^2*(E44/E46)/(IF('Input &amp; Calculation Summary'!D167=2,0.2,0.3))</f>
        <v>9297.3322951440605</v>
      </c>
      <c r="F48" s="240">
        <f>3.1416*('Input &amp; Calculation Summary'!E171/2/12)^2*(F44/F46)/(IF('Input &amp; Calculation Summary'!E167=2,0.2,0.3))</f>
        <v>4926.1084518675398</v>
      </c>
      <c r="G48" s="240">
        <f>3.1416*('Input &amp; Calculation Summary'!F171/2/12)^2*(G44/G46)/(IF('Input &amp; Calculation Summary'!F167=2,0.2,0.3))</f>
        <v>1416.8160706455458</v>
      </c>
      <c r="H48" s="240">
        <f>3.1416*('Input &amp; Calculation Summary'!G171/2/12)^2*(H44/H46)/(IF('Input &amp; Calculation Summary'!G167=2,0.2,0.3))</f>
        <v>1618.0745555254503</v>
      </c>
    </row>
    <row r="49" spans="1:8" x14ac:dyDescent="0.3">
      <c r="A49" s="1" t="s">
        <v>713</v>
      </c>
      <c r="B49" s="90" t="s">
        <v>714</v>
      </c>
      <c r="D49" s="236">
        <f>D50*2</f>
        <v>78.598227068374442</v>
      </c>
      <c r="E49" s="236">
        <f>E50*2</f>
        <v>136.36225500587807</v>
      </c>
      <c r="F49" s="236">
        <f>F50*2</f>
        <v>99.258334177715668</v>
      </c>
      <c r="G49" s="236">
        <f>G50*2</f>
        <v>53.231871480261631</v>
      </c>
      <c r="H49" s="236">
        <f>H50*2</f>
        <v>56.887161214556144</v>
      </c>
    </row>
    <row r="50" spans="1:8" x14ac:dyDescent="0.3">
      <c r="A50" s="1" t="s">
        <v>715</v>
      </c>
      <c r="B50" s="90" t="s">
        <v>714</v>
      </c>
      <c r="D50" s="236">
        <f>(D48/2)^0.5</f>
        <v>39.299113534187221</v>
      </c>
      <c r="E50" s="236">
        <f>(E48/2)^0.5</f>
        <v>68.181127502939034</v>
      </c>
      <c r="F50" s="236">
        <f>(F48/2)^0.5</f>
        <v>49.629167088857834</v>
      </c>
      <c r="G50" s="236">
        <f>(G48/2)^0.5</f>
        <v>26.615935740130816</v>
      </c>
      <c r="H50" s="236">
        <f>(H48/2)^0.5</f>
        <v>28.443580607278072</v>
      </c>
    </row>
    <row r="51" spans="1:8" x14ac:dyDescent="0.3">
      <c r="D51" s="236"/>
      <c r="E51" s="236"/>
      <c r="F51" s="236"/>
      <c r="G51" s="236"/>
      <c r="H51" s="236"/>
    </row>
    <row r="52" spans="1:8" x14ac:dyDescent="0.3">
      <c r="A52" s="111"/>
      <c r="B52" s="112"/>
      <c r="C52" s="112"/>
      <c r="D52" s="112"/>
      <c r="E52" s="112"/>
      <c r="F52" s="112"/>
      <c r="G52" s="112"/>
      <c r="H52" s="112"/>
    </row>
    <row r="53" spans="1:8" ht="18" thickBot="1" x14ac:dyDescent="0.4">
      <c r="A53" s="241" t="s">
        <v>716</v>
      </c>
      <c r="D53" s="155" t="s">
        <v>320</v>
      </c>
      <c r="E53" s="155" t="s">
        <v>518</v>
      </c>
      <c r="F53" s="155" t="s">
        <v>519</v>
      </c>
      <c r="G53" s="155" t="s">
        <v>520</v>
      </c>
      <c r="H53" s="155" t="s">
        <v>521</v>
      </c>
    </row>
    <row r="54" spans="1:8" ht="13.5" x14ac:dyDescent="0.35">
      <c r="A54" s="232" t="s">
        <v>338</v>
      </c>
      <c r="B54" s="1"/>
      <c r="C54" s="115"/>
      <c r="D54" s="231">
        <f>'Input &amp; Calculation Summary'!C46</f>
        <v>2015</v>
      </c>
      <c r="E54" s="231">
        <f>'Input &amp; Calculation Summary'!D46</f>
        <v>2015</v>
      </c>
      <c r="F54" s="231">
        <f>'Input &amp; Calculation Summary'!E46</f>
        <v>2015</v>
      </c>
      <c r="G54" s="231">
        <f>'Input &amp; Calculation Summary'!F46</f>
        <v>2015</v>
      </c>
      <c r="H54" s="231">
        <f>'Input &amp; Calculation Summary'!G46</f>
        <v>2015</v>
      </c>
    </row>
    <row r="56" spans="1:8" x14ac:dyDescent="0.3">
      <c r="A56" s="1" t="s">
        <v>717</v>
      </c>
      <c r="B56" s="90" t="s">
        <v>303</v>
      </c>
      <c r="D56" s="101">
        <f>(IF('Input &amp; Calculation Summary'!C167=2,((217.39*(D27/D46)^0.7088)*D46),((937.08*(D27/D46)^0.6417)*D46))*(IF('Input &amp; Calculation Summary'!C46&lt;1990,VLOOKUP('Input &amp; Calculation Summary'!C46,Constants_CC!$B$285:$C$303,2)/357.6,(IF('Input &amp; Calculation Summary'!C59="Yes",'Input &amp; Calculation Summary'!C60/357.6,(1+'Input &amp; Calculation Summary'!C61)^(D54-1990))))))</f>
        <v>2771941.0443494925</v>
      </c>
      <c r="E56" s="101">
        <f>(IF('Input &amp; Calculation Summary'!D167=2,((217.39*(E27/E46)^0.7088)*E46),((937.08*(E27/E46)^0.6417)*E46))*(IF('Input &amp; Calculation Summary'!D46&lt;1990,VLOOKUP('Input &amp; Calculation Summary'!D46,Constants_CC!$B$285:$C$303,2)/357.6,(IF('Input &amp; Calculation Summary'!D59="Yes",'Input &amp; Calculation Summary'!D60/357.6,(1+'Input &amp; Calculation Summary'!D61)^(E54-1990))))))</f>
        <v>6053260.1200009203</v>
      </c>
      <c r="F56" s="101">
        <f>(IF('Input &amp; Calculation Summary'!E167=2,((217.39*(F27/F46)^0.7088)*F46),((937.08*(F27/F46)^0.6417)*F46))*(IF('Input &amp; Calculation Summary'!E46&lt;1990,VLOOKUP('Input &amp; Calculation Summary'!E46,Constants_CC!$B$285:$C$303,2)/357.6,(IF('Input &amp; Calculation Summary'!E59="Yes",'Input &amp; Calculation Summary'!E60/357.6,(1+'Input &amp; Calculation Summary'!E61)^(F54-1990))))))</f>
        <v>3858901.9969699825</v>
      </c>
      <c r="G56" s="101">
        <f>(IF('Input &amp; Calculation Summary'!F167=2,((217.39*(G27/G46)^0.7088)*G46),((937.08*(G27/G46)^0.6417)*G46))*(IF('Input &amp; Calculation Summary'!F46&lt;1990,VLOOKUP('Input &amp; Calculation Summary'!F46,Constants_CC!$B$285:$C$303,2)/357.6,(IF('Input &amp; Calculation Summary'!F59="Yes",'Input &amp; Calculation Summary'!F60/357.6,(1+'Input &amp; Calculation Summary'!F61)^(G54-1990))))))</f>
        <v>1595393.8975860544</v>
      </c>
      <c r="H56" s="101">
        <f>(IF('Input &amp; Calculation Summary'!G167=2,((217.39*(H27/H46)^0.7088)*H46),((937.08*(H27/H46)^0.6417)*H46))*(IF('Input &amp; Calculation Summary'!G46&lt;1990,VLOOKUP('Input &amp; Calculation Summary'!G46,Constants_CC!$B$285:$C$303,2)/357.6,(IF('Input &amp; Calculation Summary'!G59="Yes",'Input &amp; Calculation Summary'!G60/357.6,(1+'Input &amp; Calculation Summary'!G61)^(H54-1990))))))</f>
        <v>1752891.7337586698</v>
      </c>
    </row>
    <row r="57" spans="1:8" x14ac:dyDescent="0.3">
      <c r="A57" s="1" t="s">
        <v>718</v>
      </c>
      <c r="B57" s="90" t="s">
        <v>303</v>
      </c>
      <c r="D57" s="101">
        <f>(IF('Input &amp; Calculation Summary'!C169=2,1.7*D38,(IF('Input &amp; Calculation Summary'!C169=1,1*D38,2*D38))))*(IF('Input &amp; Calculation Summary'!C46&lt;1990,VLOOKUP('Input &amp; Calculation Summary'!C46,Constants_CC!$B$285:$C$303,2)/357.6,(IF('Input &amp; Calculation Summary'!C59="Yes",'Input &amp; Calculation Summary'!C60/357.6,(1+'Input &amp; Calculation Summary'!C61)^(D54-1990)))))</f>
        <v>247077.09851471666</v>
      </c>
      <c r="E57" s="101">
        <f>(IF('Input &amp; Calculation Summary'!D169=2,1.7*E38,(IF('Input &amp; Calculation Summary'!D169=1,1*E38,2*E38))))*(IF('Input &amp; Calculation Summary'!D46&lt;1990,VLOOKUP('Input &amp; Calculation Summary'!D46,Constants_CC!$B$285:$C$303,2)/357.6,(IF('Input &amp; Calculation Summary'!D59="Yes",'Input &amp; Calculation Summary'!D60/357.6,(1+'Input &amp; Calculation Summary'!D61)^(E54-1990)))))</f>
        <v>743695.8225885093</v>
      </c>
      <c r="F57" s="101">
        <f>(IF('Input &amp; Calculation Summary'!E169=2,1.7*F38,(IF('Input &amp; Calculation Summary'!E169=1,1*F38,2*F38))))*(IF('Input &amp; Calculation Summary'!E46&lt;1990,VLOOKUP('Input &amp; Calculation Summary'!E46,Constants_CC!$B$285:$C$303,2)/357.6,(IF('Input &amp; Calculation Summary'!E59="Yes",'Input &amp; Calculation Summary'!E60/357.6,(1+'Input &amp; Calculation Summary'!E61)^(F54-1990)))))</f>
        <v>394040.5872322403</v>
      </c>
      <c r="G57" s="101">
        <f>(IF('Input &amp; Calculation Summary'!F169=2,1.7*G38,(IF('Input &amp; Calculation Summary'!F169=1,1*G38,2*G38))))*(IF('Input &amp; Calculation Summary'!F46&lt;1990,VLOOKUP('Input &amp; Calculation Summary'!F46,Constants_CC!$B$285:$C$303,2)/357.6,(IF('Input &amp; Calculation Summary'!F59="Yes",'Input &amp; Calculation Summary'!F60/357.6,(1+'Input &amp; Calculation Summary'!F61)^(G54-1990)))))</f>
        <v>113331.45462227796</v>
      </c>
      <c r="H57" s="101">
        <f>(IF('Input &amp; Calculation Summary'!G169=2,1.7*H38,(IF('Input &amp; Calculation Summary'!G169=1,1*H38,2*H38))))*(IF('Input &amp; Calculation Summary'!G46&lt;1990,VLOOKUP('Input &amp; Calculation Summary'!G46,Constants_CC!$B$285:$C$303,2)/357.6,(IF('Input &amp; Calculation Summary'!G59="Yes",'Input &amp; Calculation Summary'!G60/357.6,(1+'Input &amp; Calculation Summary'!G61)^(H54-1990)))))</f>
        <v>129430.16871727188</v>
      </c>
    </row>
    <row r="58" spans="1:8" x14ac:dyDescent="0.3">
      <c r="A58" s="1" t="s">
        <v>719</v>
      </c>
      <c r="B58" s="90" t="s">
        <v>303</v>
      </c>
      <c r="D58" s="101">
        <f>(D35/2000*21901+200895)*(IF('Input &amp; Calculation Summary'!C46&lt;1990,VLOOKUP('Input &amp; Calculation Summary'!C46,Constants_CC!$B$285:$C$303,2)/357.6,(IF('Input &amp; Calculation Summary'!C59="Yes",'Input &amp; Calculation Summary'!C60/357.6,(1+'Input &amp; Calculation Summary'!C61)^(D54-1990)))))</f>
        <v>393404.18800138298</v>
      </c>
      <c r="E58" s="101">
        <f>(E35/2000*21901+200895)*(IF('Input &amp; Calculation Summary'!D46&lt;1990,VLOOKUP('Input &amp; Calculation Summary'!D46,Constants_CC!$B$285:$C$303,2)/357.6,(IF('Input &amp; Calculation Summary'!D59="Yes",'Input &amp; Calculation Summary'!D60/357.6,(1+'Input &amp; Calculation Summary'!D61)^(E54-1990)))))</f>
        <v>1176540.7431033775</v>
      </c>
      <c r="F58" s="101">
        <f>(F35/2000*21901+200895)*(IF('Input &amp; Calculation Summary'!E46&lt;1990,VLOOKUP('Input &amp; Calculation Summary'!E46,Constants_CC!$B$285:$C$303,2)/357.6,(IF('Input &amp; Calculation Summary'!E59="Yes",'Input &amp; Calculation Summary'!E60/357.6,(1+'Input &amp; Calculation Summary'!E61)^(F54-1990)))))</f>
        <v>773448.56519328232</v>
      </c>
      <c r="G58" s="101">
        <f>(G35/2000*21901+200895)*(IF('Input &amp; Calculation Summary'!F46&lt;1990,VLOOKUP('Input &amp; Calculation Summary'!F46,Constants_CC!$B$285:$C$303,2)/357.6,(IF('Input &amp; Calculation Summary'!F59="Yes",'Input &amp; Calculation Summary'!F60/357.6,(1+'Input &amp; Calculation Summary'!F61)^(G54-1990)))))</f>
        <v>449839.35194151552</v>
      </c>
      <c r="H58" s="101">
        <f>(H35/2000*21901+200895)*(IF('Input &amp; Calculation Summary'!G46&lt;1990,VLOOKUP('Input &amp; Calculation Summary'!G46,Constants_CC!$B$285:$C$303,2)/357.6,(IF('Input &amp; Calculation Summary'!G59="Yes",'Input &amp; Calculation Summary'!G60/357.6,(1+'Input &amp; Calculation Summary'!G61)^(H54-1990)))))</f>
        <v>360800.01696935378</v>
      </c>
    </row>
    <row r="59" spans="1:8" x14ac:dyDescent="0.3">
      <c r="A59" s="1" t="s">
        <v>720</v>
      </c>
      <c r="B59" s="90" t="s">
        <v>303</v>
      </c>
      <c r="D59" s="162">
        <f>(97.41*D27^0.619)*(IF('Input &amp; Calculation Summary'!C46&lt;1990,VLOOKUP('Input &amp; Calculation Summary'!C46,Constants_CC!$B$285:$C$303,2)/357.6,(IF('Input &amp; Calculation Summary'!C59="Yes",'Input &amp; Calculation Summary'!C60/357.6,(1+'Input &amp; Calculation Summary'!C61)^(D54-1990)))))</f>
        <v>398530.54984887614</v>
      </c>
      <c r="E59" s="162">
        <f>(97.41*E27^0.619)*(IF('Input &amp; Calculation Summary'!D46&lt;1990,VLOOKUP('Input &amp; Calculation Summary'!D46,Constants_CC!$B$285:$C$303,2)/357.6,(IF('Input &amp; Calculation Summary'!D59="Yes",'Input &amp; Calculation Summary'!D60/357.6,(1+'Input &amp; Calculation Summary'!D61)^(E54-1990)))))</f>
        <v>788300.8995213639</v>
      </c>
      <c r="F59" s="162">
        <f>(97.41*F27^0.619)*(IF('Input &amp; Calculation Summary'!E46&lt;1990,VLOOKUP('Input &amp; Calculation Summary'!E46,Constants_CC!$B$285:$C$303,2)/357.6,(IF('Input &amp; Calculation Summary'!E59="Yes",'Input &amp; Calculation Summary'!E60/357.6,(1+'Input &amp; Calculation Summary'!E61)^(F54-1990)))))</f>
        <v>532032.49455559033</v>
      </c>
      <c r="G59" s="162">
        <f>(97.41*G27^0.619)*(IF('Input &amp; Calculation Summary'!F46&lt;1990,VLOOKUP('Input &amp; Calculation Summary'!F46,Constants_CC!$B$285:$C$303,2)/357.6,(IF('Input &amp; Calculation Summary'!F59="Yes",'Input &amp; Calculation Summary'!F60/357.6,(1+'Input &amp; Calculation Summary'!F61)^(G54-1990)))))</f>
        <v>246003.47506889616</v>
      </c>
      <c r="H59" s="162">
        <f>(97.41*H27^0.619)*(IF('Input &amp; Calculation Summary'!G46&lt;1990,VLOOKUP('Input &amp; Calculation Summary'!G46,Constants_CC!$B$285:$C$303,2)/357.6,(IF('Input &amp; Calculation Summary'!G59="Yes",'Input &amp; Calculation Summary'!G60/357.6,(1+'Input &amp; Calculation Summary'!G61)^(H54-1990)))))</f>
        <v>267084.25754159829</v>
      </c>
    </row>
    <row r="60" spans="1:8" x14ac:dyDescent="0.3">
      <c r="A60" s="1" t="s">
        <v>721</v>
      </c>
      <c r="B60" s="90" t="s">
        <v>303</v>
      </c>
      <c r="D60" s="101">
        <f>SUM(D56:D59)</f>
        <v>3810952.8807144682</v>
      </c>
      <c r="E60" s="101">
        <f>SUM(E56:E59)</f>
        <v>8761797.5852141716</v>
      </c>
      <c r="F60" s="101">
        <f>SUM(F56:F59)</f>
        <v>5558423.6439510956</v>
      </c>
      <c r="G60" s="101">
        <f>SUM(G56:G59)</f>
        <v>2404568.1792187439</v>
      </c>
      <c r="H60" s="101">
        <f>SUM(H56:H59)</f>
        <v>2510206.1769868936</v>
      </c>
    </row>
    <row r="61" spans="1:8" x14ac:dyDescent="0.3">
      <c r="A61" s="1" t="s">
        <v>357</v>
      </c>
      <c r="B61" s="90" t="s">
        <v>303</v>
      </c>
      <c r="D61" s="101">
        <f>0.02*D60</f>
        <v>76219.05761428937</v>
      </c>
      <c r="E61" s="101">
        <f>0.02*E60</f>
        <v>175235.95170428345</v>
      </c>
      <c r="F61" s="101">
        <f>0.02*F60</f>
        <v>111168.47287902191</v>
      </c>
      <c r="G61" s="101">
        <f>0.02*G60</f>
        <v>48091.363584374878</v>
      </c>
      <c r="H61" s="101">
        <f>0.02*H60</f>
        <v>50204.123539737877</v>
      </c>
    </row>
    <row r="62" spans="1:8" x14ac:dyDescent="0.3">
      <c r="A62" s="1" t="s">
        <v>360</v>
      </c>
      <c r="B62" s="90" t="s">
        <v>303</v>
      </c>
      <c r="D62" s="101">
        <f>D60*'Input &amp; Calculation Summary'!C55</f>
        <v>228657.17284286808</v>
      </c>
      <c r="E62" s="101">
        <f>E60*'Input &amp; Calculation Summary'!D55</f>
        <v>525707.85511285032</v>
      </c>
      <c r="F62" s="101">
        <f>F60*'Input &amp; Calculation Summary'!E55</f>
        <v>333505.41863706574</v>
      </c>
      <c r="G62" s="101">
        <f>G60*'Input &amp; Calculation Summary'!F55</f>
        <v>144274.09075312462</v>
      </c>
      <c r="H62" s="101">
        <f>H60*'Input &amp; Calculation Summary'!G55</f>
        <v>150612.37061921362</v>
      </c>
    </row>
    <row r="63" spans="1:8" x14ac:dyDescent="0.3">
      <c r="A63" s="1" t="s">
        <v>363</v>
      </c>
      <c r="B63" s="90" t="s">
        <v>303</v>
      </c>
      <c r="D63" s="162">
        <f>0.05*D60</f>
        <v>190547.64403572341</v>
      </c>
      <c r="E63" s="162">
        <f>0.05*E60</f>
        <v>438089.87926070858</v>
      </c>
      <c r="F63" s="162">
        <f>0.05*F60</f>
        <v>277921.18219755479</v>
      </c>
      <c r="G63" s="162">
        <f>0.05*G60</f>
        <v>120228.4089609372</v>
      </c>
      <c r="H63" s="162">
        <f>0.05*H60</f>
        <v>125510.30884934468</v>
      </c>
    </row>
    <row r="64" spans="1:8" x14ac:dyDescent="0.3">
      <c r="A64" s="1" t="s">
        <v>722</v>
      </c>
      <c r="B64" s="90" t="s">
        <v>303</v>
      </c>
      <c r="D64" s="101">
        <f>SUM(D60:D63)</f>
        <v>4306376.7552073486</v>
      </c>
      <c r="E64" s="101">
        <f>SUM(E60:E63)</f>
        <v>9900831.2712920159</v>
      </c>
      <c r="F64" s="101">
        <f>SUM(F60:F63)</f>
        <v>6281018.7176647391</v>
      </c>
      <c r="G64" s="101">
        <f>SUM(G60:G63)</f>
        <v>2717162.0425171806</v>
      </c>
      <c r="H64" s="101">
        <f>SUM(H60:H63)</f>
        <v>2836532.9799951897</v>
      </c>
    </row>
    <row r="65" spans="1:8" x14ac:dyDescent="0.3">
      <c r="A65" s="1" t="s">
        <v>723</v>
      </c>
      <c r="B65" s="90" t="s">
        <v>303</v>
      </c>
      <c r="D65" s="162">
        <f>0.67*D64</f>
        <v>2885272.4259889238</v>
      </c>
      <c r="E65" s="162">
        <f>0.67*E64</f>
        <v>6633556.9517656509</v>
      </c>
      <c r="F65" s="162">
        <f>0.67*F64</f>
        <v>4208282.5408353759</v>
      </c>
      <c r="G65" s="162">
        <f>0.67*G64</f>
        <v>1820498.568486511</v>
      </c>
      <c r="H65" s="162">
        <f>0.67*H64</f>
        <v>1900477.0965967772</v>
      </c>
    </row>
    <row r="66" spans="1:8" ht="13.5" x14ac:dyDescent="0.35">
      <c r="A66" s="204" t="s">
        <v>366</v>
      </c>
      <c r="B66" s="90" t="s">
        <v>303</v>
      </c>
      <c r="D66" s="101">
        <f>D64+D65</f>
        <v>7191649.1811962724</v>
      </c>
      <c r="E66" s="101">
        <f>E64+E65</f>
        <v>16534388.223057667</v>
      </c>
      <c r="F66" s="101">
        <f>F64+F65</f>
        <v>10489301.258500114</v>
      </c>
      <c r="G66" s="101">
        <f>G64+G65</f>
        <v>4537660.6110036913</v>
      </c>
      <c r="H66" s="101">
        <f>H64+H65</f>
        <v>4737010.0765919667</v>
      </c>
    </row>
    <row r="68" spans="1:8" x14ac:dyDescent="0.3">
      <c r="A68" s="1" t="s">
        <v>724</v>
      </c>
      <c r="B68" s="90" t="s">
        <v>303</v>
      </c>
      <c r="D68" s="101">
        <f>D66*'Input &amp; Calculation Summary'!C39</f>
        <v>11506638.689914037</v>
      </c>
      <c r="E68" s="101">
        <f>E66*'Input &amp; Calculation Summary'!D39</f>
        <v>26455021.15689227</v>
      </c>
      <c r="F68" s="101">
        <f>F66*'Input &amp; Calculation Summary'!E39</f>
        <v>16782882.013600182</v>
      </c>
      <c r="G68" s="101">
        <f>G66*'Input &amp; Calculation Summary'!F39</f>
        <v>7260256.9776059063</v>
      </c>
      <c r="H68" s="101">
        <f>H66*'Input &amp; Calculation Summary'!G39</f>
        <v>7579216.1225471469</v>
      </c>
    </row>
    <row r="69" spans="1:8" x14ac:dyDescent="0.3">
      <c r="A69" s="1" t="s">
        <v>369</v>
      </c>
      <c r="B69" s="90" t="s">
        <v>303</v>
      </c>
      <c r="D69" s="101">
        <f>D68*'Input &amp; Calculation Summary'!C178</f>
        <v>1150663.8689914036</v>
      </c>
      <c r="E69" s="101">
        <f>E68*'Input &amp; Calculation Summary'!D178</f>
        <v>2645502.1156892274</v>
      </c>
      <c r="F69" s="101">
        <f>F68*'Input &amp; Calculation Summary'!E178</f>
        <v>1678288.2013600182</v>
      </c>
      <c r="G69" s="101">
        <f>G68*'Input &amp; Calculation Summary'!F178</f>
        <v>726025.6977605907</v>
      </c>
      <c r="H69" s="101">
        <f>H68*'Input &amp; Calculation Summary'!G178</f>
        <v>757921.61225471471</v>
      </c>
    </row>
    <row r="70" spans="1:8" x14ac:dyDescent="0.3">
      <c r="A70" s="1" t="s">
        <v>372</v>
      </c>
      <c r="B70" s="90" t="s">
        <v>303</v>
      </c>
      <c r="D70" s="101">
        <f>D68*'Input &amp; Calculation Summary'!C179</f>
        <v>1150663.8689914036</v>
      </c>
      <c r="E70" s="101">
        <f>E68*'Input &amp; Calculation Summary'!D179</f>
        <v>2645502.1156892274</v>
      </c>
      <c r="F70" s="101">
        <f>F68*'Input &amp; Calculation Summary'!E179</f>
        <v>1678288.2013600182</v>
      </c>
      <c r="G70" s="101">
        <f>G68*'Input &amp; Calculation Summary'!F179</f>
        <v>726025.6977605907</v>
      </c>
      <c r="H70" s="101">
        <f>H68*'Input &amp; Calculation Summary'!G179</f>
        <v>757921.61225471471</v>
      </c>
    </row>
    <row r="71" spans="1:8" x14ac:dyDescent="0.3">
      <c r="A71" s="1" t="s">
        <v>375</v>
      </c>
      <c r="B71" s="90" t="s">
        <v>303</v>
      </c>
      <c r="D71" s="162">
        <f>D68*'Input &amp; Calculation Summary'!C177</f>
        <v>2301327.7379828072</v>
      </c>
      <c r="E71" s="162">
        <f>E68*'Input &amp; Calculation Summary'!D177</f>
        <v>5291004.2313784547</v>
      </c>
      <c r="F71" s="162">
        <f>F68*'Input &amp; Calculation Summary'!E177</f>
        <v>3356576.4027200365</v>
      </c>
      <c r="G71" s="162">
        <f>G68*'Input &amp; Calculation Summary'!F177</f>
        <v>1452051.3955211814</v>
      </c>
      <c r="H71" s="162">
        <f>H68*'Input &amp; Calculation Summary'!G177</f>
        <v>1515843.2245094294</v>
      </c>
    </row>
    <row r="72" spans="1:8" ht="13.5" x14ac:dyDescent="0.35">
      <c r="A72" s="204" t="s">
        <v>378</v>
      </c>
      <c r="B72" s="90" t="s">
        <v>303</v>
      </c>
      <c r="D72" s="101">
        <f>SUM(D68:D71)</f>
        <v>16109294.16587965</v>
      </c>
      <c r="E72" s="101">
        <f>SUM(E68:E71)</f>
        <v>37037029.619649172</v>
      </c>
      <c r="F72" s="101">
        <f>SUM(F68:F71)</f>
        <v>23496034.819040254</v>
      </c>
      <c r="G72" s="101">
        <f>SUM(G68:G71)</f>
        <v>10164359.768648269</v>
      </c>
      <c r="H72" s="101">
        <f>SUM(H68:H71)</f>
        <v>10610902.571566006</v>
      </c>
    </row>
    <row r="73" spans="1:8" ht="13.5" x14ac:dyDescent="0.35">
      <c r="A73" s="204" t="s">
        <v>380</v>
      </c>
      <c r="B73" s="90" t="s">
        <v>303</v>
      </c>
      <c r="D73" s="101">
        <f>D72*(1+'Input &amp; Calculation Summary'!C$63)</f>
        <v>16592572.99085604</v>
      </c>
      <c r="E73" s="101">
        <f>E72*(1+'Input &amp; Calculation Summary'!D$63)</f>
        <v>38148140.508238651</v>
      </c>
      <c r="F73" s="101">
        <f>F72*(1+'Input &amp; Calculation Summary'!E$63)</f>
        <v>24200915.863611463</v>
      </c>
      <c r="G73" s="101">
        <f>G72*(1+'Input &amp; Calculation Summary'!F$63)</f>
        <v>10469290.561707716</v>
      </c>
      <c r="H73" s="101">
        <f>H72*(1+'Input &amp; Calculation Summary'!G$63)</f>
        <v>10929229.648712987</v>
      </c>
    </row>
    <row r="74" spans="1:8" ht="13.5" x14ac:dyDescent="0.35">
      <c r="A74" s="204" t="s">
        <v>381</v>
      </c>
      <c r="B74" s="90" t="s">
        <v>303</v>
      </c>
      <c r="D74" s="101">
        <f>D73*VLOOKUP(2,Constants_CC!$C$557:$E$562,3)</f>
        <v>16350933.578367835</v>
      </c>
      <c r="E74" s="101">
        <f>E73*VLOOKUP(2,Constants_CC!$C$557:$E$562,3)</f>
        <v>37592585.063943885</v>
      </c>
      <c r="F74" s="101">
        <f>F73*VLOOKUP(2,Constants_CC!$C$557:$E$562,3)</f>
        <v>23848475.341325842</v>
      </c>
      <c r="G74" s="101">
        <f>G73*VLOOKUP(2,Constants_CC!$C$557:$E$562,3)</f>
        <v>10316825.165177986</v>
      </c>
      <c r="H74" s="101">
        <f>H73*VLOOKUP(2,Constants_CC!$C$557:$E$562,3)</f>
        <v>10770066.110139489</v>
      </c>
    </row>
    <row r="75" spans="1:8" x14ac:dyDescent="0.3">
      <c r="D75" s="101"/>
      <c r="E75" s="101"/>
      <c r="F75" s="101"/>
      <c r="G75" s="101"/>
      <c r="H75" s="101"/>
    </row>
    <row r="76" spans="1:8" ht="13.5" x14ac:dyDescent="0.35">
      <c r="A76" s="204" t="s">
        <v>383</v>
      </c>
      <c r="B76" s="90" t="s">
        <v>303</v>
      </c>
      <c r="D76" s="101">
        <f>D73*VLOOKUP(2,Constants_CC!$C$557:$E$562,2)</f>
        <v>869901.8849575147</v>
      </c>
      <c r="E76" s="101">
        <f>E73*VLOOKUP(2,Constants_CC!$C$557:$E$562,2)</f>
        <v>1999999.5994610868</v>
      </c>
      <c r="F76" s="101">
        <f>F73*VLOOKUP(2,Constants_CC!$C$557:$E$562,2)</f>
        <v>1268785.8802281937</v>
      </c>
      <c r="G76" s="101">
        <f>G73*VLOOKUP(2,Constants_CC!$C$557:$E$562,2)</f>
        <v>548875.42750701506</v>
      </c>
      <c r="H76" s="101">
        <f>H73*VLOOKUP(2,Constants_CC!$C$557:$E$562,2)</f>
        <v>572988.7388645733</v>
      </c>
    </row>
    <row r="78" spans="1:8" ht="13.5" x14ac:dyDescent="0.35">
      <c r="A78" s="204" t="s">
        <v>385</v>
      </c>
      <c r="B78" s="90" t="s">
        <v>303</v>
      </c>
      <c r="D78" s="101">
        <f>D74+D76</f>
        <v>17220835.463325351</v>
      </c>
      <c r="E78" s="101">
        <f>E74+E76</f>
        <v>39592584.663404971</v>
      </c>
      <c r="F78" s="101">
        <f>F74+F76</f>
        <v>25117261.221554037</v>
      </c>
      <c r="G78" s="101">
        <f>G74+G76</f>
        <v>10865700.592685001</v>
      </c>
      <c r="H78" s="101">
        <f>H74+H76</f>
        <v>11343054.849004062</v>
      </c>
    </row>
    <row r="79" spans="1:8" x14ac:dyDescent="0.3">
      <c r="A79" s="122" t="s">
        <v>387</v>
      </c>
      <c r="B79" s="90" t="s">
        <v>303</v>
      </c>
      <c r="D79" s="101">
        <f>0.02*D78</f>
        <v>344416.70926650701</v>
      </c>
      <c r="E79" s="101">
        <f>0.02*E78</f>
        <v>791851.69326809945</v>
      </c>
      <c r="F79" s="101">
        <f>0.02*F78</f>
        <v>502345.22443108074</v>
      </c>
      <c r="G79" s="101">
        <f>0.02*G78</f>
        <v>217314.01185370004</v>
      </c>
      <c r="H79" s="101">
        <f>0.02*H78</f>
        <v>226861.09698008123</v>
      </c>
    </row>
    <row r="80" spans="1:8" x14ac:dyDescent="0.3">
      <c r="A80" s="122" t="s">
        <v>454</v>
      </c>
      <c r="B80" s="90" t="s">
        <v>303</v>
      </c>
      <c r="D80" s="101">
        <v>0</v>
      </c>
      <c r="E80" s="101">
        <v>0</v>
      </c>
      <c r="F80" s="101">
        <v>0</v>
      </c>
      <c r="G80" s="101">
        <v>0</v>
      </c>
      <c r="H80" s="101">
        <v>0</v>
      </c>
    </row>
    <row r="82" spans="1:8" ht="13.5" x14ac:dyDescent="0.35">
      <c r="A82" s="204" t="s">
        <v>302</v>
      </c>
      <c r="B82" s="90" t="s">
        <v>303</v>
      </c>
      <c r="D82" s="202">
        <f>SUM(D78:D80)</f>
        <v>17565252.172591858</v>
      </c>
      <c r="E82" s="202">
        <f>SUM(E78:E80)</f>
        <v>40384436.356673069</v>
      </c>
      <c r="F82" s="202">
        <f>SUM(F78:F80)</f>
        <v>25619606.445985116</v>
      </c>
      <c r="G82" s="202">
        <f>SUM(G78:G80)</f>
        <v>11083014.604538701</v>
      </c>
      <c r="H82" s="202">
        <f>SUM(H78:H80)</f>
        <v>11569915.945984144</v>
      </c>
    </row>
    <row r="83" spans="1:8" ht="13.5" x14ac:dyDescent="0.35">
      <c r="A83" s="204"/>
      <c r="B83" s="90" t="s">
        <v>304</v>
      </c>
      <c r="D83" s="242">
        <f>D82/('Input &amp; Calculation Summary'!C25*1000)</f>
        <v>117.10168115061238</v>
      </c>
      <c r="E83" s="242">
        <f>E82/('Input &amp; Calculation Summary'!D25*1000)</f>
        <v>269.22957571115381</v>
      </c>
      <c r="F83" s="242">
        <f>F82/('Input &amp; Calculation Summary'!E25*1000)</f>
        <v>324.29881577196352</v>
      </c>
      <c r="G83" s="242">
        <f>G82/('Input &amp; Calculation Summary'!F25*1000)</f>
        <v>503.7733911153955</v>
      </c>
      <c r="H83" s="242">
        <f>H82/('Input &amp; Calculation Summary'!G25*1000)</f>
        <v>525.90527027200653</v>
      </c>
    </row>
    <row r="85" spans="1:8" x14ac:dyDescent="0.3">
      <c r="A85" s="111"/>
      <c r="B85" s="112"/>
      <c r="C85" s="112"/>
      <c r="D85" s="112"/>
      <c r="E85" s="112"/>
      <c r="F85" s="112"/>
      <c r="G85" s="112"/>
      <c r="H85" s="112"/>
    </row>
    <row r="86" spans="1:8" ht="18" thickBot="1" x14ac:dyDescent="0.4">
      <c r="A86" s="241" t="s">
        <v>725</v>
      </c>
      <c r="D86" s="155" t="s">
        <v>320</v>
      </c>
      <c r="E86" s="155" t="s">
        <v>518</v>
      </c>
      <c r="F86" s="155" t="s">
        <v>519</v>
      </c>
      <c r="G86" s="155" t="s">
        <v>520</v>
      </c>
      <c r="H86" s="155" t="s">
        <v>521</v>
      </c>
    </row>
    <row r="87" spans="1:8" ht="13.5" x14ac:dyDescent="0.35">
      <c r="A87" s="232" t="s">
        <v>338</v>
      </c>
      <c r="B87" s="1"/>
      <c r="C87" s="115"/>
      <c r="D87" s="231">
        <f>'Input &amp; Calculation Summary'!C46</f>
        <v>2015</v>
      </c>
      <c r="E87" s="231">
        <f>'Input &amp; Calculation Summary'!D46</f>
        <v>2015</v>
      </c>
      <c r="F87" s="231">
        <f>'Input &amp; Calculation Summary'!E46</f>
        <v>2015</v>
      </c>
      <c r="G87" s="231">
        <f>'Input &amp; Calculation Summary'!F46</f>
        <v>2015</v>
      </c>
      <c r="H87" s="231">
        <f>'Input &amp; Calculation Summary'!G46</f>
        <v>2015</v>
      </c>
    </row>
    <row r="89" spans="1:8" x14ac:dyDescent="0.3">
      <c r="A89" s="1" t="s">
        <v>726</v>
      </c>
      <c r="B89" s="90" t="s">
        <v>618</v>
      </c>
      <c r="D89" s="108">
        <f>((0.6227*D27^-0.1009*D27)+(IF('Input &amp; Calculation Summary'!C167=2,0.0013*1000*0.746*D38,0)))/1000</f>
        <v>141.74313373300001</v>
      </c>
      <c r="E89" s="108">
        <f>((0.6227*E27^-0.1009*E27)+(IF('Input &amp; Calculation Summary'!D167=2,0.0013*1000*0.746*E38,0)))/1000</f>
        <v>409.34992044841721</v>
      </c>
      <c r="F89" s="108">
        <f>((0.6227*F27^-0.1009*F27)+(IF('Input &amp; Calculation Summary'!E167=2,0.0013*1000*0.746*F38,0)))/1000</f>
        <v>222.04730348038612</v>
      </c>
      <c r="G89" s="108">
        <f>((0.6227*G27^-0.1009*G27)+(IF('Input &amp; Calculation Summary'!F167=2,0.0013*1000*0.746*G38,0)))/1000</f>
        <v>67.064946941180452</v>
      </c>
      <c r="H89" s="108">
        <f>((0.6227*H27^-0.1009*H27)+(IF('Input &amp; Calculation Summary'!G167=2,0.0013*1000*0.746*H38,0)))/1000</f>
        <v>76.179595235110199</v>
      </c>
    </row>
    <row r="90" spans="1:8" x14ac:dyDescent="0.3">
      <c r="A90" s="1" t="s">
        <v>727</v>
      </c>
      <c r="B90" s="90" t="s">
        <v>618</v>
      </c>
      <c r="D90" s="243">
        <f>(0.000158*D27*'Input &amp; Calculation Summary'!C166/0.7)*0.7457</f>
        <v>317.61081476662383</v>
      </c>
      <c r="E90" s="243">
        <f>(0.000158*E27*'Input &amp; Calculation Summary'!D166/0.7)*0.7457</f>
        <v>956.00052603338224</v>
      </c>
      <c r="F90" s="243">
        <f>(0.000158*F27*'Input &amp; Calculation Summary'!E166/0.7)*0.7457</f>
        <v>506.52833756867312</v>
      </c>
      <c r="G90" s="243">
        <f>(0.000158*G27*'Input &amp; Calculation Summary'!F166/0.7)*0.7457</f>
        <v>145.68446795616055</v>
      </c>
      <c r="H90" s="243">
        <f>(0.000158*H27*'Input &amp; Calculation Summary'!G166/0.7)*0.7457</f>
        <v>166.37892216152019</v>
      </c>
    </row>
    <row r="91" spans="1:8" x14ac:dyDescent="0.3">
      <c r="A91" s="1" t="s">
        <v>728</v>
      </c>
      <c r="B91" s="90" t="s">
        <v>618</v>
      </c>
      <c r="D91" s="108">
        <f>D89+D90</f>
        <v>459.35394849962381</v>
      </c>
      <c r="E91" s="108">
        <f>E89+E90</f>
        <v>1365.3504464817995</v>
      </c>
      <c r="F91" s="108">
        <f>F89+F90</f>
        <v>728.57564104905919</v>
      </c>
      <c r="G91" s="108">
        <f>G89+G90</f>
        <v>212.74941489734101</v>
      </c>
      <c r="H91" s="108">
        <f>H89+H90</f>
        <v>242.55851739663041</v>
      </c>
    </row>
    <row r="93" spans="1:8" x14ac:dyDescent="0.3">
      <c r="A93" s="1" t="s">
        <v>729</v>
      </c>
      <c r="B93" s="90" t="s">
        <v>400</v>
      </c>
      <c r="D93" s="101">
        <f>(D91/1000*8760*'Input &amp; Calculation Summary'!C27*'Input &amp; Calculation Summary'!C65)</f>
        <v>65389.034568921445</v>
      </c>
      <c r="E93" s="101">
        <f>(E91/1000*8760*'Input &amp; Calculation Summary'!D27*'Input &amp; Calculation Summary'!D65)*(1+'Input &amp; Calculation Summary'!D57)^(E87-1998)</f>
        <v>321243.55857022508</v>
      </c>
      <c r="F93" s="101">
        <f>(F91/1000*8760*'Input &amp; Calculation Summary'!E27*'Input &amp; Calculation Summary'!E65)*(1+'Input &amp; Calculation Summary'!E57)^(F87-1998)</f>
        <v>171421.36088304469</v>
      </c>
      <c r="G93" s="101">
        <f>(G91/1000*8760*'Input &amp; Calculation Summary'!F27*'Input &amp; Calculation Summary'!F65)*(1+'Input &amp; Calculation Summary'!F57)^(G87-1998)</f>
        <v>50056.290896936487</v>
      </c>
      <c r="H93" s="101">
        <f>(H91/1000*8760*'Input &amp; Calculation Summary'!G27*'Input &amp; Calculation Summary'!G65)*(1+'Input &amp; Calculation Summary'!G57)^(H87-1998)</f>
        <v>57069.861800532308</v>
      </c>
    </row>
    <row r="94" spans="1:8" x14ac:dyDescent="0.3">
      <c r="A94" s="1" t="s">
        <v>730</v>
      </c>
      <c r="B94" s="90" t="s">
        <v>400</v>
      </c>
      <c r="D94" s="101">
        <f>(D66+(D66*'Input &amp; Calculation Summary'!C178)+(D66*'Input &amp; Calculation Summary'!C179)+(D66*'Input &amp; Calculation Summary'!C177))*'Input &amp; Calculation Summary'!C176</f>
        <v>503415.44268373906</v>
      </c>
      <c r="E94" s="101">
        <f>(E66+(E66*'Input &amp; Calculation Summary'!D178)+(E66*'Input &amp; Calculation Summary'!D179)+(E66*'Input &amp; Calculation Summary'!D177))*'Input &amp; Calculation Summary'!D176</f>
        <v>1157407.1756140369</v>
      </c>
      <c r="F94" s="101">
        <f>(F66+(F66*'Input &amp; Calculation Summary'!E178)+(F66*'Input &amp; Calculation Summary'!E179)+(F66*'Input &amp; Calculation Summary'!E177))*'Input &amp; Calculation Summary'!E176</f>
        <v>734251.08809500793</v>
      </c>
      <c r="G94" s="101">
        <f>(G66+(G66*'Input &amp; Calculation Summary'!F178)+(G66*'Input &amp; Calculation Summary'!F179)+(G66*'Input &amp; Calculation Summary'!F177))*'Input &amp; Calculation Summary'!F176</f>
        <v>317636.24277025845</v>
      </c>
      <c r="H94" s="101">
        <f>(H66+(H66*'Input &amp; Calculation Summary'!G178)+(H66*'Input &amp; Calculation Summary'!G179)+(H66*'Input &amp; Calculation Summary'!G177))*'Input &amp; Calculation Summary'!G176</f>
        <v>331590.70536143775</v>
      </c>
    </row>
    <row r="95" spans="1:8" x14ac:dyDescent="0.3">
      <c r="A95" s="1" t="s">
        <v>731</v>
      </c>
      <c r="B95" s="90" t="s">
        <v>400</v>
      </c>
      <c r="D95" s="101">
        <f>D57</f>
        <v>247077.09851471666</v>
      </c>
      <c r="E95" s="101">
        <f>E57</f>
        <v>743695.8225885093</v>
      </c>
      <c r="F95" s="101">
        <f>F57</f>
        <v>394040.5872322403</v>
      </c>
      <c r="G95" s="101">
        <f>G57</f>
        <v>113331.45462227796</v>
      </c>
      <c r="H95" s="101">
        <f>H57</f>
        <v>129430.16871727188</v>
      </c>
    </row>
    <row r="96" spans="1:8" x14ac:dyDescent="0.3">
      <c r="A96" s="244" t="s">
        <v>732</v>
      </c>
      <c r="D96" s="245" t="str">
        <f>'Input &amp; Calculation Summary'!C175&amp;" Years"</f>
        <v>5 Years</v>
      </c>
      <c r="E96" s="245" t="str">
        <f>'Input &amp; Calculation Summary'!D175&amp;" Years"</f>
        <v>5 Years</v>
      </c>
      <c r="F96" s="245" t="str">
        <f>'Input &amp; Calculation Summary'!E175&amp;" Years"</f>
        <v>5 Years</v>
      </c>
      <c r="G96" s="245" t="str">
        <f>'Input &amp; Calculation Summary'!F175&amp;" Years"</f>
        <v>5 Years</v>
      </c>
      <c r="H96" s="245" t="str">
        <f>'Input &amp; Calculation Summary'!G175&amp;" Years"</f>
        <v>5 Years</v>
      </c>
    </row>
    <row r="97" spans="1:8" x14ac:dyDescent="0.3">
      <c r="A97" s="122" t="s">
        <v>634</v>
      </c>
      <c r="D97" s="245"/>
      <c r="E97" s="245"/>
      <c r="F97" s="245"/>
      <c r="G97" s="245"/>
      <c r="H97" s="245"/>
    </row>
    <row r="99" spans="1:8" x14ac:dyDescent="0.3">
      <c r="A99" s="111"/>
      <c r="B99" s="112"/>
      <c r="C99" s="112"/>
      <c r="D99" s="112"/>
      <c r="E99" s="112"/>
      <c r="F99" s="112"/>
      <c r="G99" s="112"/>
      <c r="H99" s="112"/>
    </row>
    <row r="100" spans="1:8" x14ac:dyDescent="0.3">
      <c r="A100" s="111"/>
      <c r="B100" s="112"/>
      <c r="C100" s="112"/>
      <c r="D100" s="112"/>
      <c r="E100" s="112"/>
      <c r="F100" s="112"/>
      <c r="G100" s="112"/>
      <c r="H100" s="112"/>
    </row>
    <row r="101" spans="1:8" ht="20.5" thickBot="1" x14ac:dyDescent="0.45">
      <c r="A101" s="109" t="s">
        <v>733</v>
      </c>
      <c r="D101" s="116" t="s">
        <v>320</v>
      </c>
      <c r="E101" s="116" t="s">
        <v>518</v>
      </c>
      <c r="F101" s="116" t="s">
        <v>519</v>
      </c>
      <c r="G101" s="116" t="s">
        <v>520</v>
      </c>
      <c r="H101" s="116" t="s">
        <v>521</v>
      </c>
    </row>
    <row r="103" spans="1:8" ht="13.5" x14ac:dyDescent="0.35">
      <c r="A103" s="211" t="s">
        <v>734</v>
      </c>
    </row>
    <row r="104" spans="1:8" x14ac:dyDescent="0.3">
      <c r="A104" s="113" t="s">
        <v>523</v>
      </c>
      <c r="B104" s="19" t="s">
        <v>51</v>
      </c>
      <c r="D104" s="90">
        <f>IF('Input &amp; Calculation Summary'!C$10=1,'LSD Cost &amp; Tech. Results'!D24,'LSD Cost &amp; Tech. Results'!D54)</f>
        <v>300</v>
      </c>
      <c r="E104" s="90">
        <f>IF('Input &amp; Calculation Summary'!D$10=1,'LSD Cost &amp; Tech. Results'!E24,'LSD Cost &amp; Tech. Results'!E54)</f>
        <v>147</v>
      </c>
      <c r="F104" s="90">
        <f>IF('Input &amp; Calculation Summary'!E$10=1,'LSD Cost &amp; Tech. Results'!F24,'LSD Cost &amp; Tech. Results'!F54)</f>
        <v>147</v>
      </c>
      <c r="G104" s="90">
        <f>IF('Input &amp; Calculation Summary'!F$10=1,'LSD Cost &amp; Tech. Results'!G24,'LSD Cost &amp; Tech. Results'!G54)</f>
        <v>147</v>
      </c>
      <c r="H104" s="90">
        <f>IF('Input &amp; Calculation Summary'!G$10=1,'LSD Cost &amp; Tech. Results'!H24,'LSD Cost &amp; Tech. Results'!H54)</f>
        <v>300</v>
      </c>
    </row>
    <row r="105" spans="1:8" x14ac:dyDescent="0.3">
      <c r="A105" s="1" t="s">
        <v>524</v>
      </c>
      <c r="B105" s="90" t="s">
        <v>132</v>
      </c>
      <c r="D105" s="90">
        <f>IF('Input &amp; Calculation Summary'!C$10=1,'LSD Cost &amp; Tech. Results'!D25,'LSD Cost &amp; Tech. Results'!D55)</f>
        <v>-12</v>
      </c>
      <c r="E105" s="90">
        <f>IF('Input &amp; Calculation Summary'!D$10=1,'LSD Cost &amp; Tech. Results'!E25,'LSD Cost &amp; Tech. Results'!E55)</f>
        <v>-17</v>
      </c>
      <c r="F105" s="90">
        <f>IF('Input &amp; Calculation Summary'!E$10=1,'LSD Cost &amp; Tech. Results'!F25,'LSD Cost &amp; Tech. Results'!F55)</f>
        <v>-17</v>
      </c>
      <c r="G105" s="90">
        <f>IF('Input &amp; Calculation Summary'!F$10=1,'LSD Cost &amp; Tech. Results'!G25,'LSD Cost &amp; Tech. Results'!G55)</f>
        <v>-17</v>
      </c>
      <c r="H105" s="90">
        <f>IF('Input &amp; Calculation Summary'!G$10=1,'LSD Cost &amp; Tech. Results'!H25,'LSD Cost &amp; Tech. Results'!H55)</f>
        <v>-12</v>
      </c>
    </row>
    <row r="106" spans="1:8" x14ac:dyDescent="0.3">
      <c r="A106" s="1" t="s">
        <v>525</v>
      </c>
      <c r="B106" s="90" t="s">
        <v>526</v>
      </c>
      <c r="D106" s="108">
        <f>IF('Input &amp; Calculation Summary'!C$10=1,'LSD Cost &amp; Tech. Results'!D26,'LSD Cost &amp; Tech. Results'!D56)</f>
        <v>205105.59024746579</v>
      </c>
      <c r="E106" s="108">
        <f>IF('Input &amp; Calculation Summary'!D$10=1,'LSD Cost &amp; Tech. Results'!E26,'LSD Cost &amp; Tech. Results'!E56)</f>
        <v>763020.83945181186</v>
      </c>
      <c r="F106" s="108">
        <f>IF('Input &amp; Calculation Summary'!E$10=1,'LSD Cost &amp; Tech. Results'!F26,'LSD Cost &amp; Tech. Results'!F56)</f>
        <v>404279.7747626804</v>
      </c>
      <c r="G106" s="108">
        <f>IF('Input &amp; Calculation Summary'!F$10=1,'LSD Cost &amp; Tech. Results'!G26,'LSD Cost &amp; Tech. Results'!G56)</f>
        <v>116276.38480098346</v>
      </c>
      <c r="H106" s="108">
        <f>IF('Input &amp; Calculation Summary'!G$10=1,'LSD Cost &amp; Tech. Results'!H26,'LSD Cost &amp; Tech. Results'!H56)</f>
        <v>107443.59274966927</v>
      </c>
    </row>
    <row r="107" spans="1:8" x14ac:dyDescent="0.3">
      <c r="A107" s="1" t="s">
        <v>525</v>
      </c>
      <c r="B107" s="90" t="s">
        <v>527</v>
      </c>
      <c r="D107" s="108">
        <f>IF('Input &amp; Calculation Summary'!C$10=1,'LSD Cost &amp; Tech. Results'!D27,'LSD Cost &amp; Tech. Results'!D57)</f>
        <v>314500.13882212539</v>
      </c>
      <c r="E107" s="108">
        <f>IF('Input &amp; Calculation Summary'!D$10=1,'LSD Cost &amp; Tech. Results'!E27,'LSD Cost &amp; Tech. Results'!E57)</f>
        <v>946637.47005103179</v>
      </c>
      <c r="F107" s="108">
        <f>IF('Input &amp; Calculation Summary'!E$10=1,'LSD Cost &amp; Tech. Results'!F27,'LSD Cost &amp; Tech. Results'!F57)</f>
        <v>501567.40600833134</v>
      </c>
      <c r="G107" s="108">
        <f>IF('Input &amp; Calculation Summary'!F$10=1,'LSD Cost &amp; Tech. Results'!G27,'LSD Cost &amp; Tech. Results'!G57)</f>
        <v>144257.63628391011</v>
      </c>
      <c r="H107" s="108">
        <f>IF('Input &amp; Calculation Summary'!G$10=1,'LSD Cost &amp; Tech. Results'!H27,'LSD Cost &amp; Tech. Results'!H57)</f>
        <v>164749.40928986404</v>
      </c>
    </row>
    <row r="108" spans="1:8" x14ac:dyDescent="0.3">
      <c r="A108" s="1" t="s">
        <v>528</v>
      </c>
      <c r="B108" s="90" t="s">
        <v>327</v>
      </c>
      <c r="D108" s="108">
        <f>IF('Input &amp; Calculation Summary'!C$10=1,'LSD Cost &amp; Tech. Results'!D28,'LSD Cost &amp; Tech. Results'!D58)</f>
        <v>167773.16285284923</v>
      </c>
      <c r="E108" s="108">
        <f>IF('Input &amp; Calculation Summary'!D$10=1,'LSD Cost &amp; Tech. Results'!E28,'LSD Cost &amp; Tech. Results'!E58)</f>
        <v>599172.98874379217</v>
      </c>
      <c r="F108" s="108">
        <f>IF('Input &amp; Calculation Summary'!E$10=1,'LSD Cost &amp; Tech. Results'!F28,'LSD Cost &amp; Tech. Results'!F58)</f>
        <v>315564.44073839724</v>
      </c>
      <c r="G108" s="108">
        <f>IF('Input &amp; Calculation Summary'!F$10=1,'LSD Cost &amp; Tech. Results'!G28,'LSD Cost &amp; Tech. Results'!G58)</f>
        <v>87878.70501575619</v>
      </c>
      <c r="H108" s="108">
        <f>IF('Input &amp; Calculation Summary'!G$10=1,'LSD Cost &amp; Tech. Results'!H28,'LSD Cost &amp; Tech. Results'!H58)</f>
        <v>87878.70501575619</v>
      </c>
    </row>
    <row r="109" spans="1:8" x14ac:dyDescent="0.3">
      <c r="A109" s="1" t="s">
        <v>529</v>
      </c>
      <c r="B109" s="90" t="s">
        <v>327</v>
      </c>
      <c r="D109" s="108">
        <f>IF('Input &amp; Calculation Summary'!C$10=1,'LSD Cost &amp; Tech. Results'!D29,'LSD Cost &amp; Tech. Results'!D59)</f>
        <v>662514.46976216964</v>
      </c>
      <c r="E109" s="108">
        <f>IF('Input &amp; Calculation Summary'!D$10=1,'LSD Cost &amp; Tech. Results'!E29,'LSD Cost &amp; Tech. Results'!E59)</f>
        <v>2366056.4549383563</v>
      </c>
      <c r="F109" s="108">
        <f>IF('Input &amp; Calculation Summary'!E$10=1,'LSD Cost &amp; Tech. Results'!F29,'LSD Cost &amp; Tech. Results'!F59)</f>
        <v>1246123.0662675342</v>
      </c>
      <c r="G109" s="108">
        <f>IF('Input &amp; Calculation Summary'!F$10=1,'LSD Cost &amp; Tech. Results'!G29,'LSD Cost &amp; Tech. Results'!G59)</f>
        <v>347021.61339095893</v>
      </c>
      <c r="H109" s="108">
        <f>IF('Input &amp; Calculation Summary'!G$10=1,'LSD Cost &amp; Tech. Results'!H29,'LSD Cost &amp; Tech. Results'!H59)</f>
        <v>347021.61339095893</v>
      </c>
    </row>
    <row r="110" spans="1:8" x14ac:dyDescent="0.3">
      <c r="A110" s="1" t="s">
        <v>530</v>
      </c>
      <c r="B110" s="90" t="s">
        <v>327</v>
      </c>
      <c r="D110" s="108">
        <f>IF('Input &amp; Calculation Summary'!C$10=1,'LSD Cost &amp; Tech. Results'!D30,'LSD Cost &amp; Tech. Results'!D60)</f>
        <v>193.83</v>
      </c>
      <c r="E110" s="108">
        <f>IF('Input &amp; Calculation Summary'!D$10=1,'LSD Cost &amp; Tech. Results'!E30,'LSD Cost &amp; Tech. Results'!E60)</f>
        <v>394.03230642880891</v>
      </c>
      <c r="F110" s="108">
        <f>IF('Input &amp; Calculation Summary'!E$10=1,'LSD Cost &amp; Tech. Results'!F30,'LSD Cost &amp; Tech. Results'!F60)</f>
        <v>207.52368138583944</v>
      </c>
      <c r="G110" s="108">
        <f>IF('Input &amp; Calculation Summary'!F$10=1,'LSD Cost &amp; Tech. Results'!G30,'LSD Cost &amp; Tech. Results'!G60)</f>
        <v>57.791404942891965</v>
      </c>
      <c r="H110" s="108">
        <f>IF('Input &amp; Calculation Summary'!G$10=1,'LSD Cost &amp; Tech. Results'!H30,'LSD Cost &amp; Tech. Results'!H60)</f>
        <v>206.3978747960428</v>
      </c>
    </row>
    <row r="111" spans="1:8" x14ac:dyDescent="0.3">
      <c r="A111" s="1" t="s">
        <v>531</v>
      </c>
      <c r="B111" s="90" t="s">
        <v>327</v>
      </c>
      <c r="D111" s="108">
        <f>IF('Input &amp; Calculation Summary'!C$10=1,'LSD Cost &amp; Tech. Results'!D31,'LSD Cost &amp; Tech. Results'!D61)</f>
        <v>52552.209491370908</v>
      </c>
      <c r="E111" s="108">
        <f>IF('Input &amp; Calculation Summary'!D$10=1,'LSD Cost &amp; Tech. Results'!E31,'LSD Cost &amp; Tech. Results'!E61)</f>
        <v>187617.9133566535</v>
      </c>
      <c r="F111" s="108">
        <f>IF('Input &amp; Calculation Summary'!E$10=1,'LSD Cost &amp; Tech. Results'!F31,'LSD Cost &amp; Tech. Results'!F61)</f>
        <v>98812.101034504187</v>
      </c>
      <c r="G111" s="108">
        <f>IF('Input &amp; Calculation Summary'!F$10=1,'LSD Cost &amp; Tech. Results'!G31,'LSD Cost &amp; Tech. Results'!G61)</f>
        <v>27517.29395897585</v>
      </c>
      <c r="H111" s="108">
        <f>IF('Input &amp; Calculation Summary'!G$10=1,'LSD Cost &amp; Tech. Results'!H31,'LSD Cost &amp; Tech. Results'!H61)</f>
        <v>27526.572410564637</v>
      </c>
    </row>
    <row r="112" spans="1:8" x14ac:dyDescent="0.3">
      <c r="A112" s="1" t="s">
        <v>532</v>
      </c>
      <c r="B112" s="90" t="s">
        <v>327</v>
      </c>
      <c r="D112" s="108">
        <f>IF('Input &amp; Calculation Summary'!C$10=1,'LSD Cost &amp; Tech. Results'!D32,'LSD Cost &amp; Tech. Results'!D62)</f>
        <v>0</v>
      </c>
      <c r="E112" s="108">
        <f>IF('Input &amp; Calculation Summary'!D$10=1,'LSD Cost &amp; Tech. Results'!E32,'LSD Cost &amp; Tech. Results'!E62)</f>
        <v>0</v>
      </c>
      <c r="F112" s="108">
        <f>IF('Input &amp; Calculation Summary'!E$10=1,'LSD Cost &amp; Tech. Results'!F32,'LSD Cost &amp; Tech. Results'!F62)</f>
        <v>0</v>
      </c>
      <c r="G112" s="108">
        <f>IF('Input &amp; Calculation Summary'!F$10=1,'LSD Cost &amp; Tech. Results'!G32,'LSD Cost &amp; Tech. Results'!G62)</f>
        <v>0</v>
      </c>
      <c r="H112" s="108">
        <f>IF('Input &amp; Calculation Summary'!G$10=1,'LSD Cost &amp; Tech. Results'!H32,'LSD Cost &amp; Tech. Results'!H62)</f>
        <v>0</v>
      </c>
    </row>
    <row r="113" spans="1:10" x14ac:dyDescent="0.3">
      <c r="A113" s="1" t="s">
        <v>533</v>
      </c>
      <c r="B113" s="90" t="s">
        <v>327</v>
      </c>
      <c r="D113" s="108">
        <f>IF('Input &amp; Calculation Summary'!C$10=1,'LSD Cost &amp; Tech. Results'!D33,'LSD Cost &amp; Tech. Results'!D63)</f>
        <v>149.92314802537967</v>
      </c>
      <c r="E113" s="108">
        <f>IF('Input &amp; Calculation Summary'!D$10=1,'LSD Cost &amp; Tech. Results'!E33,'LSD Cost &amp; Tech. Results'!E63)</f>
        <v>535.42473156468338</v>
      </c>
      <c r="F113" s="108">
        <f>IF('Input &amp; Calculation Summary'!E$10=1,'LSD Cost &amp; Tech. Results'!F33,'LSD Cost &amp; Tech. Results'!F63)</f>
        <v>281.99035862406657</v>
      </c>
      <c r="G113" s="108">
        <f>IF('Input &amp; Calculation Summary'!F$10=1,'LSD Cost &amp; Tech. Results'!G33,'LSD Cost &amp; Tech. Results'!G63)</f>
        <v>78.528960629486903</v>
      </c>
      <c r="H113" s="108">
        <f>IF('Input &amp; Calculation Summary'!G$10=1,'LSD Cost &amp; Tech. Results'!H33,'LSD Cost &amp; Tech. Results'!H63)</f>
        <v>78.528960629486903</v>
      </c>
    </row>
    <row r="114" spans="1:10" x14ac:dyDescent="0.3">
      <c r="A114" s="1" t="s">
        <v>534</v>
      </c>
      <c r="B114" s="90" t="s">
        <v>327</v>
      </c>
      <c r="D114" s="108">
        <f>IF('Input &amp; Calculation Summary'!C$10=1,'LSD Cost &amp; Tech. Results'!D34,'LSD Cost &amp; Tech. Results'!D64)</f>
        <v>59658.73835034934</v>
      </c>
      <c r="E114" s="108">
        <f>IF('Input &amp; Calculation Summary'!D$10=1,'LSD Cost &amp; Tech. Results'!E34,'LSD Cost &amp; Tech. Results'!E64)</f>
        <v>299972.50303613918</v>
      </c>
      <c r="F114" s="108">
        <f>IF('Input &amp; Calculation Summary'!E$10=1,'LSD Cost &amp; Tech. Results'!F34,'LSD Cost &amp; Tech. Results'!F64)</f>
        <v>164882.05593236664</v>
      </c>
      <c r="G114" s="108">
        <f>IF('Input &amp; Calculation Summary'!F$10=1,'LSD Cost &amp; Tech. Results'!G34,'LSD Cost &amp; Tech. Results'!G64)</f>
        <v>56429.161778633752</v>
      </c>
      <c r="H114" s="108">
        <f>IF('Input &amp; Calculation Summary'!G$10=1,'LSD Cost &amp; Tech. Results'!H34,'LSD Cost &amp; Tech. Results'!H64)</f>
        <v>31248.9350498854</v>
      </c>
    </row>
    <row r="115" spans="1:10" x14ac:dyDescent="0.3">
      <c r="A115" s="1" t="s">
        <v>60</v>
      </c>
      <c r="B115" s="90" t="s">
        <v>327</v>
      </c>
      <c r="D115" s="108">
        <f>IF('Input &amp; Calculation Summary'!C$10=1,'LSD Cost &amp; Tech. Results'!D35,'LSD Cost &amp; Tech. Results'!D65)</f>
        <v>3865.57654</v>
      </c>
      <c r="E115" s="108">
        <f>IF('Input &amp; Calculation Summary'!D$10=1,'LSD Cost &amp; Tech. Results'!E35,'LSD Cost &amp; Tech. Results'!E65)</f>
        <v>48080.896558998065</v>
      </c>
      <c r="F115" s="108">
        <f>IF('Input &amp; Calculation Summary'!E$10=1,'LSD Cost &amp; Tech. Results'!F35,'LSD Cost &amp; Tech. Results'!F65)</f>
        <v>25322.605521072321</v>
      </c>
      <c r="G115" s="108">
        <f>IF('Input &amp; Calculation Summary'!F$10=1,'LSD Cost &amp; Tech. Results'!G35,'LSD Cost &amp; Tech. Results'!G65)</f>
        <v>7051.8648286530488</v>
      </c>
      <c r="H115" s="108">
        <f>IF('Input &amp; Calculation Summary'!G$10=1,'LSD Cost &amp; Tech. Results'!H35,'LSD Cost &amp; Tech. Results'!H65)</f>
        <v>2024.7687693200005</v>
      </c>
    </row>
    <row r="116" spans="1:10" x14ac:dyDescent="0.3">
      <c r="A116" s="1" t="s">
        <v>535</v>
      </c>
      <c r="B116" s="90" t="s">
        <v>327</v>
      </c>
      <c r="D116" s="108">
        <f>IF('Input &amp; Calculation Summary'!C$10=1,'LSD Cost &amp; Tech. Results'!D36,'LSD Cost &amp; Tech. Results'!D66)</f>
        <v>942842.33360476454</v>
      </c>
      <c r="E116" s="108">
        <f>IF('Input &amp; Calculation Summary'!D$10=1,'LSD Cost &amp; Tech. Results'!E36,'LSD Cost &amp; Tech. Results'!E66)</f>
        <v>3453749.3171129348</v>
      </c>
      <c r="F116" s="108">
        <f>IF('Input &amp; Calculation Summary'!E$10=1,'LSD Cost &amp; Tech. Results'!F36,'LSD Cost &amp; Tech. Results'!F66)</f>
        <v>1825871.178012812</v>
      </c>
      <c r="G116" s="108">
        <f>IF('Input &amp; Calculation Summary'!F$10=1,'LSD Cost &amp; Tech. Results'!G36,'LSD Cost &amp; Tech. Results'!G66)</f>
        <v>518983.09450989711</v>
      </c>
      <c r="H116" s="108">
        <f>IF('Input &amp; Calculation Summary'!G$10=1,'LSD Cost &amp; Tech. Results'!H36,'LSD Cost &amp; Tech. Results'!H66)</f>
        <v>493960.75270259072</v>
      </c>
    </row>
    <row r="118" spans="1:10" ht="13.5" x14ac:dyDescent="0.35">
      <c r="A118" s="211" t="s">
        <v>735</v>
      </c>
      <c r="B118" s="90" t="s">
        <v>327</v>
      </c>
      <c r="D118" s="108">
        <f>D115</f>
        <v>3865.57654</v>
      </c>
      <c r="E118" s="108">
        <f>E115</f>
        <v>48080.896558998065</v>
      </c>
      <c r="F118" s="108">
        <f>F115</f>
        <v>25322.605521072321</v>
      </c>
      <c r="G118" s="108">
        <f>G115</f>
        <v>7051.8648286530488</v>
      </c>
      <c r="H118" s="108">
        <f>H115</f>
        <v>2024.7687693200005</v>
      </c>
    </row>
    <row r="119" spans="1:10" x14ac:dyDescent="0.3">
      <c r="B119" s="90" t="s">
        <v>736</v>
      </c>
      <c r="D119" s="100">
        <f>D118/(D107*60)*7000</f>
        <v>1.4339705265495402</v>
      </c>
      <c r="E119" s="100">
        <f>E118/(E107*60)*7000</f>
        <v>5.9256453598659169</v>
      </c>
      <c r="F119" s="100">
        <f>F118/(F107*60)*7000</f>
        <v>5.8901434624110411</v>
      </c>
      <c r="G119" s="100">
        <f>G118/(G107*60)*7000</f>
        <v>5.7031127400679456</v>
      </c>
      <c r="H119" s="100">
        <f>H118/(H107*60)*7000</f>
        <v>1.4338322917547883</v>
      </c>
    </row>
    <row r="121" spans="1:10" ht="13.5" x14ac:dyDescent="0.35">
      <c r="A121" s="204" t="s">
        <v>737</v>
      </c>
      <c r="B121" s="90" t="s">
        <v>45</v>
      </c>
      <c r="C121" s="258" t="s">
        <v>738</v>
      </c>
      <c r="D121" s="215">
        <f>((D118/Constants_CC!E491)-'Input &amp; Calculation Summary'!C164)/(D118/Constants_CC!E491)</f>
        <v>0.99614287808151891</v>
      </c>
      <c r="E121" s="215">
        <f>((E118/Constants_CC!F491)-'Input &amp; Calculation Summary'!D164)/(E118/Constants_CC!F491)</f>
        <v>0.99889252273125428</v>
      </c>
      <c r="F121" s="215">
        <f>((F118/Constants_CC!G491)-'Input &amp; Calculation Summary'!E164)/(F118/Constants_CC!G491)</f>
        <v>0.99889252273125428</v>
      </c>
      <c r="G121" s="215">
        <f>((G118/Constants_CC!H491)-'Input &amp; Calculation Summary'!F164)/(G118/Constants_CC!H491)</f>
        <v>0.99889252273125428</v>
      </c>
      <c r="H121" s="215">
        <f>((H118/Constants_CC!I491)-'Input &amp; Calculation Summary'!G164)/(H118/Constants_CC!I491)</f>
        <v>0.99614287808151891</v>
      </c>
    </row>
    <row r="122" spans="1:10" x14ac:dyDescent="0.3">
      <c r="D122" s="215"/>
      <c r="E122" s="215"/>
      <c r="F122" s="215"/>
      <c r="G122" s="215"/>
      <c r="H122" s="215"/>
    </row>
    <row r="123" spans="1:10" ht="13.5" x14ac:dyDescent="0.35">
      <c r="A123" s="204" t="s">
        <v>739</v>
      </c>
      <c r="D123" s="215"/>
      <c r="E123" s="215"/>
      <c r="F123" s="215"/>
      <c r="G123" s="215"/>
      <c r="H123" s="215"/>
    </row>
    <row r="124" spans="1:10" x14ac:dyDescent="0.3">
      <c r="A124" s="259" t="s">
        <v>740</v>
      </c>
      <c r="B124" s="90" t="s">
        <v>741</v>
      </c>
      <c r="D124" s="282">
        <f>IF('Input &amp; Calculation Summary'!C42="Yes",0.451,IF(Constants_CC!E324&lt;=1.09,0.6017-1.6347*D191,IF(Constants_CC!E324&lt;2.6,0.6144-1.4723*D191,0.5574-0.4947*D191)))</f>
        <v>0.52717578039853297</v>
      </c>
      <c r="E124" s="282">
        <f>IF('Input &amp; Calculation Summary'!D42="Yes",0.451,IF(Constants_CC!F324&lt;=1.09,0.6017-1.6347*E191,IF(Constants_CC!F324&lt;2.6,0.6144-1.4723*E191,0.5574-0.4947*E191)))</f>
        <v>0.49759145019543616</v>
      </c>
      <c r="F124" s="282">
        <f>IF('Input &amp; Calculation Summary'!E42="Yes",0.451,IF(Constants_CC!G324&lt;=1.09,0.6017-1.6347*F191,IF(Constants_CC!G324&lt;2.6,0.6144-1.4723*F191,0.5574-0.4947*F191)))</f>
        <v>0.495975410022506</v>
      </c>
      <c r="G124" s="282">
        <f>IF('Input &amp; Calculation Summary'!F42="Yes",0.451,IF(Constants_CC!H324&lt;=1.09,0.6017-1.6347*G191,IF(Constants_CC!H324&lt;2.6,0.6144-1.4723*G191,0.5574-0.4947*G191)))</f>
        <v>0.48584604910926205</v>
      </c>
      <c r="H124" s="282">
        <f>IF('Input &amp; Calculation Summary'!G42="Yes",0.451,IF(Constants_CC!I324&lt;=1.09,0.6017-1.6347*H191,IF(Constants_CC!I324&lt;2.6,0.6144-1.4723*H191,0.5574-0.4947*H191)))</f>
        <v>0.52143792988865068</v>
      </c>
      <c r="J124" s="122" t="s">
        <v>742</v>
      </c>
    </row>
    <row r="125" spans="1:10" x14ac:dyDescent="0.3">
      <c r="A125" s="259" t="s">
        <v>743</v>
      </c>
      <c r="B125" s="90" t="s">
        <v>195</v>
      </c>
      <c r="D125" s="280">
        <f>'Input &amp; Calculation Summary'!C181</f>
        <v>10</v>
      </c>
      <c r="E125" s="280">
        <f>'Input &amp; Calculation Summary'!D181</f>
        <v>10</v>
      </c>
      <c r="F125" s="280">
        <f>'Input &amp; Calculation Summary'!E181</f>
        <v>10</v>
      </c>
      <c r="G125" s="280">
        <f>'Input &amp; Calculation Summary'!F181</f>
        <v>10</v>
      </c>
      <c r="H125" s="280">
        <f>'Input &amp; Calculation Summary'!G181</f>
        <v>10</v>
      </c>
      <c r="J125" s="122" t="s">
        <v>744</v>
      </c>
    </row>
    <row r="126" spans="1:10" x14ac:dyDescent="0.3">
      <c r="A126" s="261"/>
      <c r="D126" s="215"/>
      <c r="E126" s="215"/>
      <c r="F126" s="215"/>
      <c r="G126" s="215"/>
      <c r="H126" s="215"/>
    </row>
    <row r="127" spans="1:10" ht="13.5" x14ac:dyDescent="0.35">
      <c r="A127" s="204" t="s">
        <v>745</v>
      </c>
      <c r="B127" s="279"/>
      <c r="D127" s="215"/>
      <c r="E127" s="215"/>
      <c r="F127" s="215"/>
      <c r="G127" s="215"/>
      <c r="H127" s="215"/>
    </row>
    <row r="128" spans="1:10" ht="15" x14ac:dyDescent="0.4">
      <c r="A128" s="259" t="s">
        <v>746</v>
      </c>
      <c r="B128" s="90" t="s">
        <v>747</v>
      </c>
      <c r="D128" s="281">
        <f>Constants_CC!E339</f>
        <v>0.3</v>
      </c>
      <c r="E128" s="281">
        <f>Constants_CC!F339</f>
        <v>0.3</v>
      </c>
      <c r="F128" s="281">
        <f>Constants_CC!G339</f>
        <v>0.3</v>
      </c>
      <c r="G128" s="281">
        <f>Constants_CC!H339</f>
        <v>0.3</v>
      </c>
      <c r="H128" s="281">
        <f>Constants_CC!I339</f>
        <v>0.3</v>
      </c>
      <c r="J128" s="1" t="s">
        <v>748</v>
      </c>
    </row>
    <row r="129" spans="1:10" ht="15" x14ac:dyDescent="0.4">
      <c r="A129" s="259" t="s">
        <v>749</v>
      </c>
      <c r="B129" s="90" t="s">
        <v>747</v>
      </c>
      <c r="D129" s="284">
        <f>Constants_CC!E336</f>
        <v>7</v>
      </c>
      <c r="E129" s="284">
        <f>Constants_CC!F336</f>
        <v>7</v>
      </c>
      <c r="F129" s="281">
        <f>Constants_CC!G336</f>
        <v>7</v>
      </c>
      <c r="G129" s="281">
        <f>Constants_CC!H336</f>
        <v>7</v>
      </c>
      <c r="H129" s="281">
        <f>Constants_CC!I336</f>
        <v>7</v>
      </c>
      <c r="J129" s="1" t="s">
        <v>750</v>
      </c>
    </row>
    <row r="130" spans="1:10" x14ac:dyDescent="0.3">
      <c r="A130" s="259" t="s">
        <v>751</v>
      </c>
      <c r="B130" s="90" t="s">
        <v>747</v>
      </c>
      <c r="D130" s="100">
        <f>Constants_CC!E338+Constants_CC!E337</f>
        <v>22.200000000000003</v>
      </c>
      <c r="E130" s="100">
        <f>Constants_CC!F338+Constants_CC!F337</f>
        <v>22.200000000000003</v>
      </c>
      <c r="F130" s="100">
        <f>Constants_CC!G338+Constants_CC!G337</f>
        <v>22.200000000000003</v>
      </c>
      <c r="G130" s="100">
        <f>Constants_CC!H338+Constants_CC!H337</f>
        <v>22.200000000000003</v>
      </c>
      <c r="H130" s="100">
        <f>Constants_CC!I338+Constants_CC!I337</f>
        <v>22.200000000000003</v>
      </c>
      <c r="J130" s="1" t="s">
        <v>752</v>
      </c>
    </row>
    <row r="131" spans="1:10" x14ac:dyDescent="0.3">
      <c r="A131" s="259" t="s">
        <v>753</v>
      </c>
      <c r="B131" s="90" t="s">
        <v>747</v>
      </c>
      <c r="D131" s="100">
        <v>0</v>
      </c>
      <c r="E131" s="100">
        <v>0</v>
      </c>
      <c r="F131" s="100">
        <v>0</v>
      </c>
      <c r="G131" s="100">
        <v>0</v>
      </c>
      <c r="H131" s="100">
        <v>0</v>
      </c>
      <c r="J131" s="1" t="s">
        <v>754</v>
      </c>
    </row>
    <row r="132" spans="1:10" x14ac:dyDescent="0.3">
      <c r="A132" s="261"/>
      <c r="D132" s="215"/>
      <c r="E132" s="215"/>
      <c r="F132" s="215"/>
      <c r="G132" s="215"/>
      <c r="H132" s="215"/>
    </row>
    <row r="133" spans="1:10" ht="13.5" x14ac:dyDescent="0.35">
      <c r="A133" s="204" t="s">
        <v>755</v>
      </c>
      <c r="B133" s="279"/>
      <c r="D133" s="215"/>
      <c r="E133" s="215"/>
      <c r="F133" s="215"/>
      <c r="G133" s="215"/>
      <c r="H133" s="215"/>
    </row>
    <row r="134" spans="1:10" ht="15" x14ac:dyDescent="0.4">
      <c r="A134" s="259" t="s">
        <v>756</v>
      </c>
      <c r="B134" s="90" t="s">
        <v>757</v>
      </c>
      <c r="D134" s="281">
        <f>(D114/H2O_MolWt)/(D116/Constants_CC!E477)*100</f>
        <v>10.214056098952504</v>
      </c>
      <c r="E134" s="281">
        <f>(E114/H2O_MolWt)/(E116/Constants_CC!F477)*100</f>
        <v>14.023166679531156</v>
      </c>
      <c r="F134" s="281">
        <f>(F114/H2O_MolWt)/(F116/Constants_CC!G477)*100</f>
        <v>14.580040221729657</v>
      </c>
      <c r="G134" s="281">
        <f>(G114/H2O_MolWt)/(G116/Constants_CC!H477)*100</f>
        <v>17.555202727472601</v>
      </c>
      <c r="H134" s="281">
        <f>(H114/H2O_MolWt)/(H116/Constants_CC!I477)*100</f>
        <v>10.214056098952506</v>
      </c>
      <c r="J134" s="1" t="s">
        <v>758</v>
      </c>
    </row>
    <row r="135" spans="1:10" ht="15" x14ac:dyDescent="0.4">
      <c r="A135" s="259" t="s">
        <v>759</v>
      </c>
      <c r="B135" s="90" t="s">
        <v>760</v>
      </c>
      <c r="D135" s="285">
        <f>(D110/SO2_MolWt)/(D116/Constants_CC!E477)*1000000</f>
        <v>93.321501162149119</v>
      </c>
      <c r="E135" s="285">
        <f>(E110/SO2_MolWt)/(E116/Constants_CC!F477)*1000000</f>
        <v>51.800389616720281</v>
      </c>
      <c r="F135" s="285">
        <f>(F110/SO2_MolWt)/(F116/Constants_CC!G477)*1000000</f>
        <v>51.604733240497467</v>
      </c>
      <c r="G135" s="285">
        <f>(G110/SO2_MolWt)/(G116/Constants_CC!H477)*1000000</f>
        <v>50.559415999801082</v>
      </c>
      <c r="H135" s="285">
        <f>(H110/SO2_MolWt)/(H116/Constants_CC!I477)*1000000</f>
        <v>189.71636069571167</v>
      </c>
      <c r="J135" s="1" t="s">
        <v>761</v>
      </c>
    </row>
    <row r="136" spans="1:10" ht="15" x14ac:dyDescent="0.4">
      <c r="A136" s="259" t="s">
        <v>762</v>
      </c>
      <c r="B136" s="90" t="s">
        <v>760</v>
      </c>
      <c r="D136" s="280">
        <f>0.0074*D135</f>
        <v>0.69057910859990346</v>
      </c>
      <c r="E136" s="280">
        <f>0.0074*E135</f>
        <v>0.38332288316373009</v>
      </c>
      <c r="F136" s="280">
        <f>0.0074*F135</f>
        <v>0.38187502597968126</v>
      </c>
      <c r="G136" s="280">
        <f>0.0074*G135</f>
        <v>0.37413967839852802</v>
      </c>
      <c r="H136" s="280">
        <f>0.0074*H135</f>
        <v>1.4039010691482665</v>
      </c>
      <c r="J136" s="1" t="s">
        <v>763</v>
      </c>
    </row>
    <row r="137" spans="1:10" x14ac:dyDescent="0.3">
      <c r="A137" s="261"/>
      <c r="D137" s="215"/>
      <c r="E137" s="215"/>
      <c r="F137" s="215"/>
      <c r="G137" s="215"/>
      <c r="H137" s="215"/>
    </row>
    <row r="138" spans="1:10" ht="13.5" x14ac:dyDescent="0.35">
      <c r="A138" s="204" t="s">
        <v>764</v>
      </c>
      <c r="B138" s="279"/>
      <c r="D138" s="215"/>
      <c r="E138" s="215"/>
      <c r="F138" s="215"/>
      <c r="G138" s="215"/>
      <c r="H138" s="215"/>
    </row>
    <row r="139" spans="1:10" x14ac:dyDescent="0.3">
      <c r="A139" s="262" t="s">
        <v>765</v>
      </c>
      <c r="B139" s="19" t="s">
        <v>51</v>
      </c>
      <c r="D139" s="284">
        <f>D104</f>
        <v>300</v>
      </c>
      <c r="E139" s="284">
        <f>E104</f>
        <v>147</v>
      </c>
      <c r="F139" s="284">
        <f>F104</f>
        <v>147</v>
      </c>
      <c r="G139" s="284">
        <f>G104</f>
        <v>147</v>
      </c>
      <c r="H139" s="284">
        <f>H104</f>
        <v>300</v>
      </c>
      <c r="J139" s="263" t="s">
        <v>766</v>
      </c>
    </row>
    <row r="140" spans="1:10" x14ac:dyDescent="0.3">
      <c r="A140" s="264" t="s">
        <v>767</v>
      </c>
      <c r="B140" s="19" t="s">
        <v>549</v>
      </c>
      <c r="D140" s="286">
        <f>5/9*(D139-32)</f>
        <v>148.88888888888889</v>
      </c>
      <c r="E140" s="286">
        <f>5/9*(E139-32)</f>
        <v>63.888888888888893</v>
      </c>
      <c r="F140" s="286">
        <f>5/9*(F139-32)</f>
        <v>63.888888888888893</v>
      </c>
      <c r="G140" s="286">
        <f>5/9*(G139-32)</f>
        <v>63.888888888888893</v>
      </c>
      <c r="H140" s="286">
        <f>5/9*(H139-32)</f>
        <v>148.88888888888889</v>
      </c>
      <c r="J140" s="263" t="s">
        <v>768</v>
      </c>
    </row>
    <row r="141" spans="1:10" x14ac:dyDescent="0.3">
      <c r="A141" s="264" t="s">
        <v>769</v>
      </c>
      <c r="B141" s="90" t="s">
        <v>770</v>
      </c>
      <c r="D141" s="286">
        <f>D140+273.15</f>
        <v>422.03888888888889</v>
      </c>
      <c r="E141" s="286">
        <f>E140+273.15</f>
        <v>337.03888888888889</v>
      </c>
      <c r="F141" s="286">
        <f>F140+273.15</f>
        <v>337.03888888888889</v>
      </c>
      <c r="G141" s="286">
        <f>G140+273.15</f>
        <v>337.03888888888889</v>
      </c>
      <c r="H141" s="286">
        <f>H140+273.15</f>
        <v>422.03888888888889</v>
      </c>
      <c r="J141" s="263" t="s">
        <v>771</v>
      </c>
    </row>
    <row r="142" spans="1:10" x14ac:dyDescent="0.3">
      <c r="D142" s="215"/>
      <c r="E142" s="215"/>
      <c r="F142" s="215"/>
      <c r="G142" s="215"/>
      <c r="H142" s="215"/>
    </row>
    <row r="143" spans="1:10" ht="13.5" x14ac:dyDescent="0.35">
      <c r="A143" s="204" t="s">
        <v>772</v>
      </c>
      <c r="B143" s="237"/>
      <c r="D143" s="215"/>
      <c r="E143" s="215"/>
      <c r="F143" s="215"/>
      <c r="G143" s="215"/>
      <c r="H143" s="215"/>
    </row>
    <row r="144" spans="1:10" x14ac:dyDescent="0.3">
      <c r="A144" s="265" t="s">
        <v>773</v>
      </c>
      <c r="B144" s="122"/>
      <c r="D144" s="215"/>
      <c r="E144" s="215"/>
      <c r="F144" s="215"/>
      <c r="G144" s="215"/>
      <c r="H144" s="215"/>
    </row>
    <row r="145" spans="1:10" x14ac:dyDescent="0.3">
      <c r="A145" s="259" t="s">
        <v>774</v>
      </c>
      <c r="B145" s="1" t="s">
        <v>775</v>
      </c>
      <c r="D145" s="260">
        <f>8.9434-1.8916*LOG10(D128)-0.9696*LOG10(D129)+1.237*(LOG10(SUM(D130:D131))-LOG10(2.5))</f>
        <v>10.286257213642594</v>
      </c>
      <c r="E145" s="260">
        <f>8.9434-1.8916*LOG10(E128)-0.9696*LOG10(E129)+1.237*(LOG10(SUM(E130:E131))-LOG10(2.5))</f>
        <v>10.286257213642594</v>
      </c>
      <c r="F145" s="260">
        <f>8.9434-1.8916*LOG10(F128)-0.9696*LOG10(F129)+1.237*(LOG10(SUM(F130:F131))-LOG10(2.5))</f>
        <v>10.286257213642594</v>
      </c>
      <c r="G145" s="260">
        <f>8.9434-1.8916*LOG10(G128)-0.9696*LOG10(G129)+1.237*(LOG10(SUM(G130:G131))-LOG10(2.5))</f>
        <v>10.286257213642594</v>
      </c>
      <c r="H145" s="260">
        <f>8.9434-1.8916*LOG10(H128)-0.9696*LOG10(H129)+1.237*(LOG10(SUM(H130:H131))-LOG10(2.5))</f>
        <v>10.286257213642594</v>
      </c>
      <c r="J145" s="122" t="s">
        <v>776</v>
      </c>
    </row>
    <row r="146" spans="1:10" x14ac:dyDescent="0.3">
      <c r="A146" s="259" t="s">
        <v>777</v>
      </c>
      <c r="B146" s="1" t="s">
        <v>775</v>
      </c>
      <c r="D146" s="260">
        <f>D145 + (D125 - 2) * (-0.03)</f>
        <v>10.046257213642594</v>
      </c>
      <c r="E146" s="260">
        <f>E145 + (E125 - 2) * (-0.03)</f>
        <v>10.046257213642594</v>
      </c>
      <c r="F146" s="260">
        <f>F145 + (F125 - 2) * (-0.03)</f>
        <v>10.046257213642594</v>
      </c>
      <c r="G146" s="260">
        <f>G145 + (G125 - 2) * (-0.03)</f>
        <v>10.046257213642594</v>
      </c>
      <c r="H146" s="260">
        <f>H145 + (H125 - 2) * (-0.03)</f>
        <v>10.046257213642594</v>
      </c>
      <c r="J146" s="122" t="s">
        <v>778</v>
      </c>
    </row>
    <row r="147" spans="1:10" x14ac:dyDescent="0.3">
      <c r="A147" s="259" t="s">
        <v>779</v>
      </c>
      <c r="B147" s="1" t="s">
        <v>775</v>
      </c>
      <c r="D147" s="260">
        <f>D146 - 4334.5 / 625</f>
        <v>3.111057213642594</v>
      </c>
      <c r="E147" s="260">
        <f>E146 - 4334.5 / 625</f>
        <v>3.111057213642594</v>
      </c>
      <c r="F147" s="260">
        <f>F146 - 4334.5 / 625</f>
        <v>3.111057213642594</v>
      </c>
      <c r="G147" s="260">
        <f>G146 - 4334.5 / 625</f>
        <v>3.111057213642594</v>
      </c>
      <c r="H147" s="260">
        <f>H146 - 4334.5 / 625</f>
        <v>3.111057213642594</v>
      </c>
      <c r="J147" s="122" t="s">
        <v>780</v>
      </c>
    </row>
    <row r="148" spans="1:10" x14ac:dyDescent="0.3">
      <c r="A148" s="259" t="s">
        <v>781</v>
      </c>
      <c r="B148" s="1" t="s">
        <v>775</v>
      </c>
      <c r="D148" s="260">
        <f>D147 + 4334.5 / D141</f>
        <v>13.381437773622585</v>
      </c>
      <c r="E148" s="260">
        <f>E147 + 4334.5 / E141</f>
        <v>15.971590946973729</v>
      </c>
      <c r="F148" s="260">
        <f>F147 + 4334.5 / F141</f>
        <v>15.971590946973729</v>
      </c>
      <c r="G148" s="260">
        <f>G147 + 4334.5 / G141</f>
        <v>15.971590946973729</v>
      </c>
      <c r="H148" s="260">
        <f>H147 + 4334.5 / H141</f>
        <v>13.381437773622585</v>
      </c>
      <c r="J148" s="122" t="s">
        <v>782</v>
      </c>
    </row>
    <row r="149" spans="1:10" x14ac:dyDescent="0.3">
      <c r="A149" s="259" t="s">
        <v>783</v>
      </c>
      <c r="B149" s="1" t="s">
        <v>775</v>
      </c>
      <c r="D149" s="260">
        <f>D147 + 4334.5 / (1000/2.4)</f>
        <v>13.513857213642593</v>
      </c>
      <c r="E149" s="260">
        <f>E147 + 4334.5 / (1000/2.4)</f>
        <v>13.513857213642593</v>
      </c>
      <c r="F149" s="260">
        <f>F147 + 4334.5 / (1000/2.4)</f>
        <v>13.513857213642593</v>
      </c>
      <c r="G149" s="260">
        <f>G147 + 4334.5 / (1000/2.4)</f>
        <v>13.513857213642593</v>
      </c>
      <c r="H149" s="260">
        <f>H147 + 4334.5 / (1000/2.4)</f>
        <v>13.513857213642593</v>
      </c>
      <c r="J149" s="122" t="s">
        <v>784</v>
      </c>
    </row>
    <row r="150" spans="1:10" x14ac:dyDescent="0.3">
      <c r="A150" s="266" t="s">
        <v>773</v>
      </c>
      <c r="B150" s="1" t="s">
        <v>785</v>
      </c>
      <c r="D150" s="267">
        <f>10 ^ D148</f>
        <v>24067876461298.246</v>
      </c>
      <c r="E150" s="267">
        <f>10 ^ E148</f>
        <v>9366793523271820</v>
      </c>
      <c r="F150" s="267">
        <f>10 ^ F148</f>
        <v>9366793523271820</v>
      </c>
      <c r="G150" s="267">
        <f>10 ^ G148</f>
        <v>9366793523271820</v>
      </c>
      <c r="H150" s="267">
        <f>10 ^ H148</f>
        <v>24067876461298.246</v>
      </c>
      <c r="J150" s="1" t="s">
        <v>786</v>
      </c>
    </row>
    <row r="151" spans="1:10" x14ac:dyDescent="0.3">
      <c r="A151" s="259"/>
      <c r="B151" s="1"/>
      <c r="D151" s="260"/>
      <c r="E151" s="260"/>
      <c r="F151" s="260"/>
      <c r="G151" s="260"/>
      <c r="H151" s="260"/>
    </row>
    <row r="152" spans="1:10" x14ac:dyDescent="0.3">
      <c r="A152" s="265" t="s">
        <v>787</v>
      </c>
      <c r="B152" s="122"/>
      <c r="D152" s="260"/>
      <c r="E152" s="260"/>
      <c r="F152" s="260"/>
      <c r="G152" s="260"/>
      <c r="H152" s="260"/>
    </row>
    <row r="153" spans="1:10" x14ac:dyDescent="0.3">
      <c r="A153" s="259" t="s">
        <v>788</v>
      </c>
      <c r="B153" s="1" t="s">
        <v>775</v>
      </c>
      <c r="D153" s="260">
        <f>10.7737 - 2.2334 *LOG10(D128)</f>
        <v>11.941497389709106</v>
      </c>
      <c r="E153" s="260">
        <f>10.7737 - 2.2334 *LOG10(E128)</f>
        <v>11.941497389709106</v>
      </c>
      <c r="F153" s="260">
        <f>10.7737 - 2.2334 *LOG10(F128)</f>
        <v>11.941497389709106</v>
      </c>
      <c r="G153" s="260">
        <f>10.7737 - 2.2334 *LOG10(G128)</f>
        <v>11.941497389709106</v>
      </c>
      <c r="H153" s="260">
        <f>10.7737 - 2.2334 *LOG10(H128)</f>
        <v>11.941497389709106</v>
      </c>
      <c r="J153" s="122" t="s">
        <v>789</v>
      </c>
    </row>
    <row r="154" spans="1:10" x14ac:dyDescent="0.3">
      <c r="A154" s="259" t="s">
        <v>790</v>
      </c>
      <c r="B154" s="1" t="s">
        <v>775</v>
      </c>
      <c r="D154" s="260">
        <f>D153 + (D134 - 9) * (-0.128)</f>
        <v>11.786098209043185</v>
      </c>
      <c r="E154" s="260">
        <f>E153 + (E134 - 9) * (-0.128)</f>
        <v>11.298532054729117</v>
      </c>
      <c r="F154" s="260">
        <f>F153 + (F134 - 9) * (-0.128)</f>
        <v>11.22725224132771</v>
      </c>
      <c r="G154" s="260">
        <f>G153 + (G134 - 9) * (-0.128)</f>
        <v>10.846431440592614</v>
      </c>
      <c r="H154" s="260">
        <f>H153 + (H134 - 9) * (-0.128)</f>
        <v>11.786098209043185</v>
      </c>
      <c r="J154" s="122" t="s">
        <v>791</v>
      </c>
    </row>
    <row r="155" spans="1:10" x14ac:dyDescent="0.3">
      <c r="A155" s="259" t="s">
        <v>792</v>
      </c>
      <c r="B155" s="1" t="s">
        <v>775</v>
      </c>
      <c r="D155" s="260">
        <f>IF(SUM(D130:D131) &gt; 10, D154 + 0.56 - 0.056 * SUM(D130:D131), SUM(D130:D131))</f>
        <v>11.102898209043186</v>
      </c>
      <c r="E155" s="260">
        <f>IF(SUM(E130:E131) &gt; 10, E154 + 0.56 - 0.056 * SUM(E130:E131), SUM(E130:E131))</f>
        <v>10.615332054729118</v>
      </c>
      <c r="F155" s="260">
        <f>IF(SUM(F130:F131) &gt; 10, F154 + 0.56 - 0.056 * SUM(F130:F131), SUM(F130:F131))</f>
        <v>10.54405224132771</v>
      </c>
      <c r="G155" s="260">
        <f>IF(SUM(G130:G131) &gt; 10, G154 + 0.56 - 0.056 * SUM(G130:G131), SUM(G130:G131))</f>
        <v>10.163231440592615</v>
      </c>
      <c r="H155" s="260">
        <f>IF(SUM(H130:H131) &gt; 10, H154 + 0.56 - 0.056 * SUM(H130:H131), SUM(H130:H131))</f>
        <v>11.102898209043186</v>
      </c>
      <c r="J155" s="122" t="s">
        <v>793</v>
      </c>
    </row>
    <row r="156" spans="1:10" x14ac:dyDescent="0.3">
      <c r="A156" s="259" t="s">
        <v>794</v>
      </c>
      <c r="B156" s="1" t="s">
        <v>775</v>
      </c>
      <c r="D156" s="260">
        <f>D155 + (D125 - 2) * (-0.03)</f>
        <v>10.862898209043186</v>
      </c>
      <c r="E156" s="260">
        <f>E155 + (E125 - 2) * (-0.03)</f>
        <v>10.375332054729117</v>
      </c>
      <c r="F156" s="260">
        <f>F155 + (F125 - 2) * (-0.03)</f>
        <v>10.30405224132771</v>
      </c>
      <c r="G156" s="260">
        <f>G155 + (G125 - 2) * (-0.03)</f>
        <v>9.9232314405926143</v>
      </c>
      <c r="H156" s="260">
        <f>H155 + (H125 - 2) * (-0.03)</f>
        <v>10.862898209043186</v>
      </c>
      <c r="J156" s="122" t="s">
        <v>795</v>
      </c>
    </row>
    <row r="157" spans="1:10" x14ac:dyDescent="0.3">
      <c r="A157" s="259" t="s">
        <v>796</v>
      </c>
      <c r="B157" s="1" t="s">
        <v>775</v>
      </c>
      <c r="D157" s="260">
        <f>D155 + (12 - 2) * (-0.03)</f>
        <v>10.802898209043185</v>
      </c>
      <c r="E157" s="260">
        <f>E155 + (12 - 2) * (-0.03)</f>
        <v>10.315332054729117</v>
      </c>
      <c r="F157" s="260">
        <f>F155 + (12 - 2) * (-0.03)</f>
        <v>10.24405224132771</v>
      </c>
      <c r="G157" s="260">
        <f>G155 + (12 - 2) * (-0.03)</f>
        <v>9.8632314405926138</v>
      </c>
      <c r="H157" s="260">
        <f>H155 + (12 - 2) * (-0.03)</f>
        <v>10.802898209043185</v>
      </c>
      <c r="J157" s="122" t="s">
        <v>797</v>
      </c>
    </row>
    <row r="158" spans="1:10" x14ac:dyDescent="0.3">
      <c r="A158" s="259" t="s">
        <v>798</v>
      </c>
      <c r="B158" s="1" t="s">
        <v>775</v>
      </c>
      <c r="D158" s="260">
        <f>D157 +LOG10(EXP(1)) * 0.00073895 * EXP(2303.3 / 385) * D134</f>
        <v>12.102489053136232</v>
      </c>
      <c r="E158" s="260">
        <f>E157 +LOG10(EXP(1)) * 0.00073895 * EXP(2303.3 / 385) * E134</f>
        <v>12.099577103449612</v>
      </c>
      <c r="F158" s="260">
        <f>F157 +LOG10(EXP(1)) * 0.00073895 * EXP(2303.3 / 385) * F134</f>
        <v>12.09915139049054</v>
      </c>
      <c r="G158" s="260">
        <f>G157 +LOG10(EXP(1)) * 0.00073895 * EXP(2303.3 / 385) * G134</f>
        <v>12.096876968852479</v>
      </c>
      <c r="H158" s="260">
        <f>H157 +LOG10(EXP(1)) * 0.00073895 * EXP(2303.3 / 385) * H134</f>
        <v>12.102489053136232</v>
      </c>
      <c r="J158" s="122" t="s">
        <v>799</v>
      </c>
    </row>
    <row r="159" spans="1:10" x14ac:dyDescent="0.3">
      <c r="A159" s="259" t="s">
        <v>800</v>
      </c>
      <c r="B159" s="1" t="s">
        <v>775</v>
      </c>
      <c r="D159" s="260">
        <f>D158 -LOG10(EXP(1)) * 0.00073895 * EXP(2303.3 / D141) * D134</f>
        <v>11.333742531896625</v>
      </c>
      <c r="E159" s="260">
        <f>E158 -LOG10(EXP(1)) * 0.00073895 * EXP(2303.3 / E141) * E134</f>
        <v>7.9195093089719366</v>
      </c>
      <c r="F159" s="260">
        <f>F158 -LOG10(EXP(1)) * 0.00073895 * EXP(2303.3 / F141) * F134</f>
        <v>7.7530890519461266</v>
      </c>
      <c r="G159" s="260">
        <f>G158 -LOG10(EXP(1)) * 0.00073895 * EXP(2303.3 / G141) * G134</f>
        <v>6.8639692224340871</v>
      </c>
      <c r="H159" s="260">
        <f>H158 -LOG10(EXP(1)) * 0.00073895 * EXP(2303.3 / H141) * H134</f>
        <v>11.333742531896625</v>
      </c>
      <c r="J159" s="122" t="s">
        <v>801</v>
      </c>
    </row>
    <row r="160" spans="1:10" x14ac:dyDescent="0.3">
      <c r="A160" s="266" t="s">
        <v>787</v>
      </c>
      <c r="B160" s="1" t="s">
        <v>785</v>
      </c>
      <c r="D160" s="267">
        <f>10^D159</f>
        <v>215646558628.15131</v>
      </c>
      <c r="E160" s="267">
        <f>10^E159</f>
        <v>83082452.698555589</v>
      </c>
      <c r="F160" s="267">
        <f>10^F159</f>
        <v>56635540.813002914</v>
      </c>
      <c r="G160" s="267">
        <f>10^G159</f>
        <v>7310872.7098077293</v>
      </c>
      <c r="H160" s="267">
        <f>10^H159</f>
        <v>215646558628.15131</v>
      </c>
      <c r="J160" s="1" t="s">
        <v>802</v>
      </c>
    </row>
    <row r="161" spans="1:10" x14ac:dyDescent="0.3">
      <c r="A161" s="259"/>
      <c r="B161" s="1"/>
      <c r="D161" s="267"/>
      <c r="E161" s="267"/>
      <c r="F161" s="267"/>
      <c r="G161" s="267"/>
      <c r="H161" s="267"/>
    </row>
    <row r="162" spans="1:10" x14ac:dyDescent="0.3">
      <c r="A162" s="266" t="s">
        <v>803</v>
      </c>
      <c r="B162" s="1" t="s">
        <v>785</v>
      </c>
      <c r="D162" s="267">
        <f>D150*D160 / (D150 + D160)</f>
        <v>213731538381.29483</v>
      </c>
      <c r="E162" s="267">
        <f>E150*E160 / (E150 + E160)</f>
        <v>83082451.961623162</v>
      </c>
      <c r="F162" s="267">
        <f>F150*F160 / (F150 + F160)</f>
        <v>56635540.470560819</v>
      </c>
      <c r="G162" s="267">
        <f>G150*G160 / (G150 + G160)</f>
        <v>7310872.7041015234</v>
      </c>
      <c r="H162" s="267">
        <f>H150*H160 / (H150 + H160)</f>
        <v>213731538381.29483</v>
      </c>
      <c r="J162" s="122" t="s">
        <v>804</v>
      </c>
    </row>
    <row r="163" spans="1:10" x14ac:dyDescent="0.3">
      <c r="A163" s="268" t="s">
        <v>805</v>
      </c>
      <c r="B163" s="1" t="s">
        <v>775</v>
      </c>
      <c r="D163" s="252">
        <f>D153 + (10 - 9) * (-0.128)</f>
        <v>11.813497389709106</v>
      </c>
      <c r="E163" s="252">
        <f>E153 + (10 - 9) * (-0.128)</f>
        <v>11.813497389709106</v>
      </c>
      <c r="F163" s="252">
        <f>F153 + (10 - 9) * (-0.128)</f>
        <v>11.813497389709106</v>
      </c>
      <c r="G163" s="252">
        <f>G153 + (10 - 9) * (-0.128)</f>
        <v>11.813497389709106</v>
      </c>
      <c r="H163" s="252">
        <f>H153 + (10 - 9) * (-0.128)</f>
        <v>11.813497389709106</v>
      </c>
      <c r="J163" s="122" t="s">
        <v>806</v>
      </c>
    </row>
    <row r="164" spans="1:10" x14ac:dyDescent="0.3">
      <c r="A164" s="268" t="s">
        <v>807</v>
      </c>
      <c r="B164" s="1" t="s">
        <v>775</v>
      </c>
      <c r="D164" s="260">
        <f>IF(SUM(D130:D131) &gt; 10, D163 + 0.56 - 0.056 * SUM(D130:D131), SUM(D130:D131))</f>
        <v>11.130297389709106</v>
      </c>
      <c r="E164" s="260">
        <f>IF(SUM(E130:E131) &gt; 10, E163 + 0.56 - 0.056 * SUM(E130:E131), SUM(E130:E131))</f>
        <v>11.130297389709106</v>
      </c>
      <c r="F164" s="260">
        <f>IF(SUM(F130:F131) &gt; 10, F163 + 0.56 - 0.056 * SUM(F130:F131), SUM(F130:F131))</f>
        <v>11.130297389709106</v>
      </c>
      <c r="G164" s="260">
        <f>IF(SUM(G130:G131) &gt; 10, G163 + 0.56 - 0.056 * SUM(G130:G131), SUM(G130:G131))</f>
        <v>11.130297389709106</v>
      </c>
      <c r="H164" s="260">
        <f>IF(SUM(H130:H131) &gt; 10, H163 + 0.56 - 0.056 * SUM(H130:H131), SUM(H130:H131))</f>
        <v>11.130297389709106</v>
      </c>
      <c r="J164" s="122" t="s">
        <v>808</v>
      </c>
    </row>
    <row r="165" spans="1:10" x14ac:dyDescent="0.3">
      <c r="A165" s="268" t="s">
        <v>809</v>
      </c>
      <c r="B165" s="1" t="s">
        <v>775</v>
      </c>
      <c r="D165" s="260">
        <f>D164 + (D125 - 2) * (-0.03)</f>
        <v>10.890297389709106</v>
      </c>
      <c r="E165" s="260">
        <f>E164 + (E125 - 2) * (-0.03)</f>
        <v>10.890297389709106</v>
      </c>
      <c r="F165" s="260">
        <f>F164 + (F125 - 2) * (-0.03)</f>
        <v>10.890297389709106</v>
      </c>
      <c r="G165" s="260">
        <f>G164 + (G125 - 2) * (-0.03)</f>
        <v>10.890297389709106</v>
      </c>
      <c r="H165" s="260">
        <f>H164 + (H125 - 2) * (-0.03)</f>
        <v>10.890297389709106</v>
      </c>
      <c r="J165" s="122" t="s">
        <v>810</v>
      </c>
    </row>
    <row r="166" spans="1:10" x14ac:dyDescent="0.3">
      <c r="A166" s="268" t="s">
        <v>811</v>
      </c>
      <c r="B166" s="1" t="s">
        <v>775</v>
      </c>
      <c r="D166" s="260">
        <f>D164 + (12 - 2) * (-0.03)</f>
        <v>10.830297389709106</v>
      </c>
      <c r="E166" s="260">
        <f>E164 + (12 - 2) * (-0.03)</f>
        <v>10.830297389709106</v>
      </c>
      <c r="F166" s="260">
        <f>F164 + (12 - 2) * (-0.03)</f>
        <v>10.830297389709106</v>
      </c>
      <c r="G166" s="260">
        <f>G164 + (12 - 2) * (-0.03)</f>
        <v>10.830297389709106</v>
      </c>
      <c r="H166" s="260">
        <f>H164 + (12 - 2) * (-0.03)</f>
        <v>10.830297389709106</v>
      </c>
      <c r="J166" s="122" t="s">
        <v>812</v>
      </c>
    </row>
    <row r="167" spans="1:10" x14ac:dyDescent="0.3">
      <c r="A167" s="268" t="s">
        <v>813</v>
      </c>
      <c r="B167" s="1" t="s">
        <v>775</v>
      </c>
      <c r="D167" s="260">
        <f>D166 +LOG10(EXP(1)) * 0.00073895 * EXP(2303.3 / 385) * 10</f>
        <v>12.102652692541568</v>
      </c>
      <c r="E167" s="260">
        <f>E166 +LOG10(EXP(1)) * 0.00073895 * EXP(2303.3 / 385) * 10</f>
        <v>12.102652692541568</v>
      </c>
      <c r="F167" s="260">
        <f>F166 +LOG10(EXP(1)) * 0.00073895 * EXP(2303.3 / 385) * 10</f>
        <v>12.102652692541568</v>
      </c>
      <c r="G167" s="260">
        <f>G166 +LOG10(EXP(1)) * 0.00073895 * EXP(2303.3 / 385) * 10</f>
        <v>12.102652692541568</v>
      </c>
      <c r="H167" s="260">
        <f>H166 +LOG10(EXP(1)) * 0.00073895 * EXP(2303.3 / 385) * 10</f>
        <v>12.102652692541568</v>
      </c>
      <c r="J167" s="122" t="s">
        <v>814</v>
      </c>
    </row>
    <row r="168" spans="1:10" x14ac:dyDescent="0.3">
      <c r="A168" s="268" t="s">
        <v>815</v>
      </c>
      <c r="B168" s="1" t="s">
        <v>775</v>
      </c>
      <c r="D168" s="260">
        <f>D167 -LOG10(EXP(1)) * 0.00073895 * EXP(2303.3 / (1000/2.4)) * 10</f>
        <v>11.295148999570987</v>
      </c>
      <c r="E168" s="260">
        <f>E167 -LOG10(EXP(1)) * 0.00073895 * EXP(2303.3 / (1000/2.4)) * 10</f>
        <v>11.295148999570987</v>
      </c>
      <c r="F168" s="260">
        <f>F167 -LOG10(EXP(1)) * 0.00073895 * EXP(2303.3 / (1000/2.4)) * 10</f>
        <v>11.295148999570987</v>
      </c>
      <c r="G168" s="260">
        <f>G167 -LOG10(EXP(1)) * 0.00073895 * EXP(2303.3 / (1000/2.4)) * 10</f>
        <v>11.295148999570987</v>
      </c>
      <c r="H168" s="260">
        <f>H167 -LOG10(EXP(1)) * 0.00073895 * EXP(2303.3 / (1000/2.4)) * 10</f>
        <v>11.295148999570987</v>
      </c>
      <c r="J168" s="122" t="s">
        <v>816</v>
      </c>
    </row>
    <row r="169" spans="1:10" x14ac:dyDescent="0.3">
      <c r="A169" s="268" t="s">
        <v>817</v>
      </c>
      <c r="B169" s="1" t="s">
        <v>785</v>
      </c>
      <c r="D169" s="267">
        <f>10^(D149 + D168) / (10^D149 + 10^D168)</f>
        <v>196124667602.5675</v>
      </c>
      <c r="E169" s="267">
        <f>10^(E149 + E168) / (10^E149 + 10^E168)</f>
        <v>196124667602.5675</v>
      </c>
      <c r="F169" s="267">
        <f>10^(F149 + F168) / (10^F149 + 10^F168)</f>
        <v>196124667602.5675</v>
      </c>
      <c r="G169" s="267">
        <f>10^(G149 + G168) / (10^G149 + 10^G168)</f>
        <v>196124667602.5675</v>
      </c>
      <c r="H169" s="267">
        <f>10^(H149 + H168) / (10^H149 + 10^H168)</f>
        <v>196124667602.5675</v>
      </c>
      <c r="J169" s="122" t="s">
        <v>818</v>
      </c>
    </row>
    <row r="170" spans="1:10" x14ac:dyDescent="0.3">
      <c r="A170" s="259" t="s">
        <v>819</v>
      </c>
      <c r="B170" s="1" t="s">
        <v>775</v>
      </c>
      <c r="D170" s="260">
        <f>LOG10(D169) + (-8) * (-0.03)</f>
        <v>11.532532220541491</v>
      </c>
      <c r="E170" s="260">
        <f>LOG10(E169) + (-8) * (-0.03)</f>
        <v>11.532532220541491</v>
      </c>
      <c r="F170" s="260">
        <f>LOG10(F169) + (-8) * (-0.03)</f>
        <v>11.532532220541491</v>
      </c>
      <c r="G170" s="260">
        <f>LOG10(G169) + (-8) * (-0.03)</f>
        <v>11.532532220541491</v>
      </c>
      <c r="H170" s="260">
        <f>LOG10(H169) + (-8) * (-0.03)</f>
        <v>11.532532220541491</v>
      </c>
      <c r="J170" s="122" t="s">
        <v>820</v>
      </c>
    </row>
    <row r="171" spans="1:10" x14ac:dyDescent="0.3">
      <c r="A171" s="259"/>
      <c r="B171" s="1"/>
      <c r="D171" s="260"/>
      <c r="E171" s="260"/>
      <c r="F171" s="260"/>
      <c r="G171" s="260"/>
      <c r="H171" s="260"/>
      <c r="J171" s="122"/>
    </row>
    <row r="172" spans="1:10" x14ac:dyDescent="0.3">
      <c r="A172" s="265" t="s">
        <v>821</v>
      </c>
      <c r="B172" s="122"/>
      <c r="D172" s="260"/>
      <c r="E172" s="260"/>
      <c r="F172" s="260"/>
      <c r="G172" s="260"/>
      <c r="H172" s="260"/>
    </row>
    <row r="173" spans="1:10" x14ac:dyDescent="0.3">
      <c r="A173" s="259" t="s">
        <v>822</v>
      </c>
      <c r="B173" s="1" t="s">
        <v>775</v>
      </c>
      <c r="D173" s="260">
        <f>IF(AND(SUM(D130:D131) &lt; 5,D129 &lt; 1), 2.6354, 0.2915)</f>
        <v>0.29149999999999998</v>
      </c>
      <c r="E173" s="260">
        <f>IF(AND(SUM(E130:E131) &lt; 5,E129 &lt; 1), 2.6354, 0.2915)</f>
        <v>0.29149999999999998</v>
      </c>
      <c r="F173" s="260">
        <f>IF(AND(SUM(F130:F131) &lt; 5,F129 &lt; 1), 2.6354, 0.2915)</f>
        <v>0.29149999999999998</v>
      </c>
      <c r="G173" s="260">
        <f>IF(AND(SUM(G130:G131) &lt; 5,G129 &lt; 1), 2.6354, 0.2915)</f>
        <v>0.29149999999999998</v>
      </c>
      <c r="H173" s="260">
        <f>IF(AND(SUM(H130:H131) &lt; 5,H129 &lt; 1), 2.6354, 0.2915)</f>
        <v>0.29149999999999998</v>
      </c>
      <c r="J173" s="122" t="s">
        <v>823</v>
      </c>
    </row>
    <row r="174" spans="1:10" x14ac:dyDescent="0.3">
      <c r="A174" s="259" t="s">
        <v>824</v>
      </c>
      <c r="B174" s="1" t="s">
        <v>775</v>
      </c>
      <c r="D174" s="260">
        <f>D173 + 0.7669 * D170</f>
        <v>9.1357989599332683</v>
      </c>
      <c r="E174" s="260">
        <f>E173 + 0.7669 * E170</f>
        <v>9.1357989599332683</v>
      </c>
      <c r="F174" s="260">
        <f>F173 + 0.7669 * F170</f>
        <v>9.1357989599332683</v>
      </c>
      <c r="G174" s="260">
        <f>G173 + 0.7669 * G170</f>
        <v>9.1357989599332683</v>
      </c>
      <c r="H174" s="260">
        <f>H173 + 0.7669 * H170</f>
        <v>9.1357989599332683</v>
      </c>
      <c r="J174" s="122" t="s">
        <v>825</v>
      </c>
    </row>
    <row r="175" spans="1:10" x14ac:dyDescent="0.3">
      <c r="A175" s="259" t="s">
        <v>826</v>
      </c>
      <c r="B175" s="1"/>
      <c r="D175" s="260">
        <f>IF(AND(SUM(D130:D131) &lt; 5,D131 &lt; 1), -5, -2.0502)</f>
        <v>-2.0501999999999998</v>
      </c>
      <c r="E175" s="260">
        <f>IF(AND(SUM(E130:E131) &lt; 5,E131 &lt; 1), -5, -2.0502)</f>
        <v>-2.0501999999999998</v>
      </c>
      <c r="F175" s="260">
        <f>IF(AND(SUM(F130:F131) &lt; 5,F131 &lt; 1), -5, -2.0502)</f>
        <v>-2.0501999999999998</v>
      </c>
      <c r="G175" s="260">
        <f>IF(AND(SUM(G130:G131) &lt; 5,G131 &lt; 1), -5, -2.0502)</f>
        <v>-2.0501999999999998</v>
      </c>
      <c r="H175" s="260">
        <f>IF(AND(SUM(H130:H131) &lt; 5,H131 &lt; 1), -5, -2.0502)</f>
        <v>-2.0501999999999998</v>
      </c>
      <c r="J175" s="122" t="s">
        <v>827</v>
      </c>
    </row>
    <row r="176" spans="1:10" x14ac:dyDescent="0.3">
      <c r="A176" s="259" t="s">
        <v>828</v>
      </c>
      <c r="B176" s="1" t="s">
        <v>775</v>
      </c>
      <c r="D176" s="260">
        <f>D174 - D175 *LOG10(4)</f>
        <v>10.370142354153856</v>
      </c>
      <c r="E176" s="260">
        <f>E174 - E175 *LOG10(4)</f>
        <v>10.370142354153856</v>
      </c>
      <c r="F176" s="260">
        <f>F174 - F175 *LOG10(4)</f>
        <v>10.370142354153856</v>
      </c>
      <c r="G176" s="260">
        <f>G174 - G175 *LOG10(4)</f>
        <v>10.370142354153856</v>
      </c>
      <c r="H176" s="260">
        <f>H174 - H175 *LOG10(4)</f>
        <v>10.370142354153856</v>
      </c>
      <c r="J176" s="122" t="s">
        <v>829</v>
      </c>
    </row>
    <row r="177" spans="1:10" x14ac:dyDescent="0.3">
      <c r="A177" s="259" t="s">
        <v>830</v>
      </c>
      <c r="B177" s="1" t="s">
        <v>775</v>
      </c>
      <c r="D177" s="260">
        <f>D176 + D175 *LOG10(D136)</f>
        <v>10.699786967800069</v>
      </c>
      <c r="E177" s="260">
        <f>E176 + E175 *LOG10(E136)</f>
        <v>11.223917911832505</v>
      </c>
      <c r="F177" s="260">
        <f>F176 + F175 *LOG10(F136)</f>
        <v>11.227287392780791</v>
      </c>
      <c r="G177" s="260">
        <f>G176 + G175 *LOG10(G136)</f>
        <v>11.245508521773234</v>
      </c>
      <c r="H177" s="260">
        <f>H176 + H175 *LOG10(H136)</f>
        <v>10.068073052061859</v>
      </c>
      <c r="J177" s="122" t="s">
        <v>831</v>
      </c>
    </row>
    <row r="178" spans="1:10" x14ac:dyDescent="0.3">
      <c r="A178" s="259"/>
      <c r="B178" s="1"/>
      <c r="D178" s="260"/>
      <c r="E178" s="260"/>
      <c r="F178" s="260"/>
      <c r="G178" s="260"/>
      <c r="H178" s="260"/>
    </row>
    <row r="179" spans="1:10" x14ac:dyDescent="0.3">
      <c r="A179" s="269" t="s">
        <v>832</v>
      </c>
      <c r="B179" s="1" t="s">
        <v>833</v>
      </c>
      <c r="D179" s="270">
        <f>IF(D136 &lt; 2.75, 1,IF(D136&gt;6.5,3,2))</f>
        <v>1</v>
      </c>
      <c r="E179" s="270">
        <f>IF(E136 &lt; 2.75, 1,IF(E136&gt;6.5,3,2))</f>
        <v>1</v>
      </c>
      <c r="F179" s="270">
        <f>IF(F136 &lt; 2.75, 1,IF(F136&gt;6.5,3,2))</f>
        <v>1</v>
      </c>
      <c r="G179" s="270">
        <f>IF(G136 &lt; 2.75, 1,IF(G136&gt;6.5,3,2))</f>
        <v>1</v>
      </c>
      <c r="H179" s="270">
        <f>IF(H136 &lt; 2.75, 1,IF(H136&gt;6.5,3,2))</f>
        <v>1</v>
      </c>
      <c r="J179" s="122" t="s">
        <v>834</v>
      </c>
    </row>
    <row r="180" spans="1:10" x14ac:dyDescent="0.3">
      <c r="A180" s="269" t="s">
        <v>835</v>
      </c>
      <c r="B180" s="1" t="s">
        <v>833</v>
      </c>
      <c r="D180" s="270">
        <f>IF(AND(D128&gt;1,SUM(D130:D131)&gt;5),1,IF(AND(D129&lt;1,SUM(D130:D131)&lt;3),2,3))</f>
        <v>3</v>
      </c>
      <c r="E180" s="270">
        <f>IF(AND(E128&gt;1,SUM(E130:E131)&gt;5),1,IF(AND(E129&lt;1,SUM(E130:E131)&lt;3),2,3))</f>
        <v>3</v>
      </c>
      <c r="F180" s="270">
        <f>IF(AND(F128&gt;1,SUM(F130:F131)&gt;5),1,IF(AND(F129&lt;1,SUM(F130:F131)&lt;3),2,3))</f>
        <v>3</v>
      </c>
      <c r="G180" s="270">
        <f>IF(AND(G128&gt;1,SUM(G130:G131)&gt;5),1,IF(AND(G129&lt;1,SUM(G130:G131)&lt;3),2,3))</f>
        <v>3</v>
      </c>
      <c r="H180" s="270">
        <f>IF(AND(H128&gt;1,SUM(H130:H131)&gt;5),1,IF(AND(H129&lt;1,SUM(H130:H131)&lt;3),2,3))</f>
        <v>3</v>
      </c>
      <c r="J180" s="122" t="s">
        <v>836</v>
      </c>
    </row>
    <row r="181" spans="1:10" x14ac:dyDescent="0.3">
      <c r="A181" s="259" t="s">
        <v>837</v>
      </c>
      <c r="B181" s="1"/>
      <c r="D181" s="260">
        <f>VLOOKUP(D179,Constants_CC!$B$260:$E$262,D180+1,FALSE)</f>
        <v>-4.8499999999999996</v>
      </c>
      <c r="E181" s="260">
        <f>VLOOKUP(E179,Constants_CC!$B$260:$E$262,E180+1,FALSE)</f>
        <v>-4.8499999999999996</v>
      </c>
      <c r="F181" s="260">
        <f>VLOOKUP(F179,Constants_CC!$B$260:$E$262,F180+1,FALSE)</f>
        <v>-4.8499999999999996</v>
      </c>
      <c r="G181" s="260">
        <f>VLOOKUP(G179,Constants_CC!$B$260:$E$262,G180+1,FALSE)</f>
        <v>-4.8499999999999996</v>
      </c>
      <c r="H181" s="260">
        <f>VLOOKUP(H179,Constants_CC!$B$260:$E$262,H180+1,FALSE)</f>
        <v>-4.8499999999999996</v>
      </c>
      <c r="J181" s="122" t="s">
        <v>838</v>
      </c>
    </row>
    <row r="182" spans="1:10" x14ac:dyDescent="0.3">
      <c r="A182" s="259" t="s">
        <v>839</v>
      </c>
      <c r="B182" s="1" t="s">
        <v>775</v>
      </c>
      <c r="D182" s="260">
        <f>D177 - D181 * 2.4</f>
        <v>22.339786967800066</v>
      </c>
      <c r="E182" s="260">
        <f>E177 - E181 * 2.4</f>
        <v>22.863917911832502</v>
      </c>
      <c r="F182" s="260">
        <f>F177 - F181 * 2.4</f>
        <v>22.867287392780788</v>
      </c>
      <c r="G182" s="260">
        <f>G177 - G181 * 2.4</f>
        <v>22.885508521773232</v>
      </c>
      <c r="H182" s="260">
        <f>H177 - H181 * 2.4</f>
        <v>21.708073052061856</v>
      </c>
      <c r="J182" s="122" t="s">
        <v>840</v>
      </c>
    </row>
    <row r="183" spans="1:10" x14ac:dyDescent="0.3">
      <c r="A183" s="259" t="s">
        <v>841</v>
      </c>
      <c r="B183" s="1" t="s">
        <v>775</v>
      </c>
      <c r="D183" s="260">
        <f>D182 + D181 * 1000 / D141</f>
        <v>10.84795498812468</v>
      </c>
      <c r="E183" s="260">
        <f>E182 + E181 * 1000 / E141</f>
        <v>8.4738870878260411</v>
      </c>
      <c r="F183" s="260">
        <f>F182 + F181 * 1000 / F141</f>
        <v>8.4772565687743278</v>
      </c>
      <c r="G183" s="260">
        <f>G182 + G181 * 1000 / G141</f>
        <v>8.4954776977667716</v>
      </c>
      <c r="H183" s="260">
        <f>H182 + H181 * 1000 / H141</f>
        <v>10.21624107238647</v>
      </c>
      <c r="J183" s="122" t="s">
        <v>842</v>
      </c>
    </row>
    <row r="184" spans="1:10" x14ac:dyDescent="0.3">
      <c r="A184" s="259" t="s">
        <v>843</v>
      </c>
      <c r="B184" s="1" t="s">
        <v>775</v>
      </c>
      <c r="D184" s="260">
        <f>1.95 + 0.76 * D183</f>
        <v>10.194445790974756</v>
      </c>
      <c r="E184" s="260">
        <f>1.95 + 0.76 * E183</f>
        <v>8.3901541867477913</v>
      </c>
      <c r="F184" s="260">
        <f>1.95 + 0.76 * F183</f>
        <v>8.3927149922684894</v>
      </c>
      <c r="G184" s="260">
        <f>1.95 + 0.76 * G183</f>
        <v>8.4065630503027471</v>
      </c>
      <c r="H184" s="260">
        <f>1.95 + 0.76 * H183</f>
        <v>9.7143432150137166</v>
      </c>
      <c r="J184" s="122" t="s">
        <v>844</v>
      </c>
    </row>
    <row r="185" spans="1:10" x14ac:dyDescent="0.3">
      <c r="A185" s="266" t="s">
        <v>821</v>
      </c>
      <c r="B185" s="1" t="s">
        <v>785</v>
      </c>
      <c r="D185" s="267">
        <f>10^D184</f>
        <v>15647529931.681337</v>
      </c>
      <c r="E185" s="267">
        <f>10^E184</f>
        <v>245558056.10647598</v>
      </c>
      <c r="F185" s="267">
        <f>10^F184</f>
        <v>247010259.69221801</v>
      </c>
      <c r="G185" s="267">
        <f>10^G184</f>
        <v>255013428.60740608</v>
      </c>
      <c r="H185" s="267">
        <f>10^H184</f>
        <v>5180160488.7313976</v>
      </c>
      <c r="J185" s="1" t="s">
        <v>845</v>
      </c>
    </row>
    <row r="186" spans="1:10" x14ac:dyDescent="0.3">
      <c r="A186" s="261"/>
      <c r="B186" s="1"/>
      <c r="D186" s="1"/>
      <c r="E186" s="1"/>
      <c r="F186" s="1"/>
      <c r="G186" s="1"/>
      <c r="H186" s="1"/>
    </row>
    <row r="187" spans="1:10" ht="13.5" x14ac:dyDescent="0.35">
      <c r="A187" s="204" t="s">
        <v>846</v>
      </c>
      <c r="B187" s="1"/>
      <c r="D187" s="1"/>
      <c r="E187" s="1"/>
      <c r="F187" s="1"/>
      <c r="G187" s="1"/>
      <c r="H187" s="1"/>
    </row>
    <row r="188" spans="1:10" x14ac:dyDescent="0.3">
      <c r="A188" s="266" t="s">
        <v>847</v>
      </c>
      <c r="B188" s="1" t="s">
        <v>785</v>
      </c>
      <c r="D188" s="267">
        <f>D185*D162 / (D185 + D162)</f>
        <v>14580103881.154423</v>
      </c>
      <c r="E188" s="267">
        <f>E185*E162 / (E185 + E162)</f>
        <v>62078669.243136488</v>
      </c>
      <c r="F188" s="267">
        <f>F185*F162 / (F185 + F162)</f>
        <v>46071967.904521674</v>
      </c>
      <c r="G188" s="267">
        <f>G185*G162 / (G185 + G162)</f>
        <v>7107121.6241277829</v>
      </c>
      <c r="H188" s="267">
        <f>H185*H162 / (H185 + H162)</f>
        <v>5057581097.9198275</v>
      </c>
      <c r="J188" s="122" t="s">
        <v>848</v>
      </c>
    </row>
    <row r="189" spans="1:10" x14ac:dyDescent="0.3">
      <c r="A189" s="261"/>
      <c r="B189" s="257"/>
      <c r="D189" s="1"/>
      <c r="E189" s="1"/>
      <c r="F189" s="1"/>
      <c r="G189" s="1"/>
      <c r="H189" s="1"/>
    </row>
    <row r="190" spans="1:10" ht="13.5" x14ac:dyDescent="0.35">
      <c r="A190" s="204" t="s">
        <v>849</v>
      </c>
      <c r="B190" s="257"/>
      <c r="D190" s="1"/>
      <c r="E190" s="1"/>
      <c r="F190" s="1"/>
      <c r="G190" s="1"/>
      <c r="H190" s="1"/>
    </row>
    <row r="191" spans="1:10" ht="15" x14ac:dyDescent="0.4">
      <c r="A191" s="271" t="s">
        <v>850</v>
      </c>
      <c r="B191" s="1" t="s">
        <v>851</v>
      </c>
      <c r="D191" s="272">
        <f>0.1231743 - 0.0033152*LN(D188)</f>
        <v>4.5588927388185652E-2</v>
      </c>
      <c r="E191" s="272">
        <f>0.1231743 - 0.0033152*LN(E188)</f>
        <v>6.3686639630858188E-2</v>
      </c>
      <c r="F191" s="272">
        <f>0.1231743 - 0.0033152*LN(F188)</f>
        <v>6.4675224798124431E-2</v>
      </c>
      <c r="G191" s="272">
        <f>0.1231743 - 0.0033152*LN(G188)</f>
        <v>7.0871689539816457E-2</v>
      </c>
      <c r="H191" s="272">
        <f>0.1231743 - 0.0033152*LN(H188)</f>
        <v>4.9098960121948587E-2</v>
      </c>
      <c r="J191" s="273" t="s">
        <v>852</v>
      </c>
    </row>
    <row r="192" spans="1:10" x14ac:dyDescent="0.3">
      <c r="A192" s="261"/>
      <c r="B192" s="1"/>
      <c r="D192" s="215"/>
      <c r="E192" s="215"/>
      <c r="F192" s="215"/>
      <c r="G192" s="215"/>
      <c r="H192" s="215"/>
    </row>
    <row r="193" spans="1:10" ht="13.5" x14ac:dyDescent="0.35">
      <c r="A193" s="204" t="s">
        <v>853</v>
      </c>
      <c r="B193" s="1"/>
      <c r="D193" s="215"/>
      <c r="E193" s="215"/>
      <c r="F193" s="215"/>
      <c r="G193" s="215"/>
      <c r="H193" s="215"/>
    </row>
    <row r="194" spans="1:10" ht="16.5" x14ac:dyDescent="0.4">
      <c r="A194" s="274" t="s">
        <v>854</v>
      </c>
      <c r="B194" s="1" t="s">
        <v>855</v>
      </c>
      <c r="D194" s="275">
        <f>(-LN(1-D121))^(1/D124)/D191</f>
        <v>567.7437641754201</v>
      </c>
      <c r="E194" s="275">
        <f>(-LN(1-E121))^(1/E124)/E191</f>
        <v>740.89454550886762</v>
      </c>
      <c r="F194" s="275">
        <f>(-LN(1-F121))^(1/F124)/F191</f>
        <v>738.78922822813456</v>
      </c>
      <c r="G194" s="275">
        <f>(-LN(1-G121))^(1/G124)/G191</f>
        <v>730.7964449118881</v>
      </c>
      <c r="H194" s="275">
        <f>(-LN(1-H121))^(1/H124)/H191</f>
        <v>546.37156861446317</v>
      </c>
      <c r="J194" s="122" t="s">
        <v>856</v>
      </c>
    </row>
    <row r="195" spans="1:10" x14ac:dyDescent="0.3">
      <c r="D195" s="215"/>
      <c r="E195" s="215"/>
      <c r="F195" s="215"/>
      <c r="G195" s="215"/>
      <c r="H195" s="215"/>
    </row>
    <row r="196" spans="1:10" ht="16" x14ac:dyDescent="0.35">
      <c r="A196" s="204" t="s">
        <v>857</v>
      </c>
      <c r="B196" s="90" t="s">
        <v>858</v>
      </c>
      <c r="D196" s="108">
        <f>(D107/1000)*D194</f>
        <v>178555.49264856565</v>
      </c>
      <c r="E196" s="108">
        <f>(E107/1000)*E194</f>
        <v>701358.53813512344</v>
      </c>
      <c r="F196" s="108">
        <f>(F107/1000)*F194</f>
        <v>370552.59678928251</v>
      </c>
      <c r="G196" s="108">
        <f>(G107/1000)*G194</f>
        <v>105422.9677476737</v>
      </c>
      <c r="H196" s="108">
        <f>(H107/1000)*H194</f>
        <v>90014.393182009226</v>
      </c>
    </row>
    <row r="197" spans="1:10" ht="16" x14ac:dyDescent="0.35">
      <c r="A197" s="204" t="s">
        <v>859</v>
      </c>
      <c r="B197" s="90" t="s">
        <v>858</v>
      </c>
      <c r="D197" s="108">
        <f>(D196/'Input &amp; Calculation Summary'!C183)*('Input &amp; Calculation Summary'!C182/12)</f>
        <v>4959.8747957934902</v>
      </c>
      <c r="E197" s="108">
        <f>(E196/'Input &amp; Calculation Summary'!D183)*('Input &amp; Calculation Summary'!D182/12)</f>
        <v>19482.181614864541</v>
      </c>
      <c r="F197" s="108">
        <f>(F196/'Input &amp; Calculation Summary'!E183)*('Input &amp; Calculation Summary'!E182/12)</f>
        <v>10293.127688591181</v>
      </c>
      <c r="G197" s="108">
        <f>(G196/'Input &amp; Calculation Summary'!F183)*('Input &amp; Calculation Summary'!F182/12)</f>
        <v>2928.4157707687136</v>
      </c>
      <c r="H197" s="108">
        <f>(H196/'Input &amp; Calculation Summary'!G183)*('Input &amp; Calculation Summary'!G182/12)</f>
        <v>2500.3998106113672</v>
      </c>
    </row>
    <row r="199" spans="1:10" x14ac:dyDescent="0.3">
      <c r="A199" s="111"/>
      <c r="B199" s="112"/>
      <c r="C199" s="112"/>
      <c r="D199" s="112"/>
      <c r="E199" s="112"/>
      <c r="F199" s="112"/>
      <c r="G199" s="112"/>
      <c r="H199" s="112"/>
    </row>
    <row r="200" spans="1:10" ht="18" thickBot="1" x14ac:dyDescent="0.4">
      <c r="A200" s="241" t="s">
        <v>716</v>
      </c>
      <c r="D200" s="155" t="s">
        <v>320</v>
      </c>
      <c r="E200" s="155" t="s">
        <v>518</v>
      </c>
      <c r="F200" s="155" t="s">
        <v>519</v>
      </c>
      <c r="G200" s="155" t="s">
        <v>520</v>
      </c>
      <c r="H200" s="155" t="s">
        <v>521</v>
      </c>
    </row>
    <row r="201" spans="1:10" ht="13.5" x14ac:dyDescent="0.35">
      <c r="A201" s="232" t="s">
        <v>338</v>
      </c>
      <c r="B201" s="1"/>
      <c r="C201" s="115"/>
      <c r="D201" s="231">
        <f>'Input &amp; Calculation Summary'!C46</f>
        <v>2015</v>
      </c>
      <c r="E201" s="231">
        <f>'Input &amp; Calculation Summary'!D46</f>
        <v>2015</v>
      </c>
      <c r="F201" s="231">
        <f>'Input &amp; Calculation Summary'!E46</f>
        <v>2015</v>
      </c>
      <c r="G201" s="231">
        <f>'Input &amp; Calculation Summary'!F46</f>
        <v>2015</v>
      </c>
      <c r="H201" s="231">
        <f>'Input &amp; Calculation Summary'!G46</f>
        <v>2015</v>
      </c>
    </row>
    <row r="203" spans="1:10" x14ac:dyDescent="0.3">
      <c r="A203" s="1" t="s">
        <v>860</v>
      </c>
      <c r="B203" s="90" t="s">
        <v>303</v>
      </c>
      <c r="D203" s="101">
        <f>(IF(('Input &amp; Calculation Summary'!C182/12&lt;=0.751),(-2.08E-19*D107^4+0.00000000000193*D107^3-0.00000548*D107^2+8.49*D107-309000),(17.638*D107^0.8973)))*(IF('Input &amp; Calculation Summary'!C46&lt;1990,VLOOKUP('Input &amp; Calculation Summary'!C46,Constants_CC!$B$285:$C$303,2)/357.6,(IF('Input &amp; Calculation Summary'!C59="Yes",'Input &amp; Calculation Summary'!C60/357.6,(1+'Input &amp; Calculation Summary'!C61)^(D201-1990)))))</f>
        <v>2445092.4998771069</v>
      </c>
      <c r="E203" s="101">
        <f>(IF(('Input &amp; Calculation Summary'!D182/12&lt;=0.751),(-2.08E-19*E107^4+0.00000000000193*E107^3-0.00000548*E107^2+8.49*E107-309000),(17.638*E107^0.8973)))*(IF('Input &amp; Calculation Summary'!D46&lt;1990,VLOOKUP('Input &amp; Calculation Summary'!D46,Constants_CC!$B$285:$C$303,2)/357.6,(IF('Input &amp; Calculation Summary'!D59="Yes",'Input &amp; Calculation Summary'!D60/357.6,(1+'Input &amp; Calculation Summary'!D61)^(E201-1990)))))</f>
        <v>6572184.3696997706</v>
      </c>
      <c r="F203" s="101">
        <f>(IF(('Input &amp; Calculation Summary'!E182/12&lt;=0.751),(-2.08E-19*F107^4+0.00000000000193*F107^3-0.00000548*F107^2+8.49*F107-309000),(17.638*F107^0.8973)))*(IF('Input &amp; Calculation Summary'!E46&lt;1990,VLOOKUP('Input &amp; Calculation Summary'!E46,Constants_CC!$B$285:$C$303,2)/357.6,(IF('Input &amp; Calculation Summary'!E59="Yes",'Input &amp; Calculation Summary'!E60/357.6,(1+'Input &amp; Calculation Summary'!E61)^(F201-1990)))))</f>
        <v>3716940.4146903451</v>
      </c>
      <c r="G203" s="101">
        <f>(IF(('Input &amp; Calculation Summary'!F182/12&lt;=0.751),(-2.08E-19*G107^4+0.00000000000193*G107^3-0.00000548*G107^2+8.49*G107-309000),(17.638*G107^0.8973)))*(IF('Input &amp; Calculation Summary'!F46&lt;1990,VLOOKUP('Input &amp; Calculation Summary'!F46,Constants_CC!$B$285:$C$303,2)/357.6,(IF('Input &amp; Calculation Summary'!F59="Yes",'Input &amp; Calculation Summary'!F60/357.6,(1+'Input &amp; Calculation Summary'!F61)^(G201-1990)))))</f>
        <v>1214997.4551359976</v>
      </c>
      <c r="H203" s="101">
        <f>(IF(('Input &amp; Calculation Summary'!G182/12&lt;=0.751),(-2.08E-19*H107^4+0.00000000000193*H107^3-0.00000548*H107^2+8.49*H107-309000),(17.638*H107^0.8973)))*(IF('Input &amp; Calculation Summary'!G46&lt;1990,VLOOKUP('Input &amp; Calculation Summary'!G46,Constants_CC!$B$285:$C$303,2)/357.6,(IF('Input &amp; Calculation Summary'!G59="Yes",'Input &amp; Calculation Summary'!G60/357.6,(1+'Input &amp; Calculation Summary'!G61)^(H201-1990)))))</f>
        <v>1368787.9317383987</v>
      </c>
    </row>
    <row r="204" spans="1:10" x14ac:dyDescent="0.3">
      <c r="A204" s="1" t="s">
        <v>719</v>
      </c>
      <c r="B204" s="90" t="s">
        <v>303</v>
      </c>
      <c r="D204" s="101">
        <f>(D118/2000*21901+200895)*(IF('Input &amp; Calculation Summary'!C46&lt;1990,VLOOKUP('Input &amp; Calculation Summary'!C46,Constants_CC!$B$285:$C$303,2)/357.6,(IF('Input &amp; Calculation Summary'!C59="Yes",'Input &amp; Calculation Summary'!C60/357.6,(1+'Input &amp; Calculation Summary'!C61)^(D201-1990)))))</f>
        <v>393404.18800138298</v>
      </c>
      <c r="E204" s="101">
        <f>(E118/2000*21901+200895)*(IF('Input &amp; Calculation Summary'!D46&lt;1990,VLOOKUP('Input &amp; Calculation Summary'!D46,Constants_CC!$B$285:$C$303,2)/357.6,(IF('Input &amp; Calculation Summary'!D59="Yes",'Input &amp; Calculation Summary'!D60/357.6,(1+'Input &amp; Calculation Summary'!D61)^(E201-1990)))))</f>
        <v>1176540.7431033775</v>
      </c>
      <c r="F204" s="101">
        <f>(F118/2000*21901+200895)*(IF('Input &amp; Calculation Summary'!E46&lt;1990,VLOOKUP('Input &amp; Calculation Summary'!E46,Constants_CC!$B$285:$C$303,2)/357.6,(IF('Input &amp; Calculation Summary'!E59="Yes",'Input &amp; Calculation Summary'!E60/357.6,(1+'Input &amp; Calculation Summary'!E61)^(F201-1990)))))</f>
        <v>773448.56519328232</v>
      </c>
      <c r="G204" s="101">
        <f>(G118/2000*21901+200895)*(IF('Input &amp; Calculation Summary'!F46&lt;1990,VLOOKUP('Input &amp; Calculation Summary'!F46,Constants_CC!$B$285:$C$303,2)/357.6,(IF('Input &amp; Calculation Summary'!F59="Yes",'Input &amp; Calculation Summary'!F60/357.6,(1+'Input &amp; Calculation Summary'!F61)^(G201-1990)))))</f>
        <v>449839.35194151552</v>
      </c>
      <c r="H204" s="101">
        <f>(H118/2000*21901+200895)*(IF('Input &amp; Calculation Summary'!G46&lt;1990,VLOOKUP('Input &amp; Calculation Summary'!G46,Constants_CC!$B$285:$C$303,2)/357.6,(IF('Input &amp; Calculation Summary'!G59="Yes",'Input &amp; Calculation Summary'!G60/357.6,(1+'Input &amp; Calculation Summary'!G61)^(H201-1990)))))</f>
        <v>360800.01696935378</v>
      </c>
    </row>
    <row r="205" spans="1:10" x14ac:dyDescent="0.3">
      <c r="A205" s="1" t="s">
        <v>720</v>
      </c>
      <c r="B205" s="90" t="s">
        <v>303</v>
      </c>
      <c r="D205" s="162">
        <f>(97.41*D107^0.619)*(IF('Input &amp; Calculation Summary'!C46&lt;1990,VLOOKUP('Input &amp; Calculation Summary'!C46,Constants_CC!$B$285:$C$303,2)/357.6,(IF('Input &amp; Calculation Summary'!C59="Yes",'Input &amp; Calculation Summary'!C60/357.6,(1+'Input &amp; Calculation Summary'!C61)^(D201-1990)))))</f>
        <v>398530.54984887614</v>
      </c>
      <c r="E205" s="162">
        <f>(97.41*E107^0.619)*(IF('Input &amp; Calculation Summary'!D46&lt;1990,VLOOKUP('Input &amp; Calculation Summary'!D46,Constants_CC!$B$285:$C$303,2)/357.6,(IF('Input &amp; Calculation Summary'!D59="Yes",'Input &amp; Calculation Summary'!D60/357.6,(1+'Input &amp; Calculation Summary'!D61)^(E201-1990)))))</f>
        <v>788300.8995213639</v>
      </c>
      <c r="F205" s="162">
        <f>(97.41*F107^0.619)*(IF('Input &amp; Calculation Summary'!E46&lt;1990,VLOOKUP('Input &amp; Calculation Summary'!E46,Constants_CC!$B$285:$C$303,2)/357.6,(IF('Input &amp; Calculation Summary'!E59="Yes",'Input &amp; Calculation Summary'!E60/357.6,(1+'Input &amp; Calculation Summary'!E61)^(F201-1990)))))</f>
        <v>532032.49455559033</v>
      </c>
      <c r="G205" s="162">
        <f>(97.41*G107^0.619)*(IF('Input &amp; Calculation Summary'!F46&lt;1990,VLOOKUP('Input &amp; Calculation Summary'!F46,Constants_CC!$B$285:$C$303,2)/357.6,(IF('Input &amp; Calculation Summary'!F59="Yes",'Input &amp; Calculation Summary'!F60/357.6,(1+'Input &amp; Calculation Summary'!F61)^(G201-1990)))))</f>
        <v>246003.47506889616</v>
      </c>
      <c r="H205" s="162">
        <f>(97.41*H107^0.619)*(IF('Input &amp; Calculation Summary'!G46&lt;1990,VLOOKUP('Input &amp; Calculation Summary'!G46,Constants_CC!$B$285:$C$303,2)/357.6,(IF('Input &amp; Calculation Summary'!G59="Yes",'Input &amp; Calculation Summary'!G60/357.6,(1+'Input &amp; Calculation Summary'!G61)^(H201-1990)))))</f>
        <v>267084.25754159829</v>
      </c>
    </row>
    <row r="206" spans="1:10" x14ac:dyDescent="0.3">
      <c r="A206" s="1" t="s">
        <v>721</v>
      </c>
      <c r="B206" s="90" t="s">
        <v>303</v>
      </c>
      <c r="D206" s="101">
        <f>SUM(D203:D205)</f>
        <v>3237027.2377273659</v>
      </c>
      <c r="E206" s="101">
        <f>SUM(E203:E205)</f>
        <v>8537026.012324512</v>
      </c>
      <c r="F206" s="101">
        <f>SUM(F203:F205)</f>
        <v>5022421.4744392177</v>
      </c>
      <c r="G206" s="101">
        <f>SUM(G203:G205)</f>
        <v>1910840.2821464092</v>
      </c>
      <c r="H206" s="101">
        <f>SUM(H203:H205)</f>
        <v>1996672.2062493507</v>
      </c>
    </row>
    <row r="207" spans="1:10" x14ac:dyDescent="0.3">
      <c r="A207" s="1" t="s">
        <v>357</v>
      </c>
      <c r="B207" s="90" t="s">
        <v>303</v>
      </c>
      <c r="D207" s="101">
        <f>0.02*D206</f>
        <v>64740.544754547322</v>
      </c>
      <c r="E207" s="101">
        <f>0.02*E206</f>
        <v>170740.52024649025</v>
      </c>
      <c r="F207" s="101">
        <f>0.02*F206</f>
        <v>100448.42948878436</v>
      </c>
      <c r="G207" s="101">
        <f>0.02*G206</f>
        <v>38216.805642928186</v>
      </c>
      <c r="H207" s="101">
        <f>0.02*H206</f>
        <v>39933.444124987014</v>
      </c>
    </row>
    <row r="208" spans="1:10" x14ac:dyDescent="0.3">
      <c r="A208" s="1" t="s">
        <v>360</v>
      </c>
      <c r="B208" s="90" t="s">
        <v>303</v>
      </c>
      <c r="D208" s="101">
        <f>D206*'Input &amp; Calculation Summary'!C55</f>
        <v>194221.63426364196</v>
      </c>
      <c r="E208" s="101">
        <f>E206*'Input &amp; Calculation Summary'!D55</f>
        <v>512221.5607394707</v>
      </c>
      <c r="F208" s="101">
        <f>F206*'Input &amp; Calculation Summary'!E55</f>
        <v>301345.28846635303</v>
      </c>
      <c r="G208" s="101">
        <f>G206*'Input &amp; Calculation Summary'!F55</f>
        <v>114650.41692878454</v>
      </c>
      <c r="H208" s="101">
        <f>H206*'Input &amp; Calculation Summary'!G55</f>
        <v>119800.33237496104</v>
      </c>
    </row>
    <row r="209" spans="1:12" x14ac:dyDescent="0.3">
      <c r="A209" s="1" t="s">
        <v>363</v>
      </c>
      <c r="B209" s="90" t="s">
        <v>303</v>
      </c>
      <c r="D209" s="162">
        <f>0.05*D206</f>
        <v>161851.36188636831</v>
      </c>
      <c r="E209" s="162">
        <f>0.05*E206</f>
        <v>426851.30061622564</v>
      </c>
      <c r="F209" s="162">
        <f>0.05*F206</f>
        <v>251121.07372196089</v>
      </c>
      <c r="G209" s="162">
        <f>0.05*G206</f>
        <v>95542.014107320458</v>
      </c>
      <c r="H209" s="162">
        <f>0.05*H206</f>
        <v>99833.610312467543</v>
      </c>
    </row>
    <row r="210" spans="1:12" x14ac:dyDescent="0.3">
      <c r="A210" s="1" t="s">
        <v>722</v>
      </c>
      <c r="B210" s="90" t="s">
        <v>303</v>
      </c>
      <c r="D210" s="101">
        <f>SUM(D206:D209)</f>
        <v>3657840.7786319237</v>
      </c>
      <c r="E210" s="101">
        <f>SUM(E206:E209)</f>
        <v>9646839.3939266987</v>
      </c>
      <c r="F210" s="101">
        <f>SUM(F206:F209)</f>
        <v>5675336.2661163164</v>
      </c>
      <c r="G210" s="101">
        <f>SUM(G206:G209)</f>
        <v>2159249.5188254425</v>
      </c>
      <c r="H210" s="101">
        <f>SUM(H206:H209)</f>
        <v>2256239.5930617661</v>
      </c>
    </row>
    <row r="211" spans="1:12" x14ac:dyDescent="0.3">
      <c r="A211" s="1" t="s">
        <v>723</v>
      </c>
      <c r="B211" s="90" t="s">
        <v>303</v>
      </c>
      <c r="D211" s="162">
        <f>0.81*D210</f>
        <v>2962851.0306918584</v>
      </c>
      <c r="E211" s="162">
        <f>0.81*E210</f>
        <v>7813939.9090806264</v>
      </c>
      <c r="F211" s="162">
        <f>0.81*F210</f>
        <v>4597022.375554217</v>
      </c>
      <c r="G211" s="162">
        <f>0.81*G210</f>
        <v>1748992.1102486085</v>
      </c>
      <c r="H211" s="162">
        <f>0.81*H210</f>
        <v>1827554.0703800307</v>
      </c>
    </row>
    <row r="212" spans="1:12" ht="13.5" x14ac:dyDescent="0.35">
      <c r="A212" s="204" t="s">
        <v>366</v>
      </c>
      <c r="B212" s="90" t="s">
        <v>303</v>
      </c>
      <c r="D212" s="101">
        <f>D210+D211</f>
        <v>6620691.8093237821</v>
      </c>
      <c r="E212" s="101">
        <f>E210+E211</f>
        <v>17460779.303007327</v>
      </c>
      <c r="F212" s="101">
        <f>F210+F211</f>
        <v>10272358.641670533</v>
      </c>
      <c r="G212" s="101">
        <f>G210+G211</f>
        <v>3908241.629074051</v>
      </c>
      <c r="H212" s="101">
        <f>H210+H211</f>
        <v>4083793.6634417968</v>
      </c>
    </row>
    <row r="214" spans="1:12" x14ac:dyDescent="0.3">
      <c r="A214" s="1" t="s">
        <v>724</v>
      </c>
      <c r="B214" s="90" t="s">
        <v>303</v>
      </c>
      <c r="D214" s="101">
        <f>D212*'Input &amp; Calculation Summary'!C39</f>
        <v>10593106.894918052</v>
      </c>
      <c r="E214" s="101">
        <f>E212*'Input &amp; Calculation Summary'!D39</f>
        <v>27937246.884811725</v>
      </c>
      <c r="F214" s="101">
        <f>F212*'Input &amp; Calculation Summary'!E39</f>
        <v>16435773.826672852</v>
      </c>
      <c r="G214" s="101">
        <f>G212*'Input &amp; Calculation Summary'!F39</f>
        <v>6253186.6065184819</v>
      </c>
      <c r="H214" s="101">
        <f>H212*'Input &amp; Calculation Summary'!G39</f>
        <v>6534069.8615068756</v>
      </c>
    </row>
    <row r="215" spans="1:12" x14ac:dyDescent="0.3">
      <c r="A215" s="1" t="s">
        <v>369</v>
      </c>
      <c r="B215" s="90" t="s">
        <v>303</v>
      </c>
      <c r="D215" s="101">
        <f>D214*'Input &amp; Calculation Summary'!C187</f>
        <v>1059310.6894918054</v>
      </c>
      <c r="E215" s="101">
        <f>E214*'Input &amp; Calculation Summary'!D187</f>
        <v>2793724.6884811725</v>
      </c>
      <c r="F215" s="101">
        <f>F214*'Input &amp; Calculation Summary'!E187</f>
        <v>1643577.3826672854</v>
      </c>
      <c r="G215" s="101">
        <f>G214*'Input &amp; Calculation Summary'!F187</f>
        <v>625318.66065184819</v>
      </c>
      <c r="H215" s="101">
        <f>H214*'Input &amp; Calculation Summary'!G187</f>
        <v>653406.98615068756</v>
      </c>
    </row>
    <row r="216" spans="1:12" x14ac:dyDescent="0.3">
      <c r="A216" s="1" t="s">
        <v>372</v>
      </c>
      <c r="B216" s="90" t="s">
        <v>303</v>
      </c>
      <c r="D216" s="101">
        <f>D214*'Input &amp; Calculation Summary'!C188</f>
        <v>1059310.6894918054</v>
      </c>
      <c r="E216" s="101">
        <f>E214*'Input &amp; Calculation Summary'!D188</f>
        <v>2793724.6884811725</v>
      </c>
      <c r="F216" s="101">
        <f>F214*'Input &amp; Calculation Summary'!E188</f>
        <v>1643577.3826672854</v>
      </c>
      <c r="G216" s="101">
        <f>G214*'Input &amp; Calculation Summary'!F188</f>
        <v>625318.66065184819</v>
      </c>
      <c r="H216" s="101">
        <f>H214*'Input &amp; Calculation Summary'!G188</f>
        <v>653406.98615068756</v>
      </c>
    </row>
    <row r="217" spans="1:12" x14ac:dyDescent="0.3">
      <c r="A217" s="1" t="s">
        <v>375</v>
      </c>
      <c r="B217" s="90" t="s">
        <v>303</v>
      </c>
      <c r="D217" s="162">
        <f>D214*'Input &amp; Calculation Summary'!C186</f>
        <v>2118621.3789836108</v>
      </c>
      <c r="E217" s="162">
        <f>E214*'Input &amp; Calculation Summary'!D186</f>
        <v>5587449.3769623451</v>
      </c>
      <c r="F217" s="162">
        <f>F214*'Input &amp; Calculation Summary'!E186</f>
        <v>3287154.7653345708</v>
      </c>
      <c r="G217" s="162">
        <f>G214*'Input &amp; Calculation Summary'!F186</f>
        <v>1250637.3213036964</v>
      </c>
      <c r="H217" s="162">
        <f>H214*'Input &amp; Calculation Summary'!G186</f>
        <v>1306813.9723013751</v>
      </c>
    </row>
    <row r="218" spans="1:12" ht="13.5" x14ac:dyDescent="0.35">
      <c r="A218" s="204" t="s">
        <v>378</v>
      </c>
      <c r="B218" s="90" t="s">
        <v>303</v>
      </c>
      <c r="D218" s="101">
        <f>SUM(D214:D217)</f>
        <v>14830349.652885273</v>
      </c>
      <c r="E218" s="101">
        <f>SUM(E214:E217)</f>
        <v>39112145.638736412</v>
      </c>
      <c r="F218" s="101">
        <f>SUM(F214:F217)</f>
        <v>23010083.35734199</v>
      </c>
      <c r="G218" s="101">
        <f>SUM(G214:G217)</f>
        <v>8754461.2491258755</v>
      </c>
      <c r="H218" s="101">
        <f>SUM(H214:H217)</f>
        <v>9147697.8061096258</v>
      </c>
    </row>
    <row r="219" spans="1:12" ht="13.5" x14ac:dyDescent="0.35">
      <c r="A219" s="204" t="s">
        <v>380</v>
      </c>
      <c r="B219" s="90" t="s">
        <v>303</v>
      </c>
      <c r="D219" s="101">
        <f>D218*(1+'Input &amp; Calculation Summary'!C$63)</f>
        <v>15275260.142471831</v>
      </c>
      <c r="E219" s="101">
        <f>E218*(1+'Input &amp; Calculation Summary'!D$63)</f>
        <v>40285510.007898502</v>
      </c>
      <c r="F219" s="101">
        <f>F218*(1+'Input &amp; Calculation Summary'!E$63)</f>
        <v>23700385.858062249</v>
      </c>
      <c r="G219" s="101">
        <f>G218*(1+'Input &amp; Calculation Summary'!F$63)</f>
        <v>9017095.0865996517</v>
      </c>
      <c r="H219" s="101">
        <f>H218*(1+'Input &amp; Calculation Summary'!G$63)</f>
        <v>9422128.7402929142</v>
      </c>
      <c r="K219" s="253"/>
    </row>
    <row r="220" spans="1:12" ht="13.5" x14ac:dyDescent="0.35">
      <c r="A220" s="204" t="s">
        <v>381</v>
      </c>
      <c r="B220" s="90" t="s">
        <v>303</v>
      </c>
      <c r="D220" s="101">
        <f>D219*VLOOKUP(2,Constants_CC!$C$557:$E$562,3)</f>
        <v>15052804.897678543</v>
      </c>
      <c r="E220" s="101">
        <f>E219*VLOOKUP(2,Constants_CC!$C$557:$E$562,3)</f>
        <v>39698827.823317431</v>
      </c>
      <c r="F220" s="101">
        <f>F219*VLOOKUP(2,Constants_CC!$C$557:$E$562,3)</f>
        <v>23355234.607702103</v>
      </c>
      <c r="G220" s="101">
        <f>G219*VLOOKUP(2,Constants_CC!$C$557:$E$562,3)</f>
        <v>8885778.167862758</v>
      </c>
      <c r="H220" s="101">
        <f>H219*VLOOKUP(2,Constants_CC!$C$557:$E$562,3)</f>
        <v>9284913.2732012644</v>
      </c>
      <c r="J220" s="252"/>
      <c r="K220" s="254"/>
      <c r="L220" s="252"/>
    </row>
    <row r="221" spans="1:12" x14ac:dyDescent="0.3">
      <c r="D221" s="101"/>
      <c r="E221" s="101"/>
      <c r="F221" s="101"/>
      <c r="G221" s="101"/>
      <c r="H221" s="101"/>
      <c r="J221" s="252"/>
      <c r="K221" s="254"/>
      <c r="L221" s="252"/>
    </row>
    <row r="222" spans="1:12" ht="13.5" x14ac:dyDescent="0.35">
      <c r="A222" s="204" t="s">
        <v>383</v>
      </c>
      <c r="B222" s="90" t="s">
        <v>303</v>
      </c>
      <c r="D222" s="101">
        <f>D219*VLOOKUP(2,Constants_CC!$C$557:$E$562,2)</f>
        <v>800838.88125581725</v>
      </c>
      <c r="E222" s="101">
        <f>E219*VLOOKUP(2,Constants_CC!$C$557:$E$562,2)</f>
        <v>2112055.8644917994</v>
      </c>
      <c r="F222" s="101">
        <f>F219*VLOOKUP(2,Constants_CC!$C$557:$E$562,2)</f>
        <v>1242544.5012964869</v>
      </c>
      <c r="G222" s="101">
        <f>G219*VLOOKUP(2,Constants_CC!$C$557:$E$562,2)</f>
        <v>472740.90745280468</v>
      </c>
      <c r="H222" s="101">
        <f>H219*VLOOKUP(2,Constants_CC!$C$557:$E$562,2)</f>
        <v>493975.68152992753</v>
      </c>
      <c r="J222" s="252"/>
      <c r="K222" s="254"/>
      <c r="L222" s="252"/>
    </row>
    <row r="223" spans="1:12" x14ac:dyDescent="0.3">
      <c r="K223" s="253"/>
      <c r="L223" s="252"/>
    </row>
    <row r="224" spans="1:12" ht="13.5" x14ac:dyDescent="0.35">
      <c r="A224" s="204" t="s">
        <v>385</v>
      </c>
      <c r="B224" s="90" t="s">
        <v>303</v>
      </c>
      <c r="D224" s="101">
        <f>D220+D222</f>
        <v>15853643.77893436</v>
      </c>
      <c r="E224" s="101">
        <f>E220+E222</f>
        <v>41810883.687809229</v>
      </c>
      <c r="F224" s="101">
        <f>F220+F222</f>
        <v>24597779.108998589</v>
      </c>
      <c r="G224" s="101">
        <f>G220+G222</f>
        <v>9358519.075315563</v>
      </c>
      <c r="H224" s="101">
        <f>H220+H222</f>
        <v>9778888.9547311924</v>
      </c>
    </row>
    <row r="225" spans="1:12" x14ac:dyDescent="0.3">
      <c r="A225" s="122" t="s">
        <v>387</v>
      </c>
      <c r="B225" s="90" t="s">
        <v>303</v>
      </c>
      <c r="D225" s="101">
        <f>0.02*D224</f>
        <v>317072.87557868718</v>
      </c>
      <c r="E225" s="101">
        <f>0.02*E224</f>
        <v>836217.67375618464</v>
      </c>
      <c r="F225" s="101">
        <f>0.02*F224</f>
        <v>491955.5821799718</v>
      </c>
      <c r="G225" s="101">
        <f>0.02*G224</f>
        <v>187170.38150631127</v>
      </c>
      <c r="H225" s="101">
        <f>0.02*H224</f>
        <v>195577.77909462387</v>
      </c>
      <c r="L225" s="252"/>
    </row>
    <row r="226" spans="1:12" x14ac:dyDescent="0.3">
      <c r="A226" s="122" t="s">
        <v>454</v>
      </c>
      <c r="B226" s="90" t="s">
        <v>303</v>
      </c>
      <c r="D226" s="101">
        <v>0</v>
      </c>
      <c r="E226" s="101">
        <v>0</v>
      </c>
      <c r="F226" s="101">
        <v>0</v>
      </c>
      <c r="G226" s="101">
        <v>0</v>
      </c>
      <c r="H226" s="101">
        <v>0</v>
      </c>
    </row>
    <row r="228" spans="1:12" ht="13.5" x14ac:dyDescent="0.35">
      <c r="A228" s="204" t="s">
        <v>302</v>
      </c>
      <c r="B228" s="90" t="s">
        <v>303</v>
      </c>
      <c r="D228" s="202">
        <f>SUM(D224:D226)</f>
        <v>16170716.654513046</v>
      </c>
      <c r="E228" s="202">
        <f>SUM(E224:E226)</f>
        <v>42647101.361565411</v>
      </c>
      <c r="F228" s="202">
        <f>SUM(F224:F226)</f>
        <v>25089734.69117856</v>
      </c>
      <c r="G228" s="202">
        <f>SUM(G224:G226)</f>
        <v>9545689.4568218738</v>
      </c>
      <c r="H228" s="202">
        <f>SUM(H224:H226)</f>
        <v>9974466.7338258158</v>
      </c>
    </row>
    <row r="229" spans="1:12" ht="13.5" x14ac:dyDescent="0.35">
      <c r="A229" s="204"/>
      <c r="B229" s="90" t="s">
        <v>304</v>
      </c>
      <c r="D229" s="242">
        <f>D228/('Input &amp; Calculation Summary'!C25*1000)</f>
        <v>107.80477769675365</v>
      </c>
      <c r="E229" s="242">
        <f>E228/('Input &amp; Calculation Summary'!D25*1000)</f>
        <v>284.31400907710275</v>
      </c>
      <c r="F229" s="242">
        <f>F228/('Input &amp; Calculation Summary'!E25*1000)</f>
        <v>317.59157836934884</v>
      </c>
      <c r="G229" s="242">
        <f>G228/('Input &amp; Calculation Summary'!F25*1000)</f>
        <v>433.89497531008516</v>
      </c>
      <c r="H229" s="242">
        <f>H228/('Input &amp; Calculation Summary'!G25*1000)</f>
        <v>453.38485153753709</v>
      </c>
    </row>
    <row r="231" spans="1:12" x14ac:dyDescent="0.3">
      <c r="A231" s="111"/>
      <c r="B231" s="112"/>
      <c r="C231" s="112"/>
      <c r="D231" s="112"/>
      <c r="E231" s="112"/>
      <c r="F231" s="112"/>
      <c r="G231" s="112"/>
      <c r="H231" s="112"/>
    </row>
    <row r="232" spans="1:12" ht="18" thickBot="1" x14ac:dyDescent="0.4">
      <c r="A232" s="241" t="s">
        <v>725</v>
      </c>
      <c r="D232" s="155" t="s">
        <v>320</v>
      </c>
      <c r="E232" s="155" t="s">
        <v>518</v>
      </c>
      <c r="F232" s="155" t="s">
        <v>519</v>
      </c>
      <c r="G232" s="155" t="s">
        <v>520</v>
      </c>
      <c r="H232" s="155" t="s">
        <v>521</v>
      </c>
    </row>
    <row r="233" spans="1:12" ht="13.5" x14ac:dyDescent="0.35">
      <c r="A233" s="232" t="s">
        <v>338</v>
      </c>
      <c r="B233" s="1"/>
      <c r="C233" s="115"/>
      <c r="D233" s="231">
        <f>'Input &amp; Calculation Summary'!C46</f>
        <v>2015</v>
      </c>
      <c r="E233" s="231">
        <f>'Input &amp; Calculation Summary'!D46</f>
        <v>2015</v>
      </c>
      <c r="F233" s="231">
        <f>'Input &amp; Calculation Summary'!E46</f>
        <v>2015</v>
      </c>
      <c r="G233" s="231">
        <f>'Input &amp; Calculation Summary'!F46</f>
        <v>2015</v>
      </c>
      <c r="H233" s="231">
        <f>'Input &amp; Calculation Summary'!G46</f>
        <v>2015</v>
      </c>
    </row>
    <row r="235" spans="1:12" x14ac:dyDescent="0.3">
      <c r="A235" s="1" t="s">
        <v>726</v>
      </c>
      <c r="B235" s="90" t="s">
        <v>618</v>
      </c>
      <c r="D235" s="108">
        <f>(IF('Input &amp; Calculation Summary'!C164&lt;=0.01,(-0.000717*D194+1.00881),IF('Input &amp; Calculation Summary'!C164&lt;=0.03,(-0.000691*D194+0.82042),(-0.000698*D194+0.68692))))*D196/1000</f>
        <v>76.441223928985423</v>
      </c>
      <c r="E235" s="108">
        <f>(IF('Input &amp; Calculation Summary'!D164&lt;=0.01,(-0.000717*E194+1.00881),IF('Input &amp; Calculation Summary'!D164&lt;=0.03,(-0.000691*E194+0.82042),(-0.000698*E194+0.68692))))*E196/1000</f>
        <v>216.34236554970119</v>
      </c>
      <c r="F235" s="108">
        <f>(IF('Input &amp; Calculation Summary'!E164&lt;=0.01,(-0.000717*F194+1.00881),IF('Input &amp; Calculation Summary'!E164&lt;=0.03,(-0.000691*F194+0.82042),(-0.000698*F194+0.68692))))*F196/1000</f>
        <v>114.84041696094255</v>
      </c>
      <c r="G235" s="108">
        <f>(IF('Input &amp; Calculation Summary'!F164&lt;=0.01,(-0.000717*G194+1.00881),IF('Input &amp; Calculation Summary'!F164&lt;=0.03,(-0.000691*G194+0.82042),(-0.000698*G194+0.68692))))*G196/1000</f>
        <v>33.254584740482599</v>
      </c>
      <c r="H235" s="108">
        <f>(IF('Input &amp; Calculation Summary'!G164&lt;=0.01,(-0.000717*H194+1.00881),IF('Input &amp; Calculation Summary'!G164&lt;=0.03,(-0.000691*H194+0.82042),(-0.000698*H194+0.68692))))*H196/1000</f>
        <v>39.865326560677218</v>
      </c>
    </row>
    <row r="236" spans="1:12" x14ac:dyDescent="0.3">
      <c r="A236" s="1" t="s">
        <v>727</v>
      </c>
      <c r="B236" s="90" t="s">
        <v>618</v>
      </c>
      <c r="D236" s="243">
        <f>(0.000158*D107*'Input &amp; Calculation Summary'!C184/0.7)*0.7457</f>
        <v>158.80540738331192</v>
      </c>
      <c r="E236" s="243">
        <f>(0.000158*E107*'Input &amp; Calculation Summary'!D184/0.7)*0.7457</f>
        <v>478.00026301669112</v>
      </c>
      <c r="F236" s="243">
        <f>(0.000158*F107*'Input &amp; Calculation Summary'!E184/0.7)*0.7457</f>
        <v>253.26416878433656</v>
      </c>
      <c r="G236" s="243">
        <f>(0.000158*G107*'Input &amp; Calculation Summary'!F184/0.7)*0.7457</f>
        <v>72.842233978080273</v>
      </c>
      <c r="H236" s="243">
        <f>(0.000158*H107*'Input &amp; Calculation Summary'!G184/0.7)*0.7457</f>
        <v>83.189461080760097</v>
      </c>
    </row>
    <row r="237" spans="1:12" x14ac:dyDescent="0.3">
      <c r="A237" s="1" t="s">
        <v>728</v>
      </c>
      <c r="B237" s="90" t="s">
        <v>618</v>
      </c>
      <c r="D237" s="108">
        <f>D235+D236</f>
        <v>235.24663131229732</v>
      </c>
      <c r="E237" s="108">
        <f>E235+E236</f>
        <v>694.34262856639225</v>
      </c>
      <c r="F237" s="108">
        <f>F235+F236</f>
        <v>368.10458574527911</v>
      </c>
      <c r="G237" s="108">
        <f>G235+G236</f>
        <v>106.09681871856287</v>
      </c>
      <c r="H237" s="108">
        <f>H235+H236</f>
        <v>123.05478764143731</v>
      </c>
    </row>
    <row r="239" spans="1:12" x14ac:dyDescent="0.3">
      <c r="A239" s="1" t="s">
        <v>729</v>
      </c>
      <c r="B239" s="90" t="s">
        <v>400</v>
      </c>
      <c r="D239" s="101">
        <f>(D237/1000*8760*'Input &amp; Calculation Summary'!C27*'Input &amp; Calculation Summary'!C65)</f>
        <v>33487.357967305521</v>
      </c>
      <c r="E239" s="101">
        <f>(E237/1000*8760*'Input &amp; Calculation Summary'!D27*'Input &amp; Calculation Summary'!D65)*(1+'Input &amp; Calculation Summary'!D57)^(E233-1998)</f>
        <v>163366.91978416929</v>
      </c>
      <c r="F239" s="101">
        <f>(F237/1000*8760*'Input &amp; Calculation Summary'!E27*'Input &amp; Calculation Summary'!E65)*(1+'Input &amp; Calculation Summary'!E57)^(F233-1998)</f>
        <v>86608.699880341184</v>
      </c>
      <c r="G239" s="101">
        <f>(G237/1000*8760*'Input &amp; Calculation Summary'!F27*'Input &amp; Calculation Summary'!F65)*(1+'Input &amp; Calculation Summary'!F57)^(G233-1998)</f>
        <v>24962.762993160628</v>
      </c>
      <c r="H239" s="101">
        <f>(H237/1000*8760*'Input &amp; Calculation Summary'!G27*'Input &amp; Calculation Summary'!G65)*(1+'Input &amp; Calculation Summary'!G57)^(H233-1998)</f>
        <v>28952.682428822587</v>
      </c>
    </row>
    <row r="240" spans="1:12" x14ac:dyDescent="0.3">
      <c r="A240" s="1" t="s">
        <v>730</v>
      </c>
      <c r="B240" s="90" t="s">
        <v>400</v>
      </c>
      <c r="D240" s="101">
        <f>(D212+(D212*'Input &amp; Calculation Summary'!C187)+(D212*'Input &amp; Calculation Summary'!C188)+(D212*'Input &amp; Calculation Summary'!C186))*'Input &amp; Calculation Summary'!C185</f>
        <v>463448.42665266478</v>
      </c>
      <c r="E240" s="101">
        <f>(E212+(E212*'Input &amp; Calculation Summary'!D187)+(E212*'Input &amp; Calculation Summary'!D188)+(E212*'Input &amp; Calculation Summary'!D186))*'Input &amp; Calculation Summary'!D185</f>
        <v>1222254.5512105129</v>
      </c>
      <c r="F240" s="101">
        <f>(F212+(F212*'Input &amp; Calculation Summary'!E187)+(F212*'Input &amp; Calculation Summary'!E188)+(F212*'Input &amp; Calculation Summary'!E186))*'Input &amp; Calculation Summary'!E185</f>
        <v>719065.1049169373</v>
      </c>
      <c r="G240" s="101">
        <f>(G212+(G212*'Input &amp; Calculation Summary'!F187)+(G212*'Input &amp; Calculation Summary'!F188)+(G212*'Input &amp; Calculation Summary'!F186))*'Input &amp; Calculation Summary'!F185</f>
        <v>273576.91403518355</v>
      </c>
      <c r="H240" s="101">
        <f>(H212+(H212*'Input &amp; Calculation Summary'!G187)+(H212*'Input &amp; Calculation Summary'!G188)+(H212*'Input &amp; Calculation Summary'!G186))*'Input &amp; Calculation Summary'!G185</f>
        <v>285865.55644092581</v>
      </c>
    </row>
    <row r="241" spans="1:8" x14ac:dyDescent="0.3">
      <c r="A241" s="122" t="s">
        <v>634</v>
      </c>
      <c r="D241" s="101"/>
      <c r="E241" s="101"/>
      <c r="F241" s="101"/>
      <c r="G241" s="101"/>
      <c r="H241" s="101"/>
    </row>
    <row r="347" spans="1:8" x14ac:dyDescent="0.3">
      <c r="A347"/>
      <c r="B347" s="239"/>
      <c r="C347" s="239"/>
      <c r="D347" s="239"/>
      <c r="E347" s="239"/>
      <c r="F347" s="239"/>
      <c r="G347" s="239"/>
      <c r="H347" s="239"/>
    </row>
    <row r="348" spans="1:8" x14ac:dyDescent="0.3">
      <c r="A348"/>
      <c r="B348" s="239"/>
      <c r="C348" s="239"/>
      <c r="D348" s="239"/>
      <c r="E348" s="239"/>
      <c r="F348" s="239"/>
      <c r="G348" s="239"/>
      <c r="H348" s="239"/>
    </row>
    <row r="349" spans="1:8" x14ac:dyDescent="0.3">
      <c r="A349"/>
      <c r="B349" s="239"/>
      <c r="C349" s="239"/>
      <c r="D349" s="239"/>
      <c r="E349" s="239"/>
      <c r="F349" s="239"/>
      <c r="G349" s="239"/>
      <c r="H349" s="239"/>
    </row>
    <row r="350" spans="1:8" x14ac:dyDescent="0.3">
      <c r="A350"/>
      <c r="B350" s="239"/>
      <c r="C350" s="239"/>
      <c r="D350" s="239"/>
      <c r="E350" s="239"/>
      <c r="F350" s="239"/>
      <c r="G350" s="239"/>
      <c r="H350" s="239"/>
    </row>
    <row r="351" spans="1:8" x14ac:dyDescent="0.3">
      <c r="A351"/>
      <c r="B351" s="239"/>
      <c r="C351" s="239"/>
      <c r="D351" s="239"/>
      <c r="E351" s="239"/>
      <c r="F351" s="239"/>
      <c r="G351" s="239"/>
      <c r="H351" s="239"/>
    </row>
    <row r="352" spans="1:8" x14ac:dyDescent="0.3">
      <c r="A352"/>
      <c r="B352" s="239"/>
      <c r="C352" s="239"/>
      <c r="D352" s="239"/>
      <c r="E352" s="239"/>
      <c r="F352" s="239"/>
      <c r="G352" s="239"/>
      <c r="H352" s="239"/>
    </row>
    <row r="353" spans="1:8" x14ac:dyDescent="0.3">
      <c r="A353"/>
      <c r="B353" s="239"/>
      <c r="C353" s="239"/>
      <c r="D353" s="239"/>
      <c r="E353" s="239"/>
      <c r="F353" s="239"/>
      <c r="G353" s="239"/>
      <c r="H353" s="239"/>
    </row>
    <row r="354" spans="1:8" x14ac:dyDescent="0.3">
      <c r="A354"/>
      <c r="B354" s="239"/>
      <c r="C354" s="239"/>
      <c r="D354" s="239"/>
      <c r="E354" s="239"/>
      <c r="F354" s="239"/>
      <c r="G354" s="239"/>
      <c r="H354" s="239"/>
    </row>
    <row r="355" spans="1:8" x14ac:dyDescent="0.3">
      <c r="A355"/>
      <c r="B355" s="239"/>
      <c r="C355" s="239"/>
      <c r="D355" s="239"/>
      <c r="E355" s="239"/>
      <c r="F355" s="239"/>
      <c r="G355" s="239"/>
      <c r="H355" s="239"/>
    </row>
    <row r="356" spans="1:8" x14ac:dyDescent="0.3">
      <c r="A356"/>
      <c r="B356" s="239"/>
      <c r="C356" s="239"/>
      <c r="D356" s="239"/>
      <c r="E356" s="239"/>
      <c r="F356" s="239"/>
      <c r="G356" s="239"/>
      <c r="H356" s="239"/>
    </row>
    <row r="357" spans="1:8" x14ac:dyDescent="0.3">
      <c r="A357"/>
      <c r="B357" s="239"/>
      <c r="C357" s="239"/>
      <c r="D357" s="239"/>
      <c r="E357" s="239"/>
      <c r="F357" s="239"/>
      <c r="G357" s="239"/>
      <c r="H357" s="239"/>
    </row>
    <row r="358" spans="1:8" x14ac:dyDescent="0.3">
      <c r="A358"/>
      <c r="B358" s="239"/>
      <c r="C358" s="239"/>
      <c r="D358" s="239"/>
      <c r="E358" s="239"/>
      <c r="F358" s="239"/>
      <c r="G358" s="239"/>
      <c r="H358" s="239"/>
    </row>
    <row r="359" spans="1:8" x14ac:dyDescent="0.3">
      <c r="A359"/>
      <c r="B359" s="239"/>
      <c r="C359" s="239"/>
      <c r="D359" s="239"/>
      <c r="E359" s="239"/>
      <c r="F359" s="239"/>
      <c r="G359" s="239"/>
      <c r="H359" s="239"/>
    </row>
    <row r="360" spans="1:8" x14ac:dyDescent="0.3">
      <c r="A360"/>
      <c r="B360" s="239"/>
      <c r="C360" s="239"/>
      <c r="D360" s="239"/>
      <c r="E360" s="239"/>
      <c r="F360" s="239"/>
      <c r="G360" s="239"/>
      <c r="H360" s="239"/>
    </row>
    <row r="361" spans="1:8" x14ac:dyDescent="0.3">
      <c r="A361"/>
      <c r="B361" s="239"/>
      <c r="C361" s="239"/>
      <c r="D361" s="239"/>
      <c r="E361" s="239"/>
      <c r="F361" s="239"/>
      <c r="G361" s="239"/>
      <c r="H361" s="239"/>
    </row>
    <row r="362" spans="1:8" x14ac:dyDescent="0.3">
      <c r="A362"/>
      <c r="B362" s="239"/>
      <c r="C362" s="239"/>
      <c r="D362" s="239"/>
      <c r="E362" s="239"/>
      <c r="F362" s="239"/>
      <c r="G362" s="239"/>
      <c r="H362" s="239"/>
    </row>
    <row r="363" spans="1:8" x14ac:dyDescent="0.3">
      <c r="A363"/>
      <c r="B363" s="239"/>
      <c r="C363" s="239"/>
      <c r="D363" s="239"/>
      <c r="E363" s="239"/>
      <c r="F363" s="239"/>
      <c r="G363" s="239"/>
      <c r="H363" s="239"/>
    </row>
    <row r="364" spans="1:8" x14ac:dyDescent="0.3">
      <c r="A364"/>
      <c r="B364" s="239"/>
      <c r="C364" s="239"/>
      <c r="D364" s="239"/>
      <c r="E364" s="239"/>
      <c r="F364" s="239"/>
      <c r="G364" s="239"/>
      <c r="H364" s="239"/>
    </row>
    <row r="365" spans="1:8" x14ac:dyDescent="0.3">
      <c r="A365"/>
      <c r="B365" s="239"/>
      <c r="C365" s="239"/>
      <c r="D365" s="239"/>
      <c r="E365" s="239"/>
      <c r="F365" s="239"/>
      <c r="G365" s="239"/>
      <c r="H365" s="239"/>
    </row>
    <row r="366" spans="1:8" x14ac:dyDescent="0.3">
      <c r="A366"/>
      <c r="B366" s="239"/>
      <c r="C366" s="239"/>
      <c r="D366" s="239"/>
      <c r="E366" s="239"/>
      <c r="F366" s="239"/>
      <c r="G366" s="239"/>
      <c r="H366" s="239"/>
    </row>
    <row r="367" spans="1:8" x14ac:dyDescent="0.3">
      <c r="A367"/>
      <c r="B367" s="239"/>
      <c r="C367" s="239"/>
      <c r="D367" s="239"/>
      <c r="E367" s="239"/>
      <c r="F367" s="239"/>
      <c r="G367" s="239"/>
      <c r="H367" s="239"/>
    </row>
    <row r="368" spans="1:8" x14ac:dyDescent="0.3">
      <c r="A368"/>
      <c r="B368" s="239"/>
      <c r="C368" s="239"/>
      <c r="D368" s="239"/>
      <c r="E368" s="239"/>
      <c r="F368" s="239"/>
      <c r="G368" s="239"/>
      <c r="H368" s="239"/>
    </row>
    <row r="369" spans="1:8" x14ac:dyDescent="0.3">
      <c r="A369"/>
      <c r="B369" s="239"/>
      <c r="C369" s="239"/>
      <c r="D369" s="239"/>
      <c r="E369" s="239"/>
      <c r="F369" s="239"/>
      <c r="G369" s="239"/>
      <c r="H369" s="239"/>
    </row>
    <row r="370" spans="1:8" x14ac:dyDescent="0.3">
      <c r="A370"/>
      <c r="B370" s="239"/>
      <c r="C370" s="239"/>
      <c r="D370" s="239"/>
      <c r="E370" s="239"/>
      <c r="F370" s="239"/>
      <c r="G370" s="239"/>
      <c r="H370" s="239"/>
    </row>
    <row r="371" spans="1:8" x14ac:dyDescent="0.3">
      <c r="A371"/>
      <c r="B371" s="239"/>
      <c r="C371" s="239"/>
      <c r="D371" s="239"/>
      <c r="E371" s="239"/>
      <c r="F371" s="239"/>
      <c r="G371" s="239"/>
      <c r="H371" s="239"/>
    </row>
    <row r="372" spans="1:8" x14ac:dyDescent="0.3">
      <c r="A372"/>
      <c r="B372" s="239"/>
      <c r="C372" s="239"/>
      <c r="D372" s="239"/>
      <c r="E372" s="239"/>
      <c r="F372" s="239"/>
      <c r="G372" s="239"/>
      <c r="H372" s="239"/>
    </row>
    <row r="373" spans="1:8" x14ac:dyDescent="0.3">
      <c r="A373"/>
      <c r="B373" s="239"/>
      <c r="C373" s="239"/>
      <c r="D373" s="239"/>
      <c r="E373" s="239"/>
      <c r="F373" s="239"/>
      <c r="G373" s="239"/>
      <c r="H373" s="239"/>
    </row>
    <row r="374" spans="1:8" x14ac:dyDescent="0.3">
      <c r="A374"/>
      <c r="B374" s="239"/>
      <c r="C374" s="239"/>
      <c r="D374" s="239"/>
      <c r="E374" s="239"/>
      <c r="F374" s="239"/>
      <c r="G374" s="239"/>
      <c r="H374" s="239"/>
    </row>
    <row r="375" spans="1:8" x14ac:dyDescent="0.3">
      <c r="A375"/>
      <c r="B375" s="239"/>
      <c r="C375" s="239"/>
      <c r="D375" s="239"/>
      <c r="E375" s="239"/>
      <c r="F375" s="239"/>
      <c r="G375" s="239"/>
      <c r="H375" s="239"/>
    </row>
    <row r="376" spans="1:8" x14ac:dyDescent="0.3">
      <c r="A376"/>
      <c r="B376" s="239"/>
      <c r="C376" s="239"/>
      <c r="D376" s="239"/>
      <c r="E376" s="239"/>
      <c r="F376" s="239"/>
      <c r="G376" s="239"/>
      <c r="H376" s="239"/>
    </row>
    <row r="377" spans="1:8" x14ac:dyDescent="0.3">
      <c r="A377"/>
      <c r="B377" s="239"/>
      <c r="C377" s="239"/>
      <c r="D377" s="239"/>
      <c r="E377" s="239"/>
      <c r="F377" s="239"/>
      <c r="G377" s="239"/>
      <c r="H377" s="239"/>
    </row>
    <row r="378" spans="1:8" x14ac:dyDescent="0.3">
      <c r="A378"/>
      <c r="B378" s="239"/>
      <c r="C378" s="239"/>
      <c r="D378" s="239"/>
      <c r="E378" s="239"/>
      <c r="F378" s="239"/>
      <c r="G378" s="239"/>
      <c r="H378" s="239"/>
    </row>
    <row r="379" spans="1:8" x14ac:dyDescent="0.3">
      <c r="A379"/>
      <c r="B379" s="239"/>
      <c r="C379" s="239"/>
      <c r="D379" s="239"/>
      <c r="E379" s="239"/>
      <c r="F379" s="239"/>
      <c r="G379" s="239"/>
      <c r="H379" s="239"/>
    </row>
    <row r="380" spans="1:8" x14ac:dyDescent="0.3">
      <c r="A380"/>
      <c r="B380" s="239"/>
      <c r="C380" s="239"/>
      <c r="D380" s="239"/>
      <c r="E380" s="239"/>
      <c r="F380" s="239"/>
      <c r="G380" s="239"/>
      <c r="H380" s="239"/>
    </row>
    <row r="381" spans="1:8" x14ac:dyDescent="0.3">
      <c r="A381"/>
      <c r="B381" s="239"/>
      <c r="C381" s="239"/>
      <c r="D381" s="239"/>
      <c r="E381" s="239"/>
      <c r="F381" s="239"/>
      <c r="G381" s="239"/>
      <c r="H381" s="239"/>
    </row>
    <row r="382" spans="1:8" x14ac:dyDescent="0.3">
      <c r="A382"/>
      <c r="B382" s="239"/>
      <c r="C382" s="239"/>
      <c r="D382" s="239"/>
      <c r="E382" s="239"/>
      <c r="F382" s="239"/>
      <c r="G382" s="239"/>
      <c r="H382" s="239"/>
    </row>
    <row r="383" spans="1:8" x14ac:dyDescent="0.3">
      <c r="A383"/>
      <c r="B383" s="239"/>
      <c r="C383" s="239"/>
      <c r="D383" s="239"/>
      <c r="E383" s="239"/>
      <c r="F383" s="239"/>
      <c r="G383" s="239"/>
      <c r="H383" s="239"/>
    </row>
    <row r="384" spans="1:8" x14ac:dyDescent="0.3">
      <c r="A384"/>
      <c r="B384" s="239"/>
      <c r="C384" s="239"/>
      <c r="D384" s="239"/>
      <c r="E384" s="239"/>
      <c r="F384" s="239"/>
      <c r="G384" s="239"/>
      <c r="H384" s="239"/>
    </row>
    <row r="385" spans="1:8" x14ac:dyDescent="0.3">
      <c r="A385"/>
      <c r="B385" s="239"/>
      <c r="C385" s="239"/>
      <c r="D385" s="239"/>
      <c r="E385" s="239"/>
      <c r="F385" s="239"/>
      <c r="G385" s="239"/>
      <c r="H385" s="239"/>
    </row>
    <row r="386" spans="1:8" x14ac:dyDescent="0.3">
      <c r="A386"/>
      <c r="B386" s="239"/>
      <c r="C386" s="239"/>
      <c r="D386" s="239"/>
      <c r="E386" s="239"/>
      <c r="F386" s="239"/>
      <c r="G386" s="239"/>
      <c r="H386" s="239"/>
    </row>
    <row r="387" spans="1:8" x14ac:dyDescent="0.3">
      <c r="A387"/>
      <c r="B387" s="239"/>
      <c r="C387" s="239"/>
      <c r="D387" s="239"/>
      <c r="E387" s="239"/>
      <c r="F387" s="239"/>
      <c r="G387" s="239"/>
      <c r="H387" s="239"/>
    </row>
    <row r="388" spans="1:8" x14ac:dyDescent="0.3">
      <c r="A388"/>
      <c r="B388" s="239"/>
      <c r="C388" s="239"/>
      <c r="D388" s="239"/>
      <c r="E388" s="239"/>
      <c r="F388" s="239"/>
      <c r="G388" s="239"/>
      <c r="H388" s="239"/>
    </row>
    <row r="389" spans="1:8" x14ac:dyDescent="0.3">
      <c r="A389"/>
      <c r="B389" s="239"/>
      <c r="C389" s="239"/>
      <c r="D389" s="239"/>
      <c r="E389" s="239"/>
      <c r="F389" s="239"/>
      <c r="G389" s="239"/>
      <c r="H389" s="239"/>
    </row>
    <row r="390" spans="1:8" x14ac:dyDescent="0.3">
      <c r="A390"/>
      <c r="B390" s="239"/>
      <c r="C390" s="239"/>
      <c r="D390" s="239"/>
      <c r="E390" s="239"/>
      <c r="F390" s="239"/>
      <c r="G390" s="239"/>
      <c r="H390" s="239"/>
    </row>
    <row r="391" spans="1:8" x14ac:dyDescent="0.3">
      <c r="A391"/>
      <c r="B391" s="239"/>
      <c r="C391" s="239"/>
      <c r="D391" s="239"/>
      <c r="E391" s="239"/>
      <c r="F391" s="239"/>
      <c r="G391" s="239"/>
      <c r="H391" s="239"/>
    </row>
    <row r="392" spans="1:8" x14ac:dyDescent="0.3">
      <c r="A392"/>
      <c r="B392" s="239"/>
      <c r="C392" s="239"/>
      <c r="D392" s="239"/>
      <c r="E392" s="239"/>
      <c r="F392" s="239"/>
      <c r="G392" s="239"/>
      <c r="H392" s="239"/>
    </row>
    <row r="393" spans="1:8" x14ac:dyDescent="0.3">
      <c r="A393"/>
      <c r="B393" s="239"/>
      <c r="C393" s="239"/>
      <c r="D393" s="239"/>
      <c r="E393" s="239"/>
      <c r="F393" s="239"/>
      <c r="G393" s="239"/>
      <c r="H393" s="239"/>
    </row>
    <row r="394" spans="1:8" x14ac:dyDescent="0.3">
      <c r="A394"/>
      <c r="B394" s="239"/>
      <c r="C394" s="239"/>
      <c r="D394" s="239"/>
      <c r="E394" s="239"/>
      <c r="F394" s="239"/>
      <c r="G394" s="239"/>
      <c r="H394" s="239"/>
    </row>
    <row r="395" spans="1:8" x14ac:dyDescent="0.3">
      <c r="A395"/>
      <c r="B395" s="239"/>
      <c r="C395" s="239"/>
      <c r="D395" s="239"/>
      <c r="E395" s="239"/>
      <c r="F395" s="239"/>
      <c r="G395" s="239"/>
      <c r="H395" s="239"/>
    </row>
    <row r="396" spans="1:8" x14ac:dyDescent="0.3">
      <c r="A396"/>
      <c r="B396" s="239"/>
      <c r="C396" s="239"/>
      <c r="D396" s="239"/>
      <c r="E396" s="239"/>
      <c r="F396" s="239"/>
      <c r="G396" s="239"/>
      <c r="H396" s="239"/>
    </row>
    <row r="397" spans="1:8" x14ac:dyDescent="0.3">
      <c r="A397"/>
      <c r="B397" s="239"/>
      <c r="C397" s="239"/>
      <c r="D397" s="239"/>
      <c r="E397" s="239"/>
      <c r="F397" s="239"/>
      <c r="G397" s="239"/>
      <c r="H397" s="239"/>
    </row>
    <row r="398" spans="1:8" x14ac:dyDescent="0.3">
      <c r="A398"/>
      <c r="B398" s="239"/>
      <c r="C398" s="239"/>
      <c r="D398" s="239"/>
      <c r="E398" s="239"/>
      <c r="F398" s="239"/>
      <c r="G398" s="239"/>
      <c r="H398" s="239"/>
    </row>
    <row r="399" spans="1:8" x14ac:dyDescent="0.3">
      <c r="A399"/>
      <c r="B399" s="239"/>
      <c r="C399" s="239"/>
      <c r="D399" s="239"/>
      <c r="E399" s="239"/>
      <c r="F399" s="239"/>
      <c r="G399" s="239"/>
      <c r="H399" s="239"/>
    </row>
    <row r="400" spans="1:8" x14ac:dyDescent="0.3">
      <c r="A400"/>
      <c r="B400" s="239"/>
      <c r="C400" s="239"/>
      <c r="D400" s="239"/>
      <c r="E400" s="239"/>
      <c r="F400" s="239"/>
      <c r="G400" s="239"/>
      <c r="H400" s="239"/>
    </row>
    <row r="401" spans="1:8" x14ac:dyDescent="0.3">
      <c r="A401"/>
      <c r="B401" s="239"/>
      <c r="C401" s="239"/>
      <c r="D401" s="239"/>
      <c r="E401" s="239"/>
      <c r="F401" s="239"/>
      <c r="G401" s="239"/>
      <c r="H401" s="239"/>
    </row>
    <row r="402" spans="1:8" x14ac:dyDescent="0.3">
      <c r="A402"/>
      <c r="B402" s="239"/>
      <c r="C402" s="239"/>
      <c r="D402" s="239"/>
      <c r="E402" s="239"/>
      <c r="F402" s="239"/>
      <c r="G402" s="239"/>
      <c r="H402" s="239"/>
    </row>
    <row r="403" spans="1:8" x14ac:dyDescent="0.3">
      <c r="A403"/>
      <c r="B403" s="239"/>
      <c r="C403" s="239"/>
      <c r="D403" s="239"/>
      <c r="E403" s="239"/>
      <c r="F403" s="239"/>
      <c r="G403" s="239"/>
      <c r="H403" s="239"/>
    </row>
    <row r="404" spans="1:8" x14ac:dyDescent="0.3">
      <c r="A404"/>
      <c r="B404" s="239"/>
      <c r="C404" s="239"/>
      <c r="D404" s="239"/>
      <c r="E404" s="239"/>
      <c r="F404" s="239"/>
      <c r="G404" s="239"/>
      <c r="H404" s="239"/>
    </row>
    <row r="405" spans="1:8" x14ac:dyDescent="0.3">
      <c r="A405"/>
      <c r="B405" s="239"/>
      <c r="C405" s="239"/>
      <c r="D405" s="239"/>
      <c r="E405" s="239"/>
      <c r="F405" s="239"/>
      <c r="G405" s="239"/>
      <c r="H405" s="239"/>
    </row>
    <row r="406" spans="1:8" x14ac:dyDescent="0.3">
      <c r="A406"/>
      <c r="B406" s="239"/>
      <c r="C406" s="239"/>
      <c r="D406" s="239"/>
      <c r="E406" s="239"/>
      <c r="F406" s="239"/>
      <c r="G406" s="239"/>
      <c r="H406" s="239"/>
    </row>
    <row r="407" spans="1:8" x14ac:dyDescent="0.3">
      <c r="A407"/>
      <c r="B407" s="239"/>
      <c r="C407" s="239"/>
      <c r="D407" s="239"/>
      <c r="E407" s="239"/>
      <c r="F407" s="239"/>
      <c r="G407" s="239"/>
      <c r="H407" s="239"/>
    </row>
    <row r="408" spans="1:8" x14ac:dyDescent="0.3">
      <c r="A408"/>
      <c r="B408" s="239"/>
      <c r="C408" s="239"/>
      <c r="D408" s="239"/>
      <c r="E408" s="239"/>
      <c r="F408" s="239"/>
      <c r="G408" s="239"/>
      <c r="H408" s="239"/>
    </row>
    <row r="409" spans="1:8" x14ac:dyDescent="0.3">
      <c r="A409"/>
      <c r="B409" s="239"/>
      <c r="C409" s="239"/>
      <c r="D409" s="239"/>
      <c r="E409" s="239"/>
      <c r="F409" s="239"/>
      <c r="G409" s="239"/>
      <c r="H409" s="239"/>
    </row>
    <row r="410" spans="1:8" x14ac:dyDescent="0.3">
      <c r="A410"/>
      <c r="B410" s="239"/>
      <c r="C410" s="239"/>
      <c r="D410" s="239"/>
      <c r="E410" s="239"/>
      <c r="F410" s="239"/>
      <c r="G410" s="239"/>
      <c r="H410" s="239"/>
    </row>
    <row r="411" spans="1:8" x14ac:dyDescent="0.3">
      <c r="A411"/>
      <c r="B411" s="239"/>
      <c r="C411" s="239"/>
      <c r="D411" s="239"/>
      <c r="E411" s="239"/>
      <c r="F411" s="239"/>
      <c r="G411" s="239"/>
      <c r="H411" s="239"/>
    </row>
    <row r="412" spans="1:8" x14ac:dyDescent="0.3">
      <c r="A412"/>
      <c r="B412" s="239"/>
      <c r="C412" s="239"/>
      <c r="D412" s="239"/>
      <c r="E412" s="239"/>
      <c r="F412" s="239"/>
      <c r="G412" s="239"/>
      <c r="H412" s="239"/>
    </row>
    <row r="413" spans="1:8" x14ac:dyDescent="0.3">
      <c r="A413"/>
      <c r="B413" s="239"/>
      <c r="C413" s="239"/>
      <c r="D413" s="239"/>
      <c r="E413" s="239"/>
      <c r="F413" s="239"/>
      <c r="G413" s="239"/>
      <c r="H413" s="239"/>
    </row>
    <row r="414" spans="1:8" x14ac:dyDescent="0.3">
      <c r="A414"/>
      <c r="B414" s="239"/>
      <c r="C414" s="239"/>
      <c r="D414" s="239"/>
      <c r="E414" s="239"/>
      <c r="F414" s="239"/>
      <c r="G414" s="239"/>
      <c r="H414" s="239"/>
    </row>
    <row r="415" spans="1:8" x14ac:dyDescent="0.3">
      <c r="A415"/>
      <c r="B415" s="239"/>
      <c r="C415" s="239"/>
      <c r="D415" s="239"/>
      <c r="E415" s="239"/>
      <c r="F415" s="239"/>
      <c r="G415" s="239"/>
      <c r="H415" s="239"/>
    </row>
    <row r="416" spans="1:8" x14ac:dyDescent="0.3">
      <c r="A416"/>
      <c r="B416" s="239"/>
      <c r="C416" s="239"/>
      <c r="D416" s="239"/>
      <c r="E416" s="239"/>
      <c r="F416" s="239"/>
      <c r="G416" s="239"/>
      <c r="H416" s="239"/>
    </row>
    <row r="417" spans="1:8" x14ac:dyDescent="0.3">
      <c r="A417"/>
      <c r="B417" s="239"/>
      <c r="C417" s="239"/>
      <c r="D417" s="239"/>
      <c r="E417" s="239"/>
      <c r="F417" s="239"/>
      <c r="G417" s="239"/>
      <c r="H417" s="239"/>
    </row>
    <row r="418" spans="1:8" x14ac:dyDescent="0.3">
      <c r="A418"/>
      <c r="B418" s="239"/>
      <c r="C418" s="239"/>
      <c r="D418" s="239"/>
      <c r="E418" s="239"/>
      <c r="F418" s="239"/>
      <c r="G418" s="239"/>
      <c r="H418" s="239"/>
    </row>
    <row r="419" spans="1:8" x14ac:dyDescent="0.3">
      <c r="A419"/>
      <c r="B419" s="239"/>
      <c r="C419" s="239"/>
      <c r="D419" s="239"/>
      <c r="E419" s="239"/>
      <c r="F419" s="239"/>
      <c r="G419" s="239"/>
      <c r="H419" s="239"/>
    </row>
    <row r="420" spans="1:8" x14ac:dyDescent="0.3">
      <c r="A420"/>
      <c r="B420" s="239"/>
      <c r="C420" s="239"/>
      <c r="D420" s="239"/>
      <c r="E420" s="239"/>
      <c r="F420" s="239"/>
      <c r="G420" s="239"/>
      <c r="H420" s="239"/>
    </row>
    <row r="421" spans="1:8" x14ac:dyDescent="0.3">
      <c r="A421"/>
      <c r="B421" s="239"/>
      <c r="C421" s="239"/>
      <c r="D421" s="239"/>
      <c r="E421" s="239"/>
      <c r="F421" s="239"/>
      <c r="G421" s="239"/>
      <c r="H421" s="239"/>
    </row>
    <row r="422" spans="1:8" x14ac:dyDescent="0.3">
      <c r="A422"/>
      <c r="B422" s="239"/>
      <c r="C422" s="239"/>
      <c r="D422" s="239"/>
      <c r="E422" s="239"/>
      <c r="F422" s="239"/>
      <c r="G422" s="239"/>
      <c r="H422" s="239"/>
    </row>
    <row r="423" spans="1:8" x14ac:dyDescent="0.3">
      <c r="A423"/>
      <c r="B423" s="239"/>
      <c r="C423" s="239"/>
      <c r="D423" s="239"/>
      <c r="E423" s="239"/>
      <c r="F423" s="239"/>
      <c r="G423" s="239"/>
      <c r="H423" s="239"/>
    </row>
    <row r="424" spans="1:8" x14ac:dyDescent="0.3">
      <c r="A424"/>
      <c r="B424" s="239"/>
      <c r="C424" s="239"/>
      <c r="D424" s="239"/>
      <c r="E424" s="239"/>
      <c r="F424" s="239"/>
      <c r="G424" s="239"/>
      <c r="H424" s="239"/>
    </row>
    <row r="425" spans="1:8" x14ac:dyDescent="0.3">
      <c r="A425"/>
      <c r="B425" s="239"/>
      <c r="C425" s="239"/>
      <c r="D425" s="239"/>
      <c r="E425" s="239"/>
      <c r="F425" s="239"/>
      <c r="G425" s="239"/>
      <c r="H425" s="239"/>
    </row>
    <row r="426" spans="1:8" x14ac:dyDescent="0.3">
      <c r="A426"/>
      <c r="B426" s="239"/>
      <c r="C426" s="239"/>
      <c r="D426" s="239"/>
      <c r="E426" s="239"/>
      <c r="F426" s="239"/>
      <c r="G426" s="239"/>
      <c r="H426" s="239"/>
    </row>
    <row r="427" spans="1:8" x14ac:dyDescent="0.3">
      <c r="A427"/>
      <c r="B427" s="239"/>
      <c r="C427" s="239"/>
      <c r="D427" s="239"/>
      <c r="E427" s="239"/>
      <c r="F427" s="239"/>
      <c r="G427" s="239"/>
      <c r="H427" s="239"/>
    </row>
    <row r="428" spans="1:8" x14ac:dyDescent="0.3">
      <c r="A428"/>
      <c r="B428" s="239"/>
      <c r="C428" s="239"/>
      <c r="D428" s="239"/>
      <c r="E428" s="239"/>
      <c r="F428" s="239"/>
      <c r="G428" s="239"/>
      <c r="H428" s="239"/>
    </row>
    <row r="429" spans="1:8" x14ac:dyDescent="0.3">
      <c r="A429"/>
      <c r="B429" s="239"/>
      <c r="C429" s="239"/>
      <c r="D429" s="239"/>
      <c r="E429" s="239"/>
      <c r="F429" s="239"/>
      <c r="G429" s="239"/>
      <c r="H429" s="239"/>
    </row>
    <row r="430" spans="1:8" x14ac:dyDescent="0.3">
      <c r="A430"/>
      <c r="B430" s="239"/>
      <c r="C430" s="239"/>
      <c r="D430" s="239"/>
      <c r="E430" s="239"/>
      <c r="F430" s="239"/>
      <c r="G430" s="239"/>
      <c r="H430" s="239"/>
    </row>
    <row r="431" spans="1:8" x14ac:dyDescent="0.3">
      <c r="A431"/>
      <c r="B431" s="239"/>
      <c r="C431" s="239"/>
      <c r="D431" s="239"/>
      <c r="E431" s="239"/>
      <c r="F431" s="239"/>
      <c r="G431" s="239"/>
      <c r="H431" s="239"/>
    </row>
    <row r="432" spans="1:8" x14ac:dyDescent="0.3">
      <c r="A432"/>
      <c r="B432" s="239"/>
      <c r="C432" s="239"/>
      <c r="D432" s="239"/>
      <c r="E432" s="239"/>
      <c r="F432" s="239"/>
      <c r="G432" s="239"/>
      <c r="H432" s="239"/>
    </row>
    <row r="433" spans="1:8" x14ac:dyDescent="0.3">
      <c r="A433"/>
      <c r="B433" s="239"/>
      <c r="C433" s="239"/>
      <c r="D433" s="239"/>
      <c r="E433" s="239"/>
      <c r="F433" s="239"/>
      <c r="G433" s="239"/>
      <c r="H433" s="239"/>
    </row>
    <row r="434" spans="1:8" x14ac:dyDescent="0.3">
      <c r="A434"/>
      <c r="B434" s="239"/>
      <c r="C434" s="239"/>
      <c r="D434" s="239"/>
      <c r="E434" s="239"/>
      <c r="F434" s="239"/>
      <c r="G434" s="239"/>
      <c r="H434" s="239"/>
    </row>
    <row r="435" spans="1:8" x14ac:dyDescent="0.3">
      <c r="A435"/>
      <c r="B435" s="239"/>
      <c r="C435" s="239"/>
      <c r="D435" s="239"/>
      <c r="E435" s="239"/>
      <c r="F435" s="239"/>
      <c r="G435" s="239"/>
      <c r="H435" s="239"/>
    </row>
    <row r="436" spans="1:8" x14ac:dyDescent="0.3">
      <c r="A436"/>
      <c r="B436" s="239"/>
      <c r="C436" s="239"/>
      <c r="D436" s="239"/>
      <c r="E436" s="239"/>
      <c r="F436" s="239"/>
      <c r="G436" s="239"/>
      <c r="H436" s="239"/>
    </row>
    <row r="437" spans="1:8" x14ac:dyDescent="0.3">
      <c r="A437"/>
      <c r="B437" s="239"/>
      <c r="C437" s="239"/>
      <c r="D437" s="239"/>
      <c r="E437" s="239"/>
      <c r="F437" s="239"/>
      <c r="G437" s="239"/>
      <c r="H437" s="239"/>
    </row>
    <row r="438" spans="1:8" x14ac:dyDescent="0.3">
      <c r="A438"/>
      <c r="B438" s="239"/>
      <c r="C438" s="239"/>
      <c r="D438" s="239"/>
      <c r="E438" s="239"/>
      <c r="F438" s="239"/>
      <c r="G438" s="239"/>
      <c r="H438" s="239"/>
    </row>
    <row r="439" spans="1:8" x14ac:dyDescent="0.3">
      <c r="A439"/>
      <c r="B439" s="239"/>
      <c r="C439" s="239"/>
      <c r="D439" s="239"/>
      <c r="E439" s="239"/>
      <c r="F439" s="239"/>
      <c r="G439" s="239"/>
      <c r="H439" s="239"/>
    </row>
    <row r="440" spans="1:8" x14ac:dyDescent="0.3">
      <c r="A440"/>
      <c r="B440" s="239"/>
      <c r="C440" s="239"/>
      <c r="D440" s="239"/>
      <c r="E440" s="239"/>
      <c r="F440" s="239"/>
      <c r="G440" s="239"/>
      <c r="H440" s="239"/>
    </row>
    <row r="441" spans="1:8" x14ac:dyDescent="0.3">
      <c r="A441"/>
      <c r="B441" s="239"/>
      <c r="C441" s="239"/>
      <c r="D441" s="239"/>
      <c r="E441" s="239"/>
      <c r="F441" s="239"/>
      <c r="G441" s="239"/>
      <c r="H441" s="239"/>
    </row>
    <row r="442" spans="1:8" x14ac:dyDescent="0.3">
      <c r="A442"/>
      <c r="B442" s="239"/>
      <c r="C442" s="239"/>
      <c r="D442" s="239"/>
      <c r="E442" s="239"/>
      <c r="F442" s="239"/>
      <c r="G442" s="239"/>
      <c r="H442" s="239"/>
    </row>
    <row r="443" spans="1:8" x14ac:dyDescent="0.3">
      <c r="A443"/>
      <c r="B443" s="239"/>
      <c r="C443" s="239"/>
      <c r="D443" s="239"/>
      <c r="E443" s="239"/>
      <c r="F443" s="239"/>
      <c r="G443" s="239"/>
      <c r="H443" s="239"/>
    </row>
    <row r="444" spans="1:8" x14ac:dyDescent="0.3">
      <c r="A444"/>
      <c r="B444" s="239"/>
      <c r="C444" s="239"/>
      <c r="D444" s="239"/>
      <c r="E444" s="239"/>
      <c r="F444" s="239"/>
      <c r="G444" s="239"/>
      <c r="H444" s="239"/>
    </row>
    <row r="445" spans="1:8" x14ac:dyDescent="0.3">
      <c r="A445"/>
      <c r="B445" s="239"/>
      <c r="C445" s="239"/>
      <c r="D445" s="239"/>
      <c r="E445" s="239"/>
      <c r="F445" s="239"/>
      <c r="G445" s="239"/>
      <c r="H445" s="239"/>
    </row>
    <row r="446" spans="1:8" x14ac:dyDescent="0.3">
      <c r="A446"/>
      <c r="B446" s="239"/>
      <c r="C446" s="239"/>
      <c r="D446" s="239"/>
      <c r="E446" s="239"/>
      <c r="F446" s="239"/>
      <c r="G446" s="239"/>
      <c r="H446" s="239"/>
    </row>
    <row r="447" spans="1:8" x14ac:dyDescent="0.3">
      <c r="A447"/>
      <c r="B447" s="239"/>
      <c r="C447" s="239"/>
      <c r="D447" s="239"/>
      <c r="E447" s="239"/>
      <c r="F447" s="239"/>
      <c r="G447" s="239"/>
      <c r="H447" s="239"/>
    </row>
    <row r="448" spans="1:8" x14ac:dyDescent="0.3">
      <c r="A448"/>
      <c r="B448" s="239"/>
      <c r="C448" s="239"/>
      <c r="D448" s="239"/>
      <c r="E448" s="239"/>
      <c r="F448" s="239"/>
      <c r="G448" s="239"/>
      <c r="H448" s="239"/>
    </row>
    <row r="449" spans="1:8" x14ac:dyDescent="0.3">
      <c r="A449"/>
      <c r="B449" s="239"/>
      <c r="C449" s="239"/>
      <c r="D449" s="239"/>
      <c r="E449" s="239"/>
      <c r="F449" s="239"/>
      <c r="G449" s="239"/>
      <c r="H449" s="239"/>
    </row>
    <row r="450" spans="1:8" x14ac:dyDescent="0.3">
      <c r="A450"/>
      <c r="B450" s="239"/>
      <c r="C450" s="239"/>
      <c r="D450" s="239"/>
      <c r="E450" s="239"/>
      <c r="F450" s="239"/>
      <c r="G450" s="239"/>
      <c r="H450" s="239"/>
    </row>
    <row r="451" spans="1:8" x14ac:dyDescent="0.3">
      <c r="A451"/>
      <c r="B451" s="239"/>
      <c r="C451" s="239"/>
      <c r="D451" s="239"/>
      <c r="E451" s="239"/>
      <c r="F451" s="239"/>
      <c r="G451" s="239"/>
      <c r="H451" s="239"/>
    </row>
    <row r="452" spans="1:8" x14ac:dyDescent="0.3">
      <c r="A452"/>
      <c r="B452" s="239"/>
      <c r="C452" s="239"/>
      <c r="D452" s="239"/>
      <c r="E452" s="239"/>
      <c r="F452" s="239"/>
      <c r="G452" s="239"/>
      <c r="H452" s="239"/>
    </row>
    <row r="453" spans="1:8" x14ac:dyDescent="0.3">
      <c r="A453"/>
      <c r="B453" s="239"/>
      <c r="C453" s="239"/>
      <c r="D453" s="239"/>
      <c r="E453" s="239"/>
      <c r="F453" s="239"/>
      <c r="G453" s="239"/>
      <c r="H453" s="239"/>
    </row>
    <row r="454" spans="1:8" x14ac:dyDescent="0.3">
      <c r="A454"/>
      <c r="B454" s="239"/>
      <c r="C454" s="239"/>
      <c r="D454" s="239"/>
      <c r="E454" s="239"/>
      <c r="F454" s="239"/>
      <c r="G454" s="239"/>
      <c r="H454" s="239"/>
    </row>
    <row r="455" spans="1:8" x14ac:dyDescent="0.3">
      <c r="A455"/>
      <c r="B455" s="239"/>
      <c r="C455" s="239"/>
      <c r="D455" s="239"/>
      <c r="E455" s="239"/>
      <c r="F455" s="239"/>
      <c r="G455" s="239"/>
      <c r="H455" s="239"/>
    </row>
    <row r="456" spans="1:8" x14ac:dyDescent="0.3">
      <c r="A456"/>
      <c r="B456" s="239"/>
      <c r="C456" s="239"/>
      <c r="D456" s="239"/>
      <c r="E456" s="239"/>
      <c r="F456" s="239"/>
      <c r="G456" s="239"/>
      <c r="H456" s="239"/>
    </row>
    <row r="457" spans="1:8" x14ac:dyDescent="0.3">
      <c r="A457"/>
      <c r="B457" s="239"/>
      <c r="C457" s="239"/>
      <c r="D457" s="239"/>
      <c r="E457" s="239"/>
      <c r="F457" s="239"/>
      <c r="G457" s="239"/>
      <c r="H457" s="239"/>
    </row>
    <row r="458" spans="1:8" x14ac:dyDescent="0.3">
      <c r="A458"/>
      <c r="B458" s="239"/>
      <c r="C458" s="239"/>
      <c r="D458" s="239"/>
      <c r="E458" s="239"/>
      <c r="F458" s="239"/>
      <c r="G458" s="239"/>
      <c r="H458" s="239"/>
    </row>
    <row r="459" spans="1:8" x14ac:dyDescent="0.3">
      <c r="A459"/>
      <c r="B459" s="239"/>
      <c r="C459" s="239"/>
      <c r="D459" s="239"/>
      <c r="E459" s="239"/>
      <c r="F459" s="239"/>
      <c r="G459" s="239"/>
      <c r="H459" s="239"/>
    </row>
    <row r="460" spans="1:8" x14ac:dyDescent="0.3">
      <c r="A460"/>
      <c r="B460" s="239"/>
      <c r="C460" s="239"/>
      <c r="D460" s="239"/>
      <c r="E460" s="239"/>
      <c r="F460" s="239"/>
      <c r="G460" s="239"/>
      <c r="H460" s="239"/>
    </row>
    <row r="461" spans="1:8" x14ac:dyDescent="0.3">
      <c r="A461"/>
      <c r="B461" s="239"/>
      <c r="C461" s="239"/>
      <c r="D461" s="239"/>
      <c r="E461" s="239"/>
      <c r="F461" s="239"/>
      <c r="G461" s="239"/>
      <c r="H461" s="239"/>
    </row>
    <row r="462" spans="1:8" x14ac:dyDescent="0.3">
      <c r="A462"/>
      <c r="B462" s="239"/>
      <c r="C462" s="239"/>
      <c r="D462" s="239"/>
      <c r="E462" s="239"/>
      <c r="F462" s="239"/>
      <c r="G462" s="239"/>
      <c r="H462" s="239"/>
    </row>
    <row r="463" spans="1:8" x14ac:dyDescent="0.3">
      <c r="A463"/>
      <c r="B463" s="239"/>
      <c r="C463" s="239"/>
      <c r="D463" s="239"/>
      <c r="E463" s="239"/>
      <c r="F463" s="239"/>
      <c r="G463" s="239"/>
      <c r="H463" s="239"/>
    </row>
    <row r="464" spans="1:8" x14ac:dyDescent="0.3">
      <c r="A464"/>
      <c r="B464" s="239"/>
      <c r="C464" s="239"/>
      <c r="D464" s="239"/>
      <c r="E464" s="239"/>
      <c r="F464" s="239"/>
      <c r="G464" s="239"/>
      <c r="H464" s="239"/>
    </row>
    <row r="465" spans="1:8" x14ac:dyDescent="0.3">
      <c r="A465"/>
      <c r="B465" s="239"/>
      <c r="C465" s="239"/>
      <c r="D465" s="239"/>
      <c r="E465" s="239"/>
      <c r="F465" s="239"/>
      <c r="G465" s="239"/>
      <c r="H465" s="239"/>
    </row>
    <row r="466" spans="1:8" x14ac:dyDescent="0.3">
      <c r="A466"/>
      <c r="B466" s="239"/>
      <c r="C466" s="239"/>
      <c r="D466" s="239"/>
      <c r="E466" s="239"/>
      <c r="F466" s="239"/>
      <c r="G466" s="239"/>
      <c r="H466" s="239"/>
    </row>
    <row r="467" spans="1:8" x14ac:dyDescent="0.3">
      <c r="A467"/>
      <c r="B467" s="239"/>
      <c r="C467" s="239"/>
      <c r="D467" s="239"/>
      <c r="E467" s="239"/>
      <c r="F467" s="239"/>
      <c r="G467" s="239"/>
      <c r="H467" s="239"/>
    </row>
    <row r="468" spans="1:8" x14ac:dyDescent="0.3">
      <c r="A468"/>
      <c r="B468" s="239"/>
      <c r="C468" s="239"/>
      <c r="D468" s="239"/>
      <c r="E468" s="239"/>
      <c r="F468" s="239"/>
      <c r="G468" s="239"/>
      <c r="H468" s="239"/>
    </row>
    <row r="469" spans="1:8" x14ac:dyDescent="0.3">
      <c r="A469"/>
      <c r="B469" s="239"/>
      <c r="C469" s="239"/>
      <c r="D469" s="239"/>
      <c r="E469" s="239"/>
      <c r="F469" s="239"/>
      <c r="G469" s="239"/>
      <c r="H469" s="239"/>
    </row>
    <row r="470" spans="1:8" x14ac:dyDescent="0.3">
      <c r="A470"/>
      <c r="B470" s="239"/>
      <c r="C470" s="239"/>
      <c r="D470" s="239"/>
      <c r="E470" s="239"/>
      <c r="F470" s="239"/>
      <c r="G470" s="239"/>
      <c r="H470" s="239"/>
    </row>
    <row r="471" spans="1:8" x14ac:dyDescent="0.3">
      <c r="A471"/>
      <c r="B471" s="239"/>
      <c r="C471" s="239"/>
      <c r="D471" s="239"/>
      <c r="E471" s="239"/>
      <c r="F471" s="239"/>
      <c r="G471" s="239"/>
      <c r="H471" s="239"/>
    </row>
    <row r="472" spans="1:8" x14ac:dyDescent="0.3">
      <c r="A472"/>
      <c r="B472" s="239"/>
      <c r="C472" s="239"/>
      <c r="D472" s="239"/>
      <c r="E472" s="239"/>
      <c r="F472" s="239"/>
      <c r="G472" s="239"/>
      <c r="H472" s="239"/>
    </row>
    <row r="473" spans="1:8" x14ac:dyDescent="0.3">
      <c r="A473"/>
      <c r="B473" s="239"/>
      <c r="C473" s="239"/>
      <c r="D473" s="239"/>
      <c r="E473" s="239"/>
      <c r="F473" s="239"/>
      <c r="G473" s="239"/>
      <c r="H473" s="239"/>
    </row>
    <row r="474" spans="1:8" x14ac:dyDescent="0.3">
      <c r="A474"/>
      <c r="B474" s="239"/>
      <c r="C474" s="239"/>
      <c r="D474" s="239"/>
      <c r="E474" s="239"/>
      <c r="F474" s="239"/>
      <c r="G474" s="239"/>
      <c r="H474" s="239"/>
    </row>
    <row r="475" spans="1:8" x14ac:dyDescent="0.3">
      <c r="A475"/>
      <c r="B475" s="239"/>
      <c r="C475" s="239"/>
      <c r="D475" s="239"/>
      <c r="E475" s="239"/>
      <c r="F475" s="239"/>
      <c r="G475" s="239"/>
      <c r="H475" s="239"/>
    </row>
    <row r="476" spans="1:8" x14ac:dyDescent="0.3">
      <c r="A476"/>
      <c r="B476" s="239"/>
      <c r="C476" s="239"/>
      <c r="D476" s="239"/>
      <c r="E476" s="239"/>
      <c r="F476" s="239"/>
      <c r="G476" s="239"/>
      <c r="H476" s="239"/>
    </row>
    <row r="477" spans="1:8" x14ac:dyDescent="0.3">
      <c r="A477"/>
      <c r="B477" s="239"/>
      <c r="C477" s="239"/>
      <c r="D477" s="239"/>
      <c r="E477" s="239"/>
      <c r="F477" s="239"/>
      <c r="G477" s="239"/>
      <c r="H477" s="239"/>
    </row>
    <row r="478" spans="1:8" x14ac:dyDescent="0.3">
      <c r="A478"/>
      <c r="B478" s="239"/>
      <c r="C478" s="239"/>
      <c r="D478" s="239"/>
      <c r="E478" s="239"/>
      <c r="F478" s="239"/>
      <c r="G478" s="239"/>
      <c r="H478" s="239"/>
    </row>
    <row r="479" spans="1:8" x14ac:dyDescent="0.3">
      <c r="A479"/>
      <c r="B479" s="239"/>
      <c r="C479" s="239"/>
      <c r="D479" s="239"/>
      <c r="E479" s="239"/>
      <c r="F479" s="239"/>
      <c r="G479" s="239"/>
      <c r="H479" s="239"/>
    </row>
    <row r="480" spans="1:8" x14ac:dyDescent="0.3">
      <c r="A480"/>
      <c r="B480" s="239"/>
      <c r="C480" s="239"/>
      <c r="D480" s="239"/>
      <c r="E480" s="239"/>
      <c r="F480" s="239"/>
      <c r="G480" s="239"/>
      <c r="H480" s="239"/>
    </row>
    <row r="481" spans="1:8" x14ac:dyDescent="0.3">
      <c r="A481"/>
      <c r="B481" s="239"/>
      <c r="C481" s="239"/>
      <c r="D481" s="239"/>
      <c r="E481" s="239"/>
      <c r="F481" s="239"/>
      <c r="G481" s="239"/>
      <c r="H481" s="239"/>
    </row>
    <row r="482" spans="1:8" x14ac:dyDescent="0.3">
      <c r="A482"/>
      <c r="B482" s="239"/>
      <c r="C482" s="239"/>
      <c r="D482" s="239"/>
      <c r="E482" s="239"/>
      <c r="F482" s="239"/>
      <c r="G482" s="239"/>
      <c r="H482" s="239"/>
    </row>
    <row r="483" spans="1:8" x14ac:dyDescent="0.3">
      <c r="A483"/>
      <c r="B483" s="239"/>
      <c r="C483" s="239"/>
      <c r="D483" s="239"/>
      <c r="E483" s="239"/>
      <c r="F483" s="239"/>
      <c r="G483" s="239"/>
      <c r="H483" s="239"/>
    </row>
    <row r="484" spans="1:8" x14ac:dyDescent="0.3">
      <c r="A484"/>
      <c r="B484" s="239"/>
      <c r="C484" s="239"/>
      <c r="D484" s="239"/>
      <c r="E484" s="239"/>
      <c r="F484" s="239"/>
      <c r="G484" s="239"/>
      <c r="H484" s="239"/>
    </row>
    <row r="485" spans="1:8" x14ac:dyDescent="0.3">
      <c r="A485"/>
      <c r="B485" s="239"/>
      <c r="C485" s="239"/>
      <c r="D485" s="239"/>
      <c r="E485" s="239"/>
      <c r="F485" s="239"/>
      <c r="G485" s="239"/>
      <c r="H485" s="239"/>
    </row>
    <row r="486" spans="1:8" x14ac:dyDescent="0.3">
      <c r="A486"/>
      <c r="B486" s="239"/>
      <c r="C486" s="239"/>
      <c r="D486" s="239"/>
      <c r="E486" s="239"/>
      <c r="F486" s="239"/>
      <c r="G486" s="239"/>
      <c r="H486" s="239"/>
    </row>
    <row r="487" spans="1:8" x14ac:dyDescent="0.3">
      <c r="A487"/>
      <c r="B487" s="239"/>
      <c r="C487" s="239"/>
      <c r="D487" s="239"/>
      <c r="E487" s="239"/>
      <c r="F487" s="239"/>
      <c r="G487" s="239"/>
      <c r="H487" s="239"/>
    </row>
    <row r="488" spans="1:8" x14ac:dyDescent="0.3">
      <c r="A488"/>
      <c r="B488" s="239"/>
      <c r="C488" s="239"/>
      <c r="D488" s="239"/>
      <c r="E488" s="239"/>
      <c r="F488" s="239"/>
      <c r="G488" s="239"/>
      <c r="H488" s="239"/>
    </row>
    <row r="489" spans="1:8" x14ac:dyDescent="0.3">
      <c r="A489"/>
      <c r="B489" s="239"/>
      <c r="C489" s="239"/>
      <c r="D489" s="239"/>
      <c r="E489" s="239"/>
      <c r="F489" s="239"/>
      <c r="G489" s="239"/>
      <c r="H489" s="239"/>
    </row>
    <row r="490" spans="1:8" x14ac:dyDescent="0.3">
      <c r="A490"/>
      <c r="B490" s="239"/>
      <c r="C490" s="239"/>
      <c r="D490" s="239"/>
      <c r="E490" s="239"/>
      <c r="F490" s="239"/>
      <c r="G490" s="239"/>
      <c r="H490" s="239"/>
    </row>
    <row r="491" spans="1:8" x14ac:dyDescent="0.3">
      <c r="A491"/>
      <c r="B491" s="239"/>
      <c r="C491" s="239"/>
      <c r="D491" s="239"/>
      <c r="E491" s="239"/>
      <c r="F491" s="239"/>
      <c r="G491" s="239"/>
      <c r="H491" s="239"/>
    </row>
    <row r="492" spans="1:8" x14ac:dyDescent="0.3">
      <c r="A492"/>
      <c r="B492" s="239"/>
      <c r="C492" s="239"/>
      <c r="D492" s="239"/>
      <c r="E492" s="239"/>
      <c r="F492" s="239"/>
      <c r="G492" s="239"/>
      <c r="H492" s="239"/>
    </row>
    <row r="493" spans="1:8" x14ac:dyDescent="0.3">
      <c r="A493"/>
      <c r="B493" s="239"/>
      <c r="C493" s="239"/>
      <c r="D493" s="239"/>
      <c r="E493" s="239"/>
      <c r="F493" s="239"/>
      <c r="G493" s="239"/>
      <c r="H493" s="239"/>
    </row>
    <row r="494" spans="1:8" x14ac:dyDescent="0.3">
      <c r="A494"/>
      <c r="B494" s="239"/>
      <c r="C494" s="239"/>
      <c r="D494" s="239"/>
      <c r="E494" s="239"/>
      <c r="F494" s="239"/>
      <c r="G494" s="239"/>
      <c r="H494" s="239"/>
    </row>
    <row r="495" spans="1:8" x14ac:dyDescent="0.3">
      <c r="A495"/>
      <c r="B495" s="239"/>
      <c r="C495" s="239"/>
      <c r="D495" s="239"/>
      <c r="E495" s="239"/>
      <c r="F495" s="239"/>
      <c r="G495" s="239"/>
      <c r="H495" s="239"/>
    </row>
    <row r="496" spans="1:8" x14ac:dyDescent="0.3">
      <c r="A496"/>
      <c r="B496" s="239"/>
      <c r="C496" s="239"/>
      <c r="D496" s="239"/>
      <c r="E496" s="239"/>
      <c r="F496" s="239"/>
      <c r="G496" s="239"/>
      <c r="H496" s="239"/>
    </row>
    <row r="497" spans="1:8" x14ac:dyDescent="0.3">
      <c r="A497"/>
      <c r="B497" s="239"/>
      <c r="C497" s="239"/>
      <c r="D497" s="239"/>
      <c r="E497" s="239"/>
      <c r="F497" s="239"/>
      <c r="G497" s="239"/>
      <c r="H497" s="239"/>
    </row>
    <row r="498" spans="1:8" x14ac:dyDescent="0.3">
      <c r="A498"/>
      <c r="B498" s="239"/>
      <c r="C498" s="239"/>
      <c r="D498" s="239"/>
      <c r="E498" s="239"/>
      <c r="F498" s="239"/>
      <c r="G498" s="239"/>
      <c r="H498" s="239"/>
    </row>
    <row r="499" spans="1:8" x14ac:dyDescent="0.3">
      <c r="A499"/>
      <c r="B499" s="239"/>
      <c r="C499" s="239"/>
      <c r="D499" s="239"/>
      <c r="E499" s="239"/>
      <c r="F499" s="239"/>
      <c r="G499" s="239"/>
      <c r="H499" s="239"/>
    </row>
    <row r="500" spans="1:8" x14ac:dyDescent="0.3">
      <c r="A500"/>
      <c r="B500" s="239"/>
      <c r="C500" s="239"/>
      <c r="D500" s="239"/>
      <c r="E500" s="239"/>
      <c r="F500" s="239"/>
      <c r="G500" s="239"/>
      <c r="H500" s="239"/>
    </row>
    <row r="501" spans="1:8" x14ac:dyDescent="0.3">
      <c r="A501"/>
      <c r="B501" s="239"/>
      <c r="C501" s="239"/>
      <c r="D501" s="239"/>
      <c r="E501" s="239"/>
      <c r="F501" s="239"/>
      <c r="G501" s="239"/>
      <c r="H501" s="239"/>
    </row>
    <row r="502" spans="1:8" x14ac:dyDescent="0.3">
      <c r="A502"/>
      <c r="B502" s="239"/>
      <c r="C502" s="239"/>
      <c r="D502" s="239"/>
      <c r="E502" s="239"/>
      <c r="F502" s="239"/>
      <c r="G502" s="239"/>
      <c r="H502" s="239"/>
    </row>
    <row r="503" spans="1:8" x14ac:dyDescent="0.3">
      <c r="A503"/>
      <c r="B503" s="239"/>
      <c r="C503" s="239"/>
      <c r="D503" s="239"/>
      <c r="E503" s="239"/>
      <c r="F503" s="239"/>
      <c r="G503" s="239"/>
      <c r="H503" s="239"/>
    </row>
    <row r="504" spans="1:8" x14ac:dyDescent="0.3">
      <c r="A504"/>
      <c r="B504" s="239"/>
      <c r="C504" s="239"/>
      <c r="D504" s="239"/>
      <c r="E504" s="239"/>
      <c r="F504" s="239"/>
      <c r="G504" s="239"/>
      <c r="H504" s="239"/>
    </row>
    <row r="505" spans="1:8" x14ac:dyDescent="0.3">
      <c r="A505"/>
      <c r="B505" s="239"/>
      <c r="C505" s="239"/>
      <c r="D505" s="239"/>
      <c r="E505" s="239"/>
      <c r="F505" s="239"/>
      <c r="G505" s="239"/>
      <c r="H505" s="239"/>
    </row>
    <row r="506" spans="1:8" x14ac:dyDescent="0.3">
      <c r="A506"/>
      <c r="B506" s="239"/>
      <c r="C506" s="239"/>
      <c r="D506" s="239"/>
      <c r="E506" s="239"/>
      <c r="F506" s="239"/>
      <c r="G506" s="239"/>
      <c r="H506" s="239"/>
    </row>
    <row r="507" spans="1:8" x14ac:dyDescent="0.3">
      <c r="A507"/>
      <c r="B507" s="239"/>
      <c r="C507" s="239"/>
      <c r="D507" s="239"/>
      <c r="E507" s="239"/>
      <c r="F507" s="239"/>
      <c r="G507" s="239"/>
      <c r="H507" s="239"/>
    </row>
    <row r="508" spans="1:8" x14ac:dyDescent="0.3">
      <c r="A508"/>
      <c r="B508" s="239"/>
      <c r="C508" s="239"/>
      <c r="D508" s="239"/>
      <c r="E508" s="239"/>
      <c r="F508" s="239"/>
      <c r="G508" s="239"/>
      <c r="H508" s="239"/>
    </row>
    <row r="509" spans="1:8" x14ac:dyDescent="0.3">
      <c r="A509"/>
      <c r="B509" s="239"/>
      <c r="C509" s="239"/>
      <c r="D509" s="239"/>
      <c r="E509" s="239"/>
      <c r="F509" s="239"/>
      <c r="G509" s="239"/>
      <c r="H509" s="239"/>
    </row>
    <row r="510" spans="1:8" x14ac:dyDescent="0.3">
      <c r="A510"/>
      <c r="B510" s="239"/>
      <c r="C510" s="239"/>
      <c r="D510" s="239"/>
      <c r="E510" s="239"/>
      <c r="F510" s="239"/>
      <c r="G510" s="239"/>
      <c r="H510" s="239"/>
    </row>
    <row r="511" spans="1:8" x14ac:dyDescent="0.3">
      <c r="A511"/>
      <c r="B511" s="239"/>
      <c r="C511" s="239"/>
      <c r="D511" s="239"/>
      <c r="E511" s="239"/>
      <c r="F511" s="239"/>
      <c r="G511" s="239"/>
      <c r="H511" s="239"/>
    </row>
    <row r="512" spans="1:8" x14ac:dyDescent="0.3">
      <c r="A512"/>
      <c r="B512" s="239"/>
      <c r="C512" s="239"/>
      <c r="D512" s="239"/>
      <c r="E512" s="239"/>
      <c r="F512" s="239"/>
      <c r="G512" s="239"/>
      <c r="H512" s="239"/>
    </row>
    <row r="513" spans="1:8" x14ac:dyDescent="0.3">
      <c r="A513"/>
      <c r="B513" s="239"/>
      <c r="C513" s="239"/>
      <c r="D513" s="239"/>
      <c r="E513" s="239"/>
      <c r="F513" s="239"/>
      <c r="G513" s="239"/>
      <c r="H513" s="239"/>
    </row>
    <row r="514" spans="1:8" x14ac:dyDescent="0.3">
      <c r="A514"/>
      <c r="B514" s="239"/>
      <c r="C514" s="239"/>
      <c r="D514" s="239"/>
      <c r="E514" s="239"/>
      <c r="F514" s="239"/>
      <c r="G514" s="239"/>
      <c r="H514" s="239"/>
    </row>
    <row r="515" spans="1:8" x14ac:dyDescent="0.3">
      <c r="A515"/>
      <c r="B515" s="239"/>
      <c r="C515" s="239"/>
      <c r="D515" s="239"/>
      <c r="E515" s="239"/>
      <c r="F515" s="239"/>
      <c r="G515" s="239"/>
      <c r="H515" s="239"/>
    </row>
    <row r="516" spans="1:8" x14ac:dyDescent="0.3">
      <c r="A516"/>
      <c r="B516" s="239"/>
      <c r="C516" s="239"/>
      <c r="D516" s="239"/>
      <c r="E516" s="239"/>
      <c r="F516" s="239"/>
      <c r="G516" s="239"/>
      <c r="H516" s="239"/>
    </row>
    <row r="517" spans="1:8" x14ac:dyDescent="0.3">
      <c r="A517"/>
      <c r="B517" s="239"/>
      <c r="C517" s="239"/>
      <c r="D517" s="239"/>
      <c r="E517" s="239"/>
      <c r="F517" s="239"/>
      <c r="G517" s="239"/>
      <c r="H517" s="239"/>
    </row>
    <row r="518" spans="1:8" x14ac:dyDescent="0.3">
      <c r="A518"/>
      <c r="B518" s="239"/>
      <c r="C518" s="239"/>
      <c r="D518" s="239"/>
      <c r="E518" s="239"/>
      <c r="F518" s="239"/>
      <c r="G518" s="239"/>
      <c r="H518" s="239"/>
    </row>
    <row r="519" spans="1:8" x14ac:dyDescent="0.3">
      <c r="A519"/>
      <c r="B519" s="239"/>
      <c r="C519" s="239"/>
      <c r="D519" s="239"/>
      <c r="E519" s="239"/>
      <c r="F519" s="239"/>
      <c r="G519" s="239"/>
      <c r="H519" s="239"/>
    </row>
    <row r="520" spans="1:8" x14ac:dyDescent="0.3">
      <c r="A520"/>
      <c r="B520" s="239"/>
      <c r="C520" s="239"/>
      <c r="D520" s="239"/>
      <c r="E520" s="239"/>
      <c r="F520" s="239"/>
      <c r="G520" s="239"/>
      <c r="H520" s="239"/>
    </row>
    <row r="521" spans="1:8" x14ac:dyDescent="0.3">
      <c r="A521"/>
      <c r="B521" s="239"/>
      <c r="C521" s="239"/>
      <c r="D521" s="239"/>
      <c r="E521" s="239"/>
      <c r="F521" s="239"/>
      <c r="G521" s="239"/>
      <c r="H521" s="239"/>
    </row>
    <row r="522" spans="1:8" x14ac:dyDescent="0.3">
      <c r="A522"/>
      <c r="B522" s="239"/>
      <c r="C522" s="239"/>
      <c r="D522" s="239"/>
      <c r="E522" s="239"/>
      <c r="F522" s="239"/>
      <c r="G522" s="239"/>
      <c r="H522" s="239"/>
    </row>
    <row r="523" spans="1:8" x14ac:dyDescent="0.3">
      <c r="A523"/>
      <c r="B523" s="239"/>
      <c r="C523" s="239"/>
      <c r="D523" s="239"/>
      <c r="E523" s="239"/>
      <c r="F523" s="239"/>
      <c r="G523" s="239"/>
      <c r="H523" s="239"/>
    </row>
    <row r="524" spans="1:8" x14ac:dyDescent="0.3">
      <c r="A524"/>
      <c r="B524" s="239"/>
      <c r="C524" s="239"/>
      <c r="D524" s="239"/>
      <c r="E524" s="239"/>
      <c r="F524" s="239"/>
      <c r="G524" s="239"/>
      <c r="H524" s="239"/>
    </row>
    <row r="525" spans="1:8" x14ac:dyDescent="0.3">
      <c r="A525"/>
      <c r="B525" s="239"/>
      <c r="C525" s="239"/>
      <c r="D525" s="239"/>
      <c r="E525" s="239"/>
      <c r="F525" s="239"/>
      <c r="G525" s="239"/>
      <c r="H525" s="239"/>
    </row>
    <row r="526" spans="1:8" x14ac:dyDescent="0.3">
      <c r="A526"/>
      <c r="B526" s="239"/>
      <c r="C526" s="239"/>
      <c r="D526" s="239"/>
      <c r="E526" s="239"/>
      <c r="F526" s="239"/>
      <c r="G526" s="239"/>
      <c r="H526" s="239"/>
    </row>
    <row r="527" spans="1:8" x14ac:dyDescent="0.3">
      <c r="A527"/>
      <c r="B527" s="239"/>
      <c r="C527" s="239"/>
      <c r="D527" s="239"/>
      <c r="E527" s="239"/>
      <c r="F527" s="239"/>
      <c r="G527" s="239"/>
      <c r="H527" s="239"/>
    </row>
    <row r="528" spans="1:8" x14ac:dyDescent="0.3">
      <c r="A528"/>
      <c r="B528" s="239"/>
      <c r="C528" s="239"/>
      <c r="D528" s="239"/>
      <c r="E528" s="239"/>
      <c r="F528" s="239"/>
      <c r="G528" s="239"/>
      <c r="H528" s="239"/>
    </row>
    <row r="529" spans="1:8" x14ac:dyDescent="0.3">
      <c r="A529"/>
      <c r="B529" s="239"/>
      <c r="C529" s="239"/>
      <c r="D529" s="239"/>
      <c r="E529" s="239"/>
      <c r="F529" s="239"/>
      <c r="G529" s="239"/>
      <c r="H529" s="239"/>
    </row>
    <row r="530" spans="1:8" x14ac:dyDescent="0.3">
      <c r="A530"/>
      <c r="B530" s="239"/>
      <c r="C530" s="239"/>
      <c r="D530" s="239"/>
      <c r="E530" s="239"/>
      <c r="F530" s="239"/>
      <c r="G530" s="239"/>
      <c r="H530" s="239"/>
    </row>
    <row r="531" spans="1:8" x14ac:dyDescent="0.3">
      <c r="A531"/>
      <c r="B531" s="239"/>
      <c r="C531" s="239"/>
      <c r="D531" s="239"/>
      <c r="E531" s="239"/>
      <c r="F531" s="239"/>
      <c r="G531" s="239"/>
      <c r="H531" s="239"/>
    </row>
    <row r="532" spans="1:8" x14ac:dyDescent="0.3">
      <c r="A532"/>
      <c r="B532" s="239"/>
      <c r="C532" s="239"/>
      <c r="D532" s="239"/>
      <c r="E532" s="239"/>
      <c r="F532" s="239"/>
      <c r="G532" s="239"/>
      <c r="H532" s="239"/>
    </row>
    <row r="533" spans="1:8" x14ac:dyDescent="0.3">
      <c r="A533"/>
      <c r="B533" s="239"/>
      <c r="C533" s="239"/>
      <c r="D533" s="239"/>
      <c r="E533" s="239"/>
      <c r="F533" s="239"/>
      <c r="G533" s="239"/>
      <c r="H533" s="239"/>
    </row>
    <row r="534" spans="1:8" x14ac:dyDescent="0.3">
      <c r="A534"/>
      <c r="B534" s="239"/>
      <c r="C534" s="239"/>
      <c r="D534" s="239"/>
      <c r="E534" s="239"/>
      <c r="F534" s="239"/>
      <c r="G534" s="239"/>
      <c r="H534" s="239"/>
    </row>
    <row r="535" spans="1:8" x14ac:dyDescent="0.3">
      <c r="A535"/>
      <c r="B535" s="239"/>
      <c r="C535" s="239"/>
      <c r="D535" s="239"/>
      <c r="E535" s="239"/>
      <c r="F535" s="239"/>
      <c r="G535" s="239"/>
      <c r="H535" s="239"/>
    </row>
    <row r="536" spans="1:8" x14ac:dyDescent="0.3">
      <c r="A536"/>
      <c r="B536" s="239"/>
      <c r="C536" s="239"/>
      <c r="D536" s="239"/>
      <c r="E536" s="239"/>
      <c r="F536" s="239"/>
      <c r="G536" s="239"/>
      <c r="H536" s="239"/>
    </row>
    <row r="537" spans="1:8" x14ac:dyDescent="0.3">
      <c r="A537"/>
      <c r="B537" s="239"/>
      <c r="C537" s="239"/>
      <c r="D537" s="239"/>
      <c r="E537" s="239"/>
      <c r="F537" s="239"/>
      <c r="G537" s="239"/>
      <c r="H537" s="239"/>
    </row>
    <row r="538" spans="1:8" x14ac:dyDescent="0.3">
      <c r="A538"/>
      <c r="B538" s="239"/>
      <c r="C538" s="239"/>
      <c r="D538" s="239"/>
      <c r="E538" s="239"/>
      <c r="F538" s="239"/>
      <c r="G538" s="239"/>
      <c r="H538" s="239"/>
    </row>
    <row r="539" spans="1:8" x14ac:dyDescent="0.3">
      <c r="A539"/>
      <c r="B539" s="239"/>
      <c r="C539" s="239"/>
      <c r="D539" s="239"/>
      <c r="E539" s="239"/>
      <c r="F539" s="239"/>
      <c r="G539" s="239"/>
      <c r="H539" s="239"/>
    </row>
    <row r="540" spans="1:8" x14ac:dyDescent="0.3">
      <c r="A540"/>
      <c r="B540" s="239"/>
      <c r="C540" s="239"/>
      <c r="D540" s="239"/>
      <c r="E540" s="239"/>
      <c r="F540" s="239"/>
      <c r="G540" s="239"/>
      <c r="H540" s="239"/>
    </row>
    <row r="541" spans="1:8" x14ac:dyDescent="0.3">
      <c r="A541"/>
      <c r="B541" s="239"/>
      <c r="C541" s="239"/>
      <c r="D541" s="239"/>
      <c r="E541" s="239"/>
      <c r="F541" s="239"/>
      <c r="G541" s="239"/>
      <c r="H541" s="239"/>
    </row>
    <row r="542" spans="1:8" x14ac:dyDescent="0.3">
      <c r="A542"/>
      <c r="B542" s="239"/>
      <c r="C542" s="239"/>
      <c r="D542" s="239"/>
      <c r="E542" s="239"/>
      <c r="F542" s="239"/>
      <c r="G542" s="239"/>
      <c r="H542" s="239"/>
    </row>
    <row r="543" spans="1:8" x14ac:dyDescent="0.3">
      <c r="A543"/>
      <c r="B543" s="239"/>
      <c r="C543" s="239"/>
      <c r="D543" s="239"/>
      <c r="E543" s="239"/>
      <c r="F543" s="239"/>
      <c r="G543" s="239"/>
      <c r="H543" s="239"/>
    </row>
    <row r="544" spans="1:8" x14ac:dyDescent="0.3">
      <c r="A544"/>
      <c r="B544" s="239"/>
      <c r="C544" s="239"/>
      <c r="D544" s="239"/>
      <c r="E544" s="239"/>
      <c r="F544" s="239"/>
      <c r="G544" s="239"/>
      <c r="H544" s="239"/>
    </row>
    <row r="545" spans="1:8" x14ac:dyDescent="0.3">
      <c r="A545"/>
      <c r="B545" s="239"/>
      <c r="C545" s="239"/>
      <c r="D545" s="239"/>
      <c r="E545" s="239"/>
      <c r="F545" s="239"/>
      <c r="G545" s="239"/>
      <c r="H545" s="239"/>
    </row>
    <row r="546" spans="1:8" x14ac:dyDescent="0.3">
      <c r="A546"/>
      <c r="B546" s="239"/>
      <c r="C546" s="239"/>
      <c r="D546" s="239"/>
      <c r="E546" s="239"/>
      <c r="F546" s="239"/>
      <c r="G546" s="239"/>
      <c r="H546" s="239"/>
    </row>
    <row r="547" spans="1:8" x14ac:dyDescent="0.3">
      <c r="A547"/>
      <c r="B547" s="239"/>
      <c r="C547" s="239"/>
      <c r="D547" s="239"/>
      <c r="E547" s="239"/>
      <c r="F547" s="239"/>
      <c r="G547" s="239"/>
      <c r="H547" s="239"/>
    </row>
    <row r="548" spans="1:8" x14ac:dyDescent="0.3">
      <c r="A548"/>
      <c r="B548" s="239"/>
      <c r="C548" s="239"/>
      <c r="D548" s="239"/>
      <c r="E548" s="239"/>
      <c r="F548" s="239"/>
      <c r="G548" s="239"/>
      <c r="H548" s="239"/>
    </row>
    <row r="549" spans="1:8" x14ac:dyDescent="0.3">
      <c r="A549"/>
      <c r="B549" s="239"/>
      <c r="C549" s="239"/>
      <c r="D549" s="239"/>
      <c r="E549" s="239"/>
      <c r="F549" s="239"/>
      <c r="G549" s="239"/>
      <c r="H549" s="239"/>
    </row>
    <row r="550" spans="1:8" x14ac:dyDescent="0.3">
      <c r="A550"/>
      <c r="B550" s="239"/>
      <c r="C550" s="239"/>
      <c r="D550" s="239"/>
      <c r="E550" s="239"/>
      <c r="F550" s="239"/>
      <c r="G550" s="239"/>
      <c r="H550" s="239"/>
    </row>
    <row r="551" spans="1:8" x14ac:dyDescent="0.3">
      <c r="A551"/>
      <c r="B551" s="239"/>
      <c r="C551" s="239"/>
      <c r="D551" s="239"/>
      <c r="E551" s="239"/>
      <c r="F551" s="239"/>
      <c r="G551" s="239"/>
      <c r="H551" s="239"/>
    </row>
    <row r="552" spans="1:8" x14ac:dyDescent="0.3">
      <c r="A552"/>
      <c r="B552" s="239"/>
      <c r="C552" s="239"/>
      <c r="D552" s="239"/>
      <c r="E552" s="239"/>
      <c r="F552" s="239"/>
      <c r="G552" s="239"/>
      <c r="H552" s="239"/>
    </row>
    <row r="553" spans="1:8" x14ac:dyDescent="0.3">
      <c r="A553"/>
      <c r="B553" s="239"/>
      <c r="C553" s="239"/>
      <c r="D553" s="239"/>
      <c r="E553" s="239"/>
      <c r="F553" s="239"/>
      <c r="G553" s="239"/>
      <c r="H553" s="239"/>
    </row>
    <row r="554" spans="1:8" x14ac:dyDescent="0.3">
      <c r="A554"/>
      <c r="B554" s="239"/>
      <c r="C554" s="239"/>
      <c r="D554" s="239"/>
      <c r="E554" s="239"/>
      <c r="F554" s="239"/>
      <c r="G554" s="239"/>
      <c r="H554" s="239"/>
    </row>
    <row r="555" spans="1:8" x14ac:dyDescent="0.3">
      <c r="A555"/>
      <c r="B555" s="239"/>
      <c r="C555" s="239"/>
      <c r="D555" s="239"/>
      <c r="E555" s="239"/>
      <c r="F555" s="239"/>
      <c r="G555" s="239"/>
      <c r="H555" s="239"/>
    </row>
    <row r="556" spans="1:8" x14ac:dyDescent="0.3">
      <c r="A556"/>
      <c r="B556" s="239"/>
      <c r="C556" s="239"/>
      <c r="D556" s="239"/>
      <c r="E556" s="239"/>
      <c r="F556" s="239"/>
      <c r="G556" s="239"/>
      <c r="H556" s="239"/>
    </row>
    <row r="557" spans="1:8" x14ac:dyDescent="0.3">
      <c r="A557"/>
      <c r="B557" s="239"/>
      <c r="C557" s="239"/>
      <c r="D557" s="239"/>
      <c r="E557" s="239"/>
      <c r="F557" s="239"/>
      <c r="G557" s="239"/>
      <c r="H557" s="239"/>
    </row>
    <row r="558" spans="1:8" x14ac:dyDescent="0.3">
      <c r="A558"/>
      <c r="B558" s="239"/>
      <c r="C558" s="239"/>
      <c r="D558" s="239"/>
      <c r="E558" s="239"/>
      <c r="F558" s="239"/>
      <c r="G558" s="239"/>
      <c r="H558" s="239"/>
    </row>
    <row r="559" spans="1:8" x14ac:dyDescent="0.3">
      <c r="A559"/>
      <c r="B559" s="239"/>
      <c r="C559" s="239"/>
      <c r="D559" s="239"/>
      <c r="E559" s="239"/>
      <c r="F559" s="239"/>
      <c r="G559" s="239"/>
      <c r="H559" s="239"/>
    </row>
    <row r="560" spans="1:8" x14ac:dyDescent="0.3">
      <c r="A560"/>
      <c r="B560" s="239"/>
      <c r="C560" s="239"/>
      <c r="D560" s="239"/>
      <c r="E560" s="239"/>
      <c r="F560" s="239"/>
      <c r="G560" s="239"/>
      <c r="H560" s="239"/>
    </row>
    <row r="561" spans="1:8" x14ac:dyDescent="0.3">
      <c r="A561"/>
      <c r="B561" s="239"/>
      <c r="C561" s="239"/>
      <c r="D561" s="239"/>
      <c r="E561" s="239"/>
      <c r="F561" s="239"/>
      <c r="G561" s="239"/>
      <c r="H561" s="239"/>
    </row>
    <row r="562" spans="1:8" x14ac:dyDescent="0.3">
      <c r="A562"/>
      <c r="B562" s="239"/>
      <c r="C562" s="239"/>
      <c r="D562" s="239"/>
      <c r="E562" s="239"/>
      <c r="F562" s="239"/>
      <c r="G562" s="239"/>
      <c r="H562" s="239"/>
    </row>
    <row r="563" spans="1:8" x14ac:dyDescent="0.3">
      <c r="A563"/>
      <c r="B563" s="239"/>
      <c r="C563" s="239"/>
      <c r="D563" s="239"/>
      <c r="E563" s="239"/>
      <c r="F563" s="239"/>
      <c r="G563" s="239"/>
      <c r="H563" s="239"/>
    </row>
    <row r="564" spans="1:8" x14ac:dyDescent="0.3">
      <c r="A564"/>
      <c r="B564" s="239"/>
      <c r="C564" s="239"/>
      <c r="D564" s="239"/>
      <c r="E564" s="239"/>
      <c r="F564" s="239"/>
      <c r="G564" s="239"/>
      <c r="H564" s="239"/>
    </row>
    <row r="565" spans="1:8" x14ac:dyDescent="0.3">
      <c r="A565"/>
      <c r="B565" s="239"/>
      <c r="C565" s="239"/>
      <c r="D565" s="239"/>
      <c r="E565" s="239"/>
      <c r="F565" s="239"/>
      <c r="G565" s="239"/>
      <c r="H565" s="239"/>
    </row>
    <row r="566" spans="1:8" x14ac:dyDescent="0.3">
      <c r="A566"/>
      <c r="B566" s="239"/>
      <c r="C566" s="239"/>
      <c r="D566" s="239"/>
      <c r="E566" s="239"/>
      <c r="F566" s="239"/>
      <c r="G566" s="239"/>
      <c r="H566" s="239"/>
    </row>
    <row r="567" spans="1:8" x14ac:dyDescent="0.3">
      <c r="A567"/>
      <c r="B567" s="239"/>
      <c r="C567" s="239"/>
      <c r="D567" s="239"/>
      <c r="E567" s="239"/>
      <c r="F567" s="239"/>
      <c r="G567" s="239"/>
      <c r="H567" s="239"/>
    </row>
    <row r="568" spans="1:8" x14ac:dyDescent="0.3">
      <c r="A568"/>
      <c r="B568" s="239"/>
      <c r="C568" s="239"/>
      <c r="D568" s="239"/>
      <c r="E568" s="239"/>
      <c r="F568" s="239"/>
      <c r="G568" s="239"/>
      <c r="H568" s="239"/>
    </row>
    <row r="569" spans="1:8" x14ac:dyDescent="0.3">
      <c r="A569"/>
      <c r="B569" s="239"/>
      <c r="C569" s="239"/>
      <c r="D569" s="239"/>
      <c r="E569" s="239"/>
      <c r="F569" s="239"/>
      <c r="G569" s="239"/>
      <c r="H569" s="239"/>
    </row>
    <row r="570" spans="1:8" x14ac:dyDescent="0.3">
      <c r="A570"/>
      <c r="B570" s="239"/>
      <c r="C570" s="239"/>
      <c r="D570" s="239"/>
      <c r="E570" s="239"/>
      <c r="F570" s="239"/>
      <c r="G570" s="239"/>
      <c r="H570" s="239"/>
    </row>
    <row r="571" spans="1:8" x14ac:dyDescent="0.3">
      <c r="A571"/>
      <c r="B571" s="239"/>
      <c r="C571" s="239"/>
      <c r="D571" s="239"/>
      <c r="E571" s="239"/>
      <c r="F571" s="239"/>
      <c r="G571" s="239"/>
      <c r="H571" s="239"/>
    </row>
    <row r="572" spans="1:8" x14ac:dyDescent="0.3">
      <c r="A572"/>
      <c r="B572" s="239"/>
      <c r="C572" s="239"/>
      <c r="D572" s="239"/>
      <c r="E572" s="239"/>
      <c r="F572" s="239"/>
      <c r="G572" s="239"/>
      <c r="H572" s="239"/>
    </row>
    <row r="573" spans="1:8" x14ac:dyDescent="0.3">
      <c r="A573"/>
      <c r="B573" s="239"/>
      <c r="C573" s="239"/>
      <c r="D573" s="239"/>
      <c r="E573" s="239"/>
      <c r="F573" s="239"/>
      <c r="G573" s="239"/>
      <c r="H573" s="239"/>
    </row>
    <row r="574" spans="1:8" x14ac:dyDescent="0.3">
      <c r="A574"/>
      <c r="B574" s="239"/>
      <c r="C574" s="239"/>
      <c r="D574" s="239"/>
      <c r="E574" s="239"/>
      <c r="F574" s="239"/>
      <c r="G574" s="239"/>
      <c r="H574" s="239"/>
    </row>
    <row r="575" spans="1:8" x14ac:dyDescent="0.3">
      <c r="A575"/>
      <c r="B575" s="239"/>
      <c r="C575" s="239"/>
      <c r="D575" s="239"/>
      <c r="E575" s="239"/>
      <c r="F575" s="239"/>
      <c r="G575" s="239"/>
      <c r="H575" s="239"/>
    </row>
    <row r="576" spans="1:8" x14ac:dyDescent="0.3">
      <c r="A576"/>
      <c r="B576" s="239"/>
      <c r="C576" s="239"/>
      <c r="D576" s="239"/>
      <c r="E576" s="239"/>
      <c r="F576" s="239"/>
      <c r="G576" s="239"/>
      <c r="H576" s="239"/>
    </row>
    <row r="577" spans="1:8" x14ac:dyDescent="0.3">
      <c r="A577"/>
      <c r="B577" s="239"/>
      <c r="C577" s="239"/>
      <c r="D577" s="239"/>
      <c r="E577" s="239"/>
      <c r="F577" s="239"/>
      <c r="G577" s="239"/>
      <c r="H577" s="239"/>
    </row>
    <row r="578" spans="1:8" x14ac:dyDescent="0.3">
      <c r="A578"/>
      <c r="B578" s="239"/>
      <c r="C578" s="239"/>
      <c r="D578" s="239"/>
      <c r="E578" s="239"/>
      <c r="F578" s="239"/>
      <c r="G578" s="239"/>
      <c r="H578" s="239"/>
    </row>
    <row r="579" spans="1:8" x14ac:dyDescent="0.3">
      <c r="A579"/>
      <c r="B579" s="239"/>
      <c r="C579" s="239"/>
      <c r="D579" s="239"/>
      <c r="E579" s="239"/>
      <c r="F579" s="239"/>
      <c r="G579" s="239"/>
      <c r="H579" s="239"/>
    </row>
    <row r="580" spans="1:8" x14ac:dyDescent="0.3">
      <c r="A580"/>
      <c r="B580" s="239"/>
      <c r="C580" s="239"/>
      <c r="D580" s="239"/>
      <c r="E580" s="239"/>
      <c r="F580" s="239"/>
      <c r="G580" s="239"/>
      <c r="H580" s="239"/>
    </row>
    <row r="581" spans="1:8" x14ac:dyDescent="0.3">
      <c r="A581"/>
      <c r="B581" s="239"/>
      <c r="C581" s="239"/>
      <c r="D581" s="239"/>
      <c r="E581" s="239"/>
      <c r="F581" s="239"/>
      <c r="G581" s="239"/>
      <c r="H581" s="239"/>
    </row>
    <row r="582" spans="1:8" x14ac:dyDescent="0.3">
      <c r="A582"/>
      <c r="B582" s="239"/>
      <c r="C582" s="239"/>
      <c r="D582" s="239"/>
      <c r="E582" s="239"/>
      <c r="F582" s="239"/>
      <c r="G582" s="239"/>
      <c r="H582" s="239"/>
    </row>
    <row r="583" spans="1:8" x14ac:dyDescent="0.3">
      <c r="A583"/>
      <c r="B583" s="239"/>
      <c r="C583" s="239"/>
      <c r="D583" s="239"/>
      <c r="E583" s="239"/>
      <c r="F583" s="239"/>
      <c r="G583" s="239"/>
      <c r="H583" s="239"/>
    </row>
    <row r="584" spans="1:8" x14ac:dyDescent="0.3">
      <c r="A584"/>
      <c r="B584" s="239"/>
      <c r="C584" s="239"/>
      <c r="D584" s="239"/>
      <c r="E584" s="239"/>
      <c r="F584" s="239"/>
      <c r="G584" s="239"/>
      <c r="H584" s="239"/>
    </row>
    <row r="585" spans="1:8" x14ac:dyDescent="0.3">
      <c r="A585"/>
      <c r="B585" s="239"/>
      <c r="C585" s="239"/>
      <c r="D585" s="239"/>
      <c r="E585" s="239"/>
      <c r="F585" s="239"/>
      <c r="G585" s="239"/>
      <c r="H585" s="239"/>
    </row>
    <row r="586" spans="1:8" x14ac:dyDescent="0.3">
      <c r="A586"/>
      <c r="B586" s="239"/>
      <c r="C586" s="239"/>
      <c r="D586" s="239"/>
      <c r="E586" s="239"/>
      <c r="F586" s="239"/>
      <c r="G586" s="239"/>
      <c r="H586" s="239"/>
    </row>
    <row r="587" spans="1:8" x14ac:dyDescent="0.3">
      <c r="A587"/>
      <c r="B587" s="239"/>
      <c r="C587" s="239"/>
      <c r="D587" s="239"/>
      <c r="E587" s="239"/>
      <c r="F587" s="239"/>
      <c r="G587" s="239"/>
      <c r="H587" s="239"/>
    </row>
    <row r="588" spans="1:8" x14ac:dyDescent="0.3">
      <c r="A588"/>
      <c r="B588" s="239"/>
      <c r="C588" s="239"/>
      <c r="D588" s="239"/>
      <c r="E588" s="239"/>
      <c r="F588" s="239"/>
      <c r="G588" s="239"/>
      <c r="H588" s="239"/>
    </row>
    <row r="589" spans="1:8" x14ac:dyDescent="0.3">
      <c r="A589"/>
      <c r="B589" s="239"/>
      <c r="C589" s="239"/>
      <c r="D589" s="239"/>
      <c r="E589" s="239"/>
      <c r="F589" s="239"/>
      <c r="G589" s="239"/>
      <c r="H589" s="239"/>
    </row>
    <row r="590" spans="1:8" x14ac:dyDescent="0.3">
      <c r="A590"/>
      <c r="B590" s="239"/>
      <c r="C590" s="239"/>
      <c r="D590" s="239"/>
      <c r="E590" s="239"/>
      <c r="F590" s="239"/>
      <c r="G590" s="239"/>
      <c r="H590" s="239"/>
    </row>
    <row r="591" spans="1:8" x14ac:dyDescent="0.3">
      <c r="A591"/>
      <c r="B591" s="239"/>
      <c r="C591" s="239"/>
      <c r="D591" s="239"/>
      <c r="E591" s="239"/>
      <c r="F591" s="239"/>
      <c r="G591" s="239"/>
      <c r="H591" s="239"/>
    </row>
    <row r="592" spans="1:8" x14ac:dyDescent="0.3">
      <c r="A592"/>
      <c r="B592" s="239"/>
      <c r="C592" s="239"/>
      <c r="D592" s="239"/>
      <c r="E592" s="239"/>
      <c r="F592" s="239"/>
      <c r="G592" s="239"/>
      <c r="H592" s="239"/>
    </row>
    <row r="593" spans="1:8" x14ac:dyDescent="0.3">
      <c r="A593"/>
      <c r="B593" s="239"/>
      <c r="C593" s="239"/>
      <c r="D593" s="239"/>
      <c r="E593" s="239"/>
      <c r="F593" s="239"/>
      <c r="G593" s="239"/>
      <c r="H593" s="239"/>
    </row>
    <row r="594" spans="1:8" x14ac:dyDescent="0.3">
      <c r="A594"/>
      <c r="B594" s="239"/>
      <c r="C594" s="239"/>
      <c r="D594" s="239"/>
      <c r="E594" s="239"/>
      <c r="F594" s="239"/>
      <c r="G594" s="239"/>
      <c r="H594" s="239"/>
    </row>
    <row r="595" spans="1:8" x14ac:dyDescent="0.3">
      <c r="A595"/>
      <c r="B595" s="239"/>
      <c r="C595" s="239"/>
      <c r="D595" s="239"/>
      <c r="E595" s="239"/>
      <c r="F595" s="239"/>
      <c r="G595" s="239"/>
      <c r="H595" s="239"/>
    </row>
    <row r="596" spans="1:8" x14ac:dyDescent="0.3">
      <c r="A596"/>
      <c r="B596" s="239"/>
      <c r="C596" s="239"/>
      <c r="D596" s="239"/>
      <c r="E596" s="239"/>
      <c r="F596" s="239"/>
      <c r="G596" s="239"/>
      <c r="H596" s="239"/>
    </row>
    <row r="597" spans="1:8" x14ac:dyDescent="0.3">
      <c r="A597"/>
      <c r="B597" s="239"/>
      <c r="C597" s="239"/>
      <c r="D597" s="239"/>
      <c r="E597" s="239"/>
      <c r="F597" s="239"/>
      <c r="G597" s="239"/>
      <c r="H597" s="239"/>
    </row>
    <row r="598" spans="1:8" x14ac:dyDescent="0.3">
      <c r="A598"/>
      <c r="B598" s="239"/>
      <c r="C598" s="239"/>
      <c r="D598" s="239"/>
      <c r="E598" s="239"/>
      <c r="F598" s="239"/>
      <c r="G598" s="239"/>
      <c r="H598" s="239"/>
    </row>
    <row r="599" spans="1:8" x14ac:dyDescent="0.3">
      <c r="A599"/>
      <c r="B599" s="239"/>
      <c r="C599" s="239"/>
      <c r="D599" s="239"/>
      <c r="E599" s="239"/>
      <c r="F599" s="239"/>
      <c r="G599" s="239"/>
      <c r="H599" s="239"/>
    </row>
    <row r="600" spans="1:8" x14ac:dyDescent="0.3">
      <c r="A600"/>
      <c r="B600" s="239"/>
      <c r="C600" s="239"/>
      <c r="D600" s="239"/>
      <c r="E600" s="239"/>
      <c r="F600" s="239"/>
      <c r="G600" s="239"/>
      <c r="H600" s="239"/>
    </row>
    <row r="601" spans="1:8" x14ac:dyDescent="0.3">
      <c r="A601"/>
      <c r="B601" s="239"/>
      <c r="C601" s="239"/>
      <c r="D601" s="239"/>
      <c r="E601" s="239"/>
      <c r="F601" s="239"/>
      <c r="G601" s="239"/>
      <c r="H601" s="239"/>
    </row>
    <row r="602" spans="1:8" x14ac:dyDescent="0.3">
      <c r="A602"/>
      <c r="B602" s="239"/>
      <c r="C602" s="239"/>
      <c r="D602" s="239"/>
      <c r="E602" s="239"/>
      <c r="F602" s="239"/>
      <c r="G602" s="239"/>
      <c r="H602" s="239"/>
    </row>
    <row r="603" spans="1:8" x14ac:dyDescent="0.3">
      <c r="A603"/>
      <c r="B603" s="239"/>
      <c r="C603" s="239"/>
      <c r="D603" s="239"/>
      <c r="E603" s="239"/>
      <c r="F603" s="239"/>
      <c r="G603" s="239"/>
      <c r="H603" s="239"/>
    </row>
    <row r="604" spans="1:8" x14ac:dyDescent="0.3">
      <c r="A604"/>
      <c r="B604" s="239"/>
      <c r="C604" s="239"/>
      <c r="D604" s="239"/>
      <c r="E604" s="239"/>
      <c r="F604" s="239"/>
      <c r="G604" s="239"/>
      <c r="H604" s="239"/>
    </row>
    <row r="605" spans="1:8" x14ac:dyDescent="0.3">
      <c r="A605"/>
      <c r="B605" s="239"/>
      <c r="C605" s="239"/>
      <c r="D605" s="239"/>
      <c r="E605" s="239"/>
      <c r="F605" s="239"/>
      <c r="G605" s="239"/>
      <c r="H605" s="239"/>
    </row>
    <row r="606" spans="1:8" x14ac:dyDescent="0.3">
      <c r="A606"/>
      <c r="B606" s="239"/>
      <c r="C606" s="239"/>
      <c r="D606" s="239"/>
      <c r="E606" s="239"/>
      <c r="F606" s="239"/>
      <c r="G606" s="239"/>
      <c r="H606" s="239"/>
    </row>
    <row r="607" spans="1:8" x14ac:dyDescent="0.3">
      <c r="A607"/>
      <c r="B607" s="239"/>
      <c r="C607" s="239"/>
      <c r="D607" s="239"/>
      <c r="E607" s="239"/>
      <c r="F607" s="239"/>
      <c r="G607" s="239"/>
      <c r="H607" s="239"/>
    </row>
    <row r="608" spans="1:8" x14ac:dyDescent="0.3">
      <c r="A608"/>
      <c r="B608" s="239"/>
      <c r="C608" s="239"/>
      <c r="D608" s="239"/>
      <c r="E608" s="239"/>
      <c r="F608" s="239"/>
      <c r="G608" s="239"/>
      <c r="H608" s="239"/>
    </row>
    <row r="609" spans="1:8" x14ac:dyDescent="0.3">
      <c r="A609"/>
      <c r="B609" s="239"/>
      <c r="C609" s="239"/>
      <c r="D609" s="239"/>
      <c r="E609" s="239"/>
      <c r="F609" s="239"/>
      <c r="G609" s="239"/>
      <c r="H609" s="239"/>
    </row>
    <row r="610" spans="1:8" x14ac:dyDescent="0.3">
      <c r="A610"/>
      <c r="B610" s="239"/>
      <c r="C610" s="239"/>
      <c r="D610" s="239"/>
      <c r="E610" s="239"/>
      <c r="F610" s="239"/>
      <c r="G610" s="239"/>
      <c r="H610" s="239"/>
    </row>
    <row r="611" spans="1:8" x14ac:dyDescent="0.3">
      <c r="A611"/>
      <c r="B611" s="239"/>
      <c r="C611" s="239"/>
      <c r="D611" s="239"/>
      <c r="E611" s="239"/>
      <c r="F611" s="239"/>
      <c r="G611" s="239"/>
      <c r="H611" s="239"/>
    </row>
    <row r="612" spans="1:8" x14ac:dyDescent="0.3">
      <c r="A612"/>
      <c r="B612" s="239"/>
      <c r="C612" s="239"/>
      <c r="D612" s="239"/>
      <c r="E612" s="239"/>
      <c r="F612" s="239"/>
      <c r="G612" s="239"/>
      <c r="H612" s="239"/>
    </row>
    <row r="613" spans="1:8" x14ac:dyDescent="0.3">
      <c r="A613"/>
      <c r="B613" s="239"/>
      <c r="C613" s="239"/>
      <c r="D613" s="239"/>
      <c r="E613" s="239"/>
      <c r="F613" s="239"/>
      <c r="G613" s="239"/>
      <c r="H613" s="239"/>
    </row>
    <row r="614" spans="1:8" x14ac:dyDescent="0.3">
      <c r="A614"/>
      <c r="B614" s="239"/>
      <c r="C614" s="239"/>
      <c r="D614" s="239"/>
      <c r="E614" s="239"/>
      <c r="F614" s="239"/>
      <c r="G614" s="239"/>
      <c r="H614" s="239"/>
    </row>
    <row r="615" spans="1:8" x14ac:dyDescent="0.3">
      <c r="A615"/>
      <c r="B615" s="239"/>
      <c r="C615" s="239"/>
      <c r="D615" s="239"/>
      <c r="E615" s="239"/>
      <c r="F615" s="239"/>
      <c r="G615" s="239"/>
      <c r="H615" s="239"/>
    </row>
    <row r="616" spans="1:8" x14ac:dyDescent="0.3">
      <c r="A616"/>
      <c r="B616" s="239"/>
      <c r="C616" s="239"/>
      <c r="D616" s="239"/>
      <c r="E616" s="239"/>
      <c r="F616" s="239"/>
      <c r="G616" s="239"/>
      <c r="H616" s="239"/>
    </row>
    <row r="617" spans="1:8" x14ac:dyDescent="0.3">
      <c r="A617"/>
      <c r="B617" s="239"/>
      <c r="C617" s="239"/>
      <c r="D617" s="239"/>
      <c r="E617" s="239"/>
      <c r="F617" s="239"/>
      <c r="G617" s="239"/>
      <c r="H617" s="239"/>
    </row>
    <row r="618" spans="1:8" x14ac:dyDescent="0.3">
      <c r="A618"/>
      <c r="B618" s="239"/>
      <c r="C618" s="239"/>
      <c r="D618" s="239"/>
      <c r="E618" s="239"/>
      <c r="F618" s="239"/>
      <c r="G618" s="239"/>
      <c r="H618" s="239"/>
    </row>
    <row r="619" spans="1:8" x14ac:dyDescent="0.3">
      <c r="A619"/>
      <c r="B619" s="239"/>
      <c r="C619" s="239"/>
      <c r="D619" s="239"/>
      <c r="E619" s="239"/>
      <c r="F619" s="239"/>
      <c r="G619" s="239"/>
      <c r="H619" s="239"/>
    </row>
    <row r="620" spans="1:8" x14ac:dyDescent="0.3">
      <c r="A620"/>
      <c r="B620" s="239"/>
      <c r="C620" s="239"/>
      <c r="D620" s="239"/>
      <c r="E620" s="239"/>
      <c r="F620" s="239"/>
      <c r="G620" s="239"/>
      <c r="H620" s="239"/>
    </row>
    <row r="621" spans="1:8" x14ac:dyDescent="0.3">
      <c r="A621"/>
      <c r="B621" s="239"/>
      <c r="C621" s="239"/>
      <c r="D621" s="239"/>
      <c r="E621" s="239"/>
      <c r="F621" s="239"/>
      <c r="G621" s="239"/>
      <c r="H621" s="239"/>
    </row>
    <row r="622" spans="1:8" x14ac:dyDescent="0.3">
      <c r="A622"/>
      <c r="B622" s="239"/>
      <c r="C622" s="239"/>
      <c r="D622" s="239"/>
      <c r="E622" s="239"/>
      <c r="F622" s="239"/>
      <c r="G622" s="239"/>
      <c r="H622" s="239"/>
    </row>
    <row r="623" spans="1:8" x14ac:dyDescent="0.3">
      <c r="A623"/>
      <c r="B623" s="239"/>
      <c r="C623" s="239"/>
      <c r="D623" s="239"/>
      <c r="E623" s="239"/>
      <c r="F623" s="239"/>
      <c r="G623" s="239"/>
      <c r="H623" s="239"/>
    </row>
    <row r="624" spans="1:8" x14ac:dyDescent="0.3">
      <c r="A624"/>
      <c r="B624" s="239"/>
      <c r="C624" s="239"/>
      <c r="D624" s="239"/>
      <c r="E624" s="239"/>
      <c r="F624" s="239"/>
      <c r="G624" s="239"/>
      <c r="H624" s="239"/>
    </row>
    <row r="625" spans="1:8" x14ac:dyDescent="0.3">
      <c r="A625"/>
      <c r="B625" s="239"/>
      <c r="C625" s="239"/>
      <c r="D625" s="239"/>
      <c r="E625" s="239"/>
      <c r="F625" s="239"/>
      <c r="G625" s="239"/>
      <c r="H625" s="239"/>
    </row>
    <row r="626" spans="1:8" x14ac:dyDescent="0.3">
      <c r="A626"/>
      <c r="B626" s="239"/>
      <c r="C626" s="239"/>
      <c r="D626" s="239"/>
      <c r="E626" s="239"/>
      <c r="F626" s="239"/>
      <c r="G626" s="239"/>
      <c r="H626" s="239"/>
    </row>
    <row r="627" spans="1:8" x14ac:dyDescent="0.3">
      <c r="A627"/>
      <c r="B627" s="239"/>
      <c r="C627" s="239"/>
      <c r="D627" s="239"/>
      <c r="E627" s="239"/>
      <c r="F627" s="239"/>
      <c r="G627" s="239"/>
      <c r="H627" s="239"/>
    </row>
    <row r="628" spans="1:8" x14ac:dyDescent="0.3">
      <c r="A628"/>
      <c r="B628" s="239"/>
      <c r="C628" s="239"/>
      <c r="D628" s="239"/>
      <c r="E628" s="239"/>
      <c r="F628" s="239"/>
      <c r="G628" s="239"/>
      <c r="H628" s="239"/>
    </row>
    <row r="629" spans="1:8" x14ac:dyDescent="0.3">
      <c r="A629"/>
      <c r="B629" s="239"/>
      <c r="C629" s="239"/>
      <c r="D629" s="239"/>
      <c r="E629" s="239"/>
      <c r="F629" s="239"/>
      <c r="G629" s="239"/>
      <c r="H629" s="239"/>
    </row>
    <row r="630" spans="1:8" x14ac:dyDescent="0.3">
      <c r="A630"/>
      <c r="B630" s="239"/>
      <c r="C630" s="239"/>
      <c r="D630" s="239"/>
      <c r="E630" s="239"/>
      <c r="F630" s="239"/>
      <c r="G630" s="239"/>
      <c r="H630" s="239"/>
    </row>
    <row r="631" spans="1:8" x14ac:dyDescent="0.3">
      <c r="A631"/>
      <c r="B631" s="239"/>
      <c r="C631" s="239"/>
      <c r="D631" s="239"/>
      <c r="E631" s="239"/>
      <c r="F631" s="239"/>
      <c r="G631" s="239"/>
      <c r="H631" s="239"/>
    </row>
    <row r="632" spans="1:8" x14ac:dyDescent="0.3">
      <c r="A632"/>
      <c r="B632" s="239"/>
      <c r="C632" s="239"/>
      <c r="D632" s="239"/>
      <c r="E632" s="239"/>
      <c r="F632" s="239"/>
      <c r="G632" s="239"/>
      <c r="H632" s="239"/>
    </row>
    <row r="633" spans="1:8" x14ac:dyDescent="0.3">
      <c r="A633"/>
      <c r="B633" s="239"/>
      <c r="C633" s="239"/>
      <c r="D633" s="239"/>
      <c r="E633" s="239"/>
      <c r="F633" s="239"/>
      <c r="G633" s="239"/>
      <c r="H633" s="239"/>
    </row>
    <row r="634" spans="1:8" x14ac:dyDescent="0.3">
      <c r="A634"/>
      <c r="B634" s="239"/>
      <c r="C634" s="239"/>
      <c r="D634" s="239"/>
      <c r="E634" s="239"/>
      <c r="F634" s="239"/>
      <c r="G634" s="239"/>
      <c r="H634" s="239"/>
    </row>
    <row r="635" spans="1:8" x14ac:dyDescent="0.3">
      <c r="A635"/>
      <c r="B635" s="239"/>
      <c r="C635" s="239"/>
      <c r="D635" s="239"/>
      <c r="E635" s="239"/>
      <c r="F635" s="239"/>
      <c r="G635" s="239"/>
      <c r="H635" s="239"/>
    </row>
    <row r="636" spans="1:8" x14ac:dyDescent="0.3">
      <c r="A636"/>
      <c r="B636" s="239"/>
      <c r="C636" s="239"/>
      <c r="D636" s="239"/>
      <c r="E636" s="239"/>
      <c r="F636" s="239"/>
      <c r="G636" s="239"/>
      <c r="H636" s="239"/>
    </row>
    <row r="637" spans="1:8" x14ac:dyDescent="0.3">
      <c r="A637"/>
      <c r="B637" s="239"/>
      <c r="C637" s="239"/>
      <c r="D637" s="239"/>
      <c r="E637" s="239"/>
      <c r="F637" s="239"/>
      <c r="G637" s="239"/>
      <c r="H637" s="239"/>
    </row>
    <row r="638" spans="1:8" x14ac:dyDescent="0.3">
      <c r="A638"/>
      <c r="B638" s="239"/>
      <c r="C638" s="239"/>
      <c r="D638" s="239"/>
      <c r="E638" s="239"/>
      <c r="F638" s="239"/>
      <c r="G638" s="239"/>
      <c r="H638" s="239"/>
    </row>
    <row r="639" spans="1:8" x14ac:dyDescent="0.3">
      <c r="A639"/>
      <c r="B639" s="239"/>
      <c r="C639" s="239"/>
      <c r="D639" s="239"/>
      <c r="E639" s="239"/>
      <c r="F639" s="239"/>
      <c r="G639" s="239"/>
      <c r="H639" s="239"/>
    </row>
    <row r="640" spans="1:8" x14ac:dyDescent="0.3">
      <c r="A640"/>
      <c r="B640" s="239"/>
      <c r="C640" s="239"/>
      <c r="D640" s="239"/>
      <c r="E640" s="239"/>
      <c r="F640" s="239"/>
      <c r="G640" s="239"/>
      <c r="H640" s="239"/>
    </row>
    <row r="641" spans="1:8" x14ac:dyDescent="0.3">
      <c r="A641"/>
      <c r="B641" s="239"/>
      <c r="C641" s="239"/>
      <c r="D641" s="239"/>
      <c r="E641" s="239"/>
      <c r="F641" s="239"/>
      <c r="G641" s="239"/>
      <c r="H641" s="239"/>
    </row>
    <row r="642" spans="1:8" x14ac:dyDescent="0.3">
      <c r="A642"/>
      <c r="B642" s="239"/>
      <c r="C642" s="239"/>
      <c r="D642" s="239"/>
      <c r="E642" s="239"/>
      <c r="F642" s="239"/>
      <c r="G642" s="239"/>
      <c r="H642" s="239"/>
    </row>
    <row r="643" spans="1:8" x14ac:dyDescent="0.3">
      <c r="A643"/>
      <c r="B643" s="239"/>
      <c r="C643" s="239"/>
      <c r="D643" s="239"/>
      <c r="E643" s="239"/>
      <c r="F643" s="239"/>
      <c r="G643" s="239"/>
      <c r="H643" s="239"/>
    </row>
    <row r="644" spans="1:8" x14ac:dyDescent="0.3">
      <c r="A644"/>
      <c r="B644" s="239"/>
      <c r="C644" s="239"/>
      <c r="D644" s="239"/>
      <c r="E644" s="239"/>
      <c r="F644" s="239"/>
      <c r="G644" s="239"/>
      <c r="H644" s="239"/>
    </row>
    <row r="645" spans="1:8" x14ac:dyDescent="0.3">
      <c r="A645"/>
      <c r="B645" s="239"/>
      <c r="C645" s="239"/>
      <c r="D645" s="239"/>
      <c r="E645" s="239"/>
      <c r="F645" s="239"/>
      <c r="G645" s="239"/>
      <c r="H645" s="239"/>
    </row>
    <row r="646" spans="1:8" x14ac:dyDescent="0.3">
      <c r="A646"/>
      <c r="B646" s="239"/>
      <c r="C646" s="239"/>
      <c r="D646" s="239"/>
      <c r="E646" s="239"/>
      <c r="F646" s="239"/>
      <c r="G646" s="239"/>
      <c r="H646" s="239"/>
    </row>
    <row r="647" spans="1:8" x14ac:dyDescent="0.3">
      <c r="A647"/>
      <c r="B647" s="239"/>
      <c r="C647" s="239"/>
      <c r="D647" s="239"/>
      <c r="E647" s="239"/>
      <c r="F647" s="239"/>
      <c r="G647" s="239"/>
      <c r="H647" s="239"/>
    </row>
    <row r="648" spans="1:8" x14ac:dyDescent="0.3">
      <c r="A648"/>
      <c r="B648" s="239"/>
      <c r="C648" s="239"/>
      <c r="D648" s="239"/>
      <c r="E648" s="239"/>
      <c r="F648" s="239"/>
      <c r="G648" s="239"/>
      <c r="H648" s="239"/>
    </row>
    <row r="649" spans="1:8" x14ac:dyDescent="0.3">
      <c r="A649"/>
      <c r="B649" s="239"/>
      <c r="C649" s="239"/>
      <c r="D649" s="239"/>
      <c r="E649" s="239"/>
      <c r="F649" s="239"/>
      <c r="G649" s="239"/>
      <c r="H649" s="239"/>
    </row>
    <row r="650" spans="1:8" x14ac:dyDescent="0.3">
      <c r="A650"/>
      <c r="B650" s="239"/>
      <c r="C650" s="239"/>
      <c r="D650" s="239"/>
      <c r="E650" s="239"/>
      <c r="F650" s="239"/>
      <c r="G650" s="239"/>
      <c r="H650" s="239"/>
    </row>
    <row r="651" spans="1:8" x14ac:dyDescent="0.3">
      <c r="A651"/>
      <c r="B651" s="239"/>
      <c r="C651" s="239"/>
      <c r="D651" s="239"/>
      <c r="E651" s="239"/>
      <c r="F651" s="239"/>
      <c r="G651" s="239"/>
      <c r="H651" s="239"/>
    </row>
    <row r="652" spans="1:8" x14ac:dyDescent="0.3">
      <c r="A652"/>
      <c r="B652" s="239"/>
      <c r="C652" s="239"/>
      <c r="D652" s="239"/>
      <c r="E652" s="239"/>
      <c r="F652" s="239"/>
      <c r="G652" s="239"/>
      <c r="H652" s="239"/>
    </row>
    <row r="653" spans="1:8" x14ac:dyDescent="0.3">
      <c r="A653"/>
      <c r="B653" s="239"/>
      <c r="C653" s="239"/>
      <c r="D653" s="239"/>
      <c r="E653" s="239"/>
      <c r="F653" s="239"/>
      <c r="G653" s="239"/>
      <c r="H653" s="239"/>
    </row>
    <row r="654" spans="1:8" x14ac:dyDescent="0.3">
      <c r="A654"/>
      <c r="B654" s="239"/>
      <c r="C654" s="239"/>
      <c r="D654" s="239"/>
      <c r="E654" s="239"/>
      <c r="F654" s="239"/>
      <c r="G654" s="239"/>
      <c r="H654" s="239"/>
    </row>
    <row r="655" spans="1:8" x14ac:dyDescent="0.3">
      <c r="A655"/>
      <c r="B655" s="239"/>
      <c r="C655" s="239"/>
      <c r="D655" s="239"/>
      <c r="E655" s="239"/>
      <c r="F655" s="239"/>
      <c r="G655" s="239"/>
      <c r="H655" s="239"/>
    </row>
    <row r="656" spans="1:8" x14ac:dyDescent="0.3">
      <c r="A656"/>
      <c r="B656" s="239"/>
      <c r="C656" s="239"/>
      <c r="D656" s="239"/>
      <c r="E656" s="239"/>
      <c r="F656" s="239"/>
      <c r="G656" s="239"/>
      <c r="H656" s="239"/>
    </row>
    <row r="657" spans="1:8" x14ac:dyDescent="0.3">
      <c r="A657"/>
      <c r="B657" s="239"/>
      <c r="C657" s="239"/>
      <c r="D657" s="239"/>
      <c r="E657" s="239"/>
      <c r="F657" s="239"/>
      <c r="G657" s="239"/>
      <c r="H657" s="239"/>
    </row>
    <row r="658" spans="1:8" x14ac:dyDescent="0.3">
      <c r="A658"/>
      <c r="B658" s="239"/>
      <c r="C658" s="239"/>
      <c r="D658" s="239"/>
      <c r="E658" s="239"/>
      <c r="F658" s="239"/>
      <c r="G658" s="239"/>
      <c r="H658" s="239"/>
    </row>
    <row r="659" spans="1:8" x14ac:dyDescent="0.3">
      <c r="A659"/>
      <c r="B659" s="239"/>
      <c r="C659" s="239"/>
      <c r="D659" s="239"/>
      <c r="E659" s="239"/>
      <c r="F659" s="239"/>
      <c r="G659" s="239"/>
      <c r="H659" s="239"/>
    </row>
    <row r="660" spans="1:8" x14ac:dyDescent="0.3">
      <c r="A660"/>
      <c r="B660" s="239"/>
      <c r="C660" s="239"/>
      <c r="D660" s="239"/>
      <c r="E660" s="239"/>
      <c r="F660" s="239"/>
      <c r="G660" s="239"/>
      <c r="H660" s="239"/>
    </row>
    <row r="661" spans="1:8" x14ac:dyDescent="0.3">
      <c r="A661"/>
      <c r="B661" s="239"/>
      <c r="C661" s="239"/>
      <c r="D661" s="239"/>
      <c r="E661" s="239"/>
      <c r="F661" s="239"/>
      <c r="G661" s="239"/>
      <c r="H661" s="239"/>
    </row>
    <row r="662" spans="1:8" x14ac:dyDescent="0.3">
      <c r="A662"/>
      <c r="B662" s="239"/>
      <c r="C662" s="239"/>
      <c r="D662" s="239"/>
      <c r="E662" s="239"/>
      <c r="F662" s="239"/>
      <c r="G662" s="239"/>
      <c r="H662" s="239"/>
    </row>
    <row r="663" spans="1:8" x14ac:dyDescent="0.3">
      <c r="A663"/>
      <c r="B663" s="239"/>
      <c r="C663" s="239"/>
      <c r="D663" s="239"/>
      <c r="E663" s="239"/>
      <c r="F663" s="239"/>
      <c r="G663" s="239"/>
      <c r="H663" s="239"/>
    </row>
    <row r="664" spans="1:8" x14ac:dyDescent="0.3">
      <c r="A664"/>
      <c r="B664" s="239"/>
      <c r="C664" s="239"/>
      <c r="D664" s="239"/>
      <c r="E664" s="239"/>
      <c r="F664" s="239"/>
      <c r="G664" s="239"/>
      <c r="H664" s="239"/>
    </row>
    <row r="665" spans="1:8" x14ac:dyDescent="0.3">
      <c r="A665"/>
      <c r="B665" s="239"/>
      <c r="C665" s="239"/>
      <c r="D665" s="239"/>
      <c r="E665" s="239"/>
      <c r="F665" s="239"/>
      <c r="G665" s="239"/>
      <c r="H665" s="239"/>
    </row>
    <row r="666" spans="1:8" x14ac:dyDescent="0.3">
      <c r="A666"/>
      <c r="B666" s="239"/>
      <c r="C666" s="239"/>
      <c r="D666" s="239"/>
      <c r="E666" s="239"/>
      <c r="F666" s="239"/>
      <c r="G666" s="239"/>
      <c r="H666" s="239"/>
    </row>
    <row r="667" spans="1:8" x14ac:dyDescent="0.3">
      <c r="A667"/>
      <c r="B667" s="239"/>
      <c r="C667" s="239"/>
      <c r="D667" s="239"/>
      <c r="E667" s="239"/>
      <c r="F667" s="239"/>
      <c r="G667" s="239"/>
      <c r="H667" s="239"/>
    </row>
    <row r="668" spans="1:8" x14ac:dyDescent="0.3">
      <c r="A668"/>
      <c r="B668" s="239"/>
      <c r="C668" s="239"/>
      <c r="D668" s="239"/>
      <c r="E668" s="239"/>
      <c r="F668" s="239"/>
      <c r="G668" s="239"/>
      <c r="H668" s="239"/>
    </row>
    <row r="669" spans="1:8" x14ac:dyDescent="0.3">
      <c r="A669"/>
      <c r="B669" s="239"/>
      <c r="C669" s="239"/>
      <c r="D669" s="239"/>
      <c r="E669" s="239"/>
      <c r="F669" s="239"/>
      <c r="G669" s="239"/>
      <c r="H669" s="239"/>
    </row>
    <row r="670" spans="1:8" x14ac:dyDescent="0.3">
      <c r="A670"/>
      <c r="B670" s="239"/>
      <c r="C670" s="239"/>
      <c r="D670" s="239"/>
      <c r="E670" s="239"/>
      <c r="F670" s="239"/>
      <c r="G670" s="239"/>
      <c r="H670" s="239"/>
    </row>
    <row r="671" spans="1:8" x14ac:dyDescent="0.3">
      <c r="A671"/>
      <c r="B671" s="239"/>
      <c r="C671" s="239"/>
      <c r="D671" s="239"/>
      <c r="E671" s="239"/>
      <c r="F671" s="239"/>
      <c r="G671" s="239"/>
      <c r="H671" s="239"/>
    </row>
    <row r="672" spans="1:8" x14ac:dyDescent="0.3">
      <c r="A672"/>
      <c r="B672" s="239"/>
      <c r="C672" s="239"/>
      <c r="D672" s="239"/>
      <c r="E672" s="239"/>
      <c r="F672" s="239"/>
      <c r="G672" s="239"/>
      <c r="H672" s="239"/>
    </row>
    <row r="673" spans="1:8" x14ac:dyDescent="0.3">
      <c r="A673"/>
      <c r="B673" s="239"/>
      <c r="C673" s="239"/>
      <c r="D673" s="239"/>
      <c r="E673" s="239"/>
      <c r="F673" s="239"/>
      <c r="G673" s="239"/>
      <c r="H673" s="239"/>
    </row>
    <row r="674" spans="1:8" x14ac:dyDescent="0.3">
      <c r="A674"/>
      <c r="B674" s="239"/>
      <c r="C674" s="239"/>
      <c r="D674" s="239"/>
      <c r="E674" s="239"/>
      <c r="F674" s="239"/>
      <c r="G674" s="239"/>
      <c r="H674" s="239"/>
    </row>
    <row r="675" spans="1:8" x14ac:dyDescent="0.3">
      <c r="A675"/>
      <c r="B675" s="239"/>
      <c r="C675" s="239"/>
      <c r="D675" s="239"/>
      <c r="E675" s="239"/>
      <c r="F675" s="239"/>
      <c r="G675" s="239"/>
      <c r="H675" s="239"/>
    </row>
    <row r="676" spans="1:8" x14ac:dyDescent="0.3">
      <c r="A676"/>
      <c r="B676" s="239"/>
      <c r="C676" s="239"/>
      <c r="D676" s="239"/>
      <c r="E676" s="239"/>
      <c r="F676" s="239"/>
      <c r="G676" s="239"/>
      <c r="H676" s="239"/>
    </row>
    <row r="677" spans="1:8" x14ac:dyDescent="0.3">
      <c r="A677"/>
      <c r="B677" s="239"/>
      <c r="C677" s="239"/>
      <c r="D677" s="239"/>
      <c r="E677" s="239"/>
      <c r="F677" s="239"/>
      <c r="G677" s="239"/>
      <c r="H677" s="239"/>
    </row>
    <row r="678" spans="1:8" x14ac:dyDescent="0.3">
      <c r="A678"/>
      <c r="B678" s="239"/>
      <c r="C678" s="239"/>
      <c r="D678" s="239"/>
      <c r="E678" s="239"/>
      <c r="F678" s="239"/>
      <c r="G678" s="239"/>
      <c r="H678" s="239"/>
    </row>
    <row r="679" spans="1:8" x14ac:dyDescent="0.3">
      <c r="A679"/>
      <c r="B679" s="239"/>
      <c r="C679" s="239"/>
      <c r="D679" s="239"/>
      <c r="E679" s="239"/>
      <c r="F679" s="239"/>
      <c r="G679" s="239"/>
      <c r="H679" s="239"/>
    </row>
    <row r="680" spans="1:8" x14ac:dyDescent="0.3">
      <c r="A680"/>
      <c r="B680" s="239"/>
      <c r="C680" s="239"/>
      <c r="D680" s="239"/>
      <c r="E680" s="239"/>
      <c r="F680" s="239"/>
      <c r="G680" s="239"/>
      <c r="H680" s="239"/>
    </row>
    <row r="681" spans="1:8" x14ac:dyDescent="0.3">
      <c r="A681"/>
      <c r="B681" s="239"/>
      <c r="C681" s="239"/>
      <c r="D681" s="239"/>
      <c r="E681" s="239"/>
      <c r="F681" s="239"/>
      <c r="G681" s="239"/>
      <c r="H681" s="239"/>
    </row>
    <row r="682" spans="1:8" x14ac:dyDescent="0.3">
      <c r="A682"/>
      <c r="B682" s="239"/>
      <c r="C682" s="239"/>
      <c r="D682" s="239"/>
      <c r="E682" s="239"/>
      <c r="F682" s="239"/>
      <c r="G682" s="239"/>
      <c r="H682" s="239"/>
    </row>
    <row r="683" spans="1:8" x14ac:dyDescent="0.3">
      <c r="A683"/>
      <c r="B683" s="239"/>
      <c r="C683" s="239"/>
      <c r="D683" s="239"/>
      <c r="E683" s="239"/>
      <c r="F683" s="239"/>
      <c r="G683" s="239"/>
      <c r="H683" s="239"/>
    </row>
    <row r="684" spans="1:8" x14ac:dyDescent="0.3">
      <c r="A684"/>
      <c r="B684" s="239"/>
      <c r="C684" s="239"/>
      <c r="D684" s="239"/>
      <c r="E684" s="239"/>
      <c r="F684" s="239"/>
      <c r="G684" s="239"/>
      <c r="H684" s="239"/>
    </row>
    <row r="685" spans="1:8" x14ac:dyDescent="0.3">
      <c r="A685"/>
      <c r="B685" s="239"/>
      <c r="C685" s="239"/>
      <c r="D685" s="239"/>
      <c r="E685" s="239"/>
      <c r="F685" s="239"/>
      <c r="G685" s="239"/>
      <c r="H685" s="239"/>
    </row>
    <row r="686" spans="1:8" x14ac:dyDescent="0.3">
      <c r="A686"/>
      <c r="B686" s="239"/>
      <c r="C686" s="239"/>
      <c r="D686" s="239"/>
      <c r="E686" s="239"/>
      <c r="F686" s="239"/>
      <c r="G686" s="239"/>
      <c r="H686" s="239"/>
    </row>
    <row r="687" spans="1:8" x14ac:dyDescent="0.3">
      <c r="A687"/>
      <c r="B687" s="239"/>
      <c r="C687" s="239"/>
      <c r="D687" s="239"/>
      <c r="E687" s="239"/>
      <c r="F687" s="239"/>
      <c r="G687" s="239"/>
      <c r="H687" s="239"/>
    </row>
    <row r="688" spans="1:8" x14ac:dyDescent="0.3">
      <c r="A688"/>
      <c r="B688" s="239"/>
      <c r="C688" s="239"/>
      <c r="D688" s="239"/>
      <c r="E688" s="239"/>
      <c r="F688" s="239"/>
      <c r="G688" s="239"/>
      <c r="H688" s="239"/>
    </row>
    <row r="689" spans="1:8" x14ac:dyDescent="0.3">
      <c r="A689"/>
      <c r="B689" s="239"/>
      <c r="C689" s="239"/>
      <c r="D689" s="239"/>
      <c r="E689" s="239"/>
      <c r="F689" s="239"/>
      <c r="G689" s="239"/>
      <c r="H689" s="239"/>
    </row>
    <row r="690" spans="1:8" x14ac:dyDescent="0.3">
      <c r="A690"/>
      <c r="B690" s="239"/>
      <c r="C690" s="239"/>
      <c r="D690" s="239"/>
      <c r="E690" s="239"/>
      <c r="F690" s="239"/>
      <c r="G690" s="239"/>
      <c r="H690" s="239"/>
    </row>
    <row r="691" spans="1:8" x14ac:dyDescent="0.3">
      <c r="A691"/>
      <c r="B691" s="239"/>
      <c r="C691" s="239"/>
      <c r="D691" s="239"/>
      <c r="E691" s="239"/>
      <c r="F691" s="239"/>
      <c r="G691" s="239"/>
      <c r="H691" s="239"/>
    </row>
    <row r="692" spans="1:8" x14ac:dyDescent="0.3">
      <c r="A692"/>
      <c r="B692" s="239"/>
      <c r="C692" s="239"/>
      <c r="D692" s="239"/>
      <c r="E692" s="239"/>
      <c r="F692" s="239"/>
      <c r="G692" s="239"/>
      <c r="H692" s="239"/>
    </row>
    <row r="693" spans="1:8" x14ac:dyDescent="0.3">
      <c r="A693"/>
      <c r="B693" s="239"/>
      <c r="C693" s="239"/>
      <c r="D693" s="239"/>
      <c r="E693" s="239"/>
      <c r="F693" s="239"/>
      <c r="G693" s="239"/>
      <c r="H693" s="239"/>
    </row>
    <row r="694" spans="1:8" x14ac:dyDescent="0.3">
      <c r="A694"/>
      <c r="B694" s="239"/>
      <c r="C694" s="239"/>
      <c r="D694" s="239"/>
      <c r="E694" s="239"/>
      <c r="F694" s="239"/>
      <c r="G694" s="239"/>
      <c r="H694" s="239"/>
    </row>
    <row r="695" spans="1:8" x14ac:dyDescent="0.3">
      <c r="A695"/>
      <c r="B695" s="239"/>
      <c r="C695" s="239"/>
      <c r="D695" s="239"/>
      <c r="E695" s="239"/>
      <c r="F695" s="239"/>
      <c r="G695" s="239"/>
      <c r="H695" s="239"/>
    </row>
    <row r="696" spans="1:8" x14ac:dyDescent="0.3">
      <c r="A696"/>
      <c r="B696" s="239"/>
      <c r="C696" s="239"/>
      <c r="D696" s="239"/>
      <c r="E696" s="239"/>
      <c r="F696" s="239"/>
      <c r="G696" s="239"/>
      <c r="H696" s="239"/>
    </row>
    <row r="697" spans="1:8" x14ac:dyDescent="0.3">
      <c r="A697"/>
      <c r="B697" s="239"/>
      <c r="C697" s="239"/>
      <c r="D697" s="239"/>
      <c r="E697" s="239"/>
      <c r="F697" s="239"/>
      <c r="G697" s="239"/>
      <c r="H697" s="239"/>
    </row>
    <row r="698" spans="1:8" x14ac:dyDescent="0.3">
      <c r="A698"/>
      <c r="B698" s="239"/>
      <c r="C698" s="239"/>
      <c r="D698" s="239"/>
      <c r="E698" s="239"/>
      <c r="F698" s="239"/>
      <c r="G698" s="239"/>
      <c r="H698" s="239"/>
    </row>
    <row r="699" spans="1:8" x14ac:dyDescent="0.3">
      <c r="A699"/>
      <c r="B699" s="239"/>
      <c r="C699" s="239"/>
      <c r="D699" s="239"/>
      <c r="E699" s="239"/>
      <c r="F699" s="239"/>
      <c r="G699" s="239"/>
      <c r="H699" s="239"/>
    </row>
    <row r="700" spans="1:8" x14ac:dyDescent="0.3">
      <c r="A700"/>
      <c r="B700" s="239"/>
      <c r="C700" s="239"/>
      <c r="D700" s="239"/>
      <c r="E700" s="239"/>
      <c r="F700" s="239"/>
      <c r="G700" s="239"/>
      <c r="H700" s="239"/>
    </row>
    <row r="701" spans="1:8" x14ac:dyDescent="0.3">
      <c r="A701"/>
      <c r="B701" s="239"/>
      <c r="C701" s="239"/>
      <c r="D701" s="239"/>
      <c r="E701" s="239"/>
      <c r="F701" s="239"/>
      <c r="G701" s="239"/>
      <c r="H701" s="239"/>
    </row>
    <row r="702" spans="1:8" x14ac:dyDescent="0.3">
      <c r="A702"/>
      <c r="B702" s="239"/>
      <c r="C702" s="239"/>
      <c r="D702" s="239"/>
      <c r="E702" s="239"/>
      <c r="F702" s="239"/>
      <c r="G702" s="239"/>
      <c r="H702" s="239"/>
    </row>
    <row r="703" spans="1:8" x14ac:dyDescent="0.3">
      <c r="A703"/>
      <c r="B703" s="239"/>
      <c r="C703" s="239"/>
      <c r="D703" s="239"/>
      <c r="E703" s="239"/>
      <c r="F703" s="239"/>
      <c r="G703" s="239"/>
      <c r="H703" s="239"/>
    </row>
    <row r="704" spans="1:8" x14ac:dyDescent="0.3">
      <c r="A704"/>
      <c r="B704" s="239"/>
      <c r="C704" s="239"/>
      <c r="D704" s="239"/>
      <c r="E704" s="239"/>
      <c r="F704" s="239"/>
      <c r="G704" s="239"/>
      <c r="H704" s="239"/>
    </row>
    <row r="705" spans="1:8" x14ac:dyDescent="0.3">
      <c r="A705"/>
      <c r="B705" s="239"/>
      <c r="C705" s="239"/>
      <c r="D705" s="239"/>
      <c r="E705" s="239"/>
      <c r="F705" s="239"/>
      <c r="G705" s="239"/>
      <c r="H705" s="239"/>
    </row>
    <row r="706" spans="1:8" x14ac:dyDescent="0.3">
      <c r="A706"/>
      <c r="B706" s="239"/>
      <c r="C706" s="239"/>
      <c r="D706" s="239"/>
      <c r="E706" s="239"/>
      <c r="F706" s="239"/>
      <c r="G706" s="239"/>
      <c r="H706" s="239"/>
    </row>
    <row r="707" spans="1:8" x14ac:dyDescent="0.3">
      <c r="A707"/>
      <c r="B707" s="239"/>
      <c r="C707" s="239"/>
      <c r="D707" s="239"/>
      <c r="E707" s="239"/>
      <c r="F707" s="239"/>
      <c r="G707" s="239"/>
      <c r="H707" s="239"/>
    </row>
    <row r="708" spans="1:8" x14ac:dyDescent="0.3">
      <c r="A708"/>
      <c r="B708" s="239"/>
      <c r="C708" s="239"/>
      <c r="D708" s="239"/>
      <c r="E708" s="239"/>
      <c r="F708" s="239"/>
      <c r="G708" s="239"/>
      <c r="H708" s="239"/>
    </row>
    <row r="709" spans="1:8" x14ac:dyDescent="0.3">
      <c r="A709"/>
      <c r="B709" s="239"/>
      <c r="C709" s="239"/>
      <c r="D709" s="239"/>
      <c r="E709" s="239"/>
      <c r="F709" s="239"/>
      <c r="G709" s="239"/>
      <c r="H709" s="239"/>
    </row>
    <row r="710" spans="1:8" x14ac:dyDescent="0.3">
      <c r="A710"/>
      <c r="B710" s="239"/>
      <c r="C710" s="239"/>
      <c r="D710" s="239"/>
      <c r="E710" s="239"/>
      <c r="F710" s="239"/>
      <c r="G710" s="239"/>
      <c r="H710" s="239"/>
    </row>
    <row r="711" spans="1:8" x14ac:dyDescent="0.3">
      <c r="A711"/>
      <c r="B711" s="239"/>
      <c r="C711" s="239"/>
      <c r="D711" s="239"/>
      <c r="E711" s="239"/>
      <c r="F711" s="239"/>
      <c r="G711" s="239"/>
      <c r="H711" s="239"/>
    </row>
    <row r="712" spans="1:8" x14ac:dyDescent="0.3">
      <c r="A712"/>
      <c r="B712" s="239"/>
      <c r="C712" s="239"/>
      <c r="D712" s="239"/>
      <c r="E712" s="239"/>
      <c r="F712" s="239"/>
      <c r="G712" s="239"/>
      <c r="H712" s="239"/>
    </row>
    <row r="713" spans="1:8" x14ac:dyDescent="0.3">
      <c r="A713"/>
      <c r="B713" s="239"/>
      <c r="C713" s="239"/>
      <c r="D713" s="239"/>
      <c r="E713" s="239"/>
      <c r="F713" s="239"/>
      <c r="G713" s="239"/>
      <c r="H713" s="239"/>
    </row>
    <row r="714" spans="1:8" x14ac:dyDescent="0.3">
      <c r="A714"/>
      <c r="B714" s="239"/>
      <c r="C714" s="239"/>
      <c r="D714" s="239"/>
      <c r="E714" s="239"/>
      <c r="F714" s="239"/>
      <c r="G714" s="239"/>
      <c r="H714" s="239"/>
    </row>
    <row r="715" spans="1:8" x14ac:dyDescent="0.3">
      <c r="A715"/>
      <c r="B715" s="239"/>
      <c r="C715" s="239"/>
      <c r="D715" s="239"/>
      <c r="E715" s="239"/>
      <c r="F715" s="239"/>
      <c r="G715" s="239"/>
      <c r="H715" s="239"/>
    </row>
    <row r="716" spans="1:8" x14ac:dyDescent="0.3">
      <c r="A716"/>
      <c r="B716" s="239"/>
      <c r="C716" s="239"/>
      <c r="D716" s="239"/>
      <c r="E716" s="239"/>
      <c r="F716" s="239"/>
      <c r="G716" s="239"/>
      <c r="H716" s="239"/>
    </row>
    <row r="717" spans="1:8" x14ac:dyDescent="0.3">
      <c r="A717"/>
      <c r="B717" s="239"/>
      <c r="C717" s="239"/>
      <c r="D717" s="239"/>
      <c r="E717" s="239"/>
      <c r="F717" s="239"/>
      <c r="G717" s="239"/>
      <c r="H717" s="239"/>
    </row>
    <row r="718" spans="1:8" x14ac:dyDescent="0.3">
      <c r="A718"/>
      <c r="B718" s="239"/>
      <c r="C718" s="239"/>
      <c r="D718" s="239"/>
      <c r="E718" s="239"/>
      <c r="F718" s="239"/>
      <c r="G718" s="239"/>
      <c r="H718" s="239"/>
    </row>
    <row r="719" spans="1:8" x14ac:dyDescent="0.3">
      <c r="A719"/>
      <c r="B719" s="239"/>
      <c r="C719" s="239"/>
      <c r="D719" s="239"/>
      <c r="E719" s="239"/>
      <c r="F719" s="239"/>
      <c r="G719" s="239"/>
      <c r="H719" s="239"/>
    </row>
    <row r="720" spans="1:8" x14ac:dyDescent="0.3">
      <c r="A720"/>
      <c r="B720" s="239"/>
      <c r="C720" s="239"/>
      <c r="D720" s="239"/>
      <c r="E720" s="239"/>
      <c r="F720" s="239"/>
      <c r="G720" s="239"/>
      <c r="H720" s="239"/>
    </row>
    <row r="721" spans="1:8" x14ac:dyDescent="0.3">
      <c r="A721"/>
      <c r="B721" s="239"/>
      <c r="C721" s="239"/>
      <c r="D721" s="239"/>
      <c r="E721" s="239"/>
      <c r="F721" s="239"/>
      <c r="G721" s="239"/>
      <c r="H721" s="239"/>
    </row>
    <row r="722" spans="1:8" x14ac:dyDescent="0.3">
      <c r="A722"/>
      <c r="B722" s="239"/>
      <c r="C722" s="239"/>
      <c r="D722" s="239"/>
      <c r="E722" s="239"/>
      <c r="F722" s="239"/>
      <c r="G722" s="239"/>
      <c r="H722" s="239"/>
    </row>
    <row r="723" spans="1:8" x14ac:dyDescent="0.3">
      <c r="A723"/>
      <c r="B723" s="239"/>
      <c r="C723" s="239"/>
      <c r="D723" s="239"/>
      <c r="E723" s="239"/>
      <c r="F723" s="239"/>
      <c r="G723" s="239"/>
      <c r="H723" s="239"/>
    </row>
    <row r="724" spans="1:8" x14ac:dyDescent="0.3">
      <c r="A724"/>
      <c r="B724" s="239"/>
      <c r="C724" s="239"/>
      <c r="D724" s="239"/>
      <c r="E724" s="239"/>
      <c r="F724" s="239"/>
      <c r="G724" s="239"/>
      <c r="H724" s="239"/>
    </row>
    <row r="725" spans="1:8" x14ac:dyDescent="0.3">
      <c r="A725"/>
      <c r="B725" s="239"/>
      <c r="C725" s="239"/>
      <c r="D725" s="239"/>
      <c r="E725" s="239"/>
      <c r="F725" s="239"/>
      <c r="G725" s="239"/>
      <c r="H725" s="239"/>
    </row>
    <row r="726" spans="1:8" x14ac:dyDescent="0.3">
      <c r="A726"/>
      <c r="B726" s="239"/>
      <c r="C726" s="239"/>
      <c r="D726" s="239"/>
      <c r="E726" s="239"/>
      <c r="F726" s="239"/>
      <c r="G726" s="239"/>
      <c r="H726" s="239"/>
    </row>
    <row r="727" spans="1:8" x14ac:dyDescent="0.3">
      <c r="A727"/>
      <c r="B727" s="239"/>
      <c r="C727" s="239"/>
      <c r="D727" s="239"/>
      <c r="E727" s="239"/>
      <c r="F727" s="239"/>
      <c r="G727" s="239"/>
      <c r="H727" s="239"/>
    </row>
    <row r="728" spans="1:8" x14ac:dyDescent="0.3">
      <c r="A728"/>
      <c r="B728" s="239"/>
      <c r="C728" s="239"/>
      <c r="D728" s="239"/>
      <c r="E728" s="239"/>
      <c r="F728" s="239"/>
      <c r="G728" s="239"/>
      <c r="H728" s="239"/>
    </row>
    <row r="729" spans="1:8" x14ac:dyDescent="0.3">
      <c r="A729"/>
      <c r="B729" s="239"/>
      <c r="C729" s="239"/>
      <c r="D729" s="239"/>
      <c r="E729" s="239"/>
      <c r="F729" s="239"/>
      <c r="G729" s="239"/>
      <c r="H729" s="239"/>
    </row>
    <row r="730" spans="1:8" x14ac:dyDescent="0.3">
      <c r="A730"/>
      <c r="B730" s="239"/>
      <c r="C730" s="239"/>
      <c r="D730" s="239"/>
      <c r="E730" s="239"/>
      <c r="F730" s="239"/>
      <c r="G730" s="239"/>
      <c r="H730" s="239"/>
    </row>
    <row r="731" spans="1:8" x14ac:dyDescent="0.3">
      <c r="A731"/>
      <c r="B731" s="239"/>
      <c r="C731" s="239"/>
      <c r="D731" s="239"/>
      <c r="E731" s="239"/>
      <c r="F731" s="239"/>
      <c r="G731" s="239"/>
      <c r="H731" s="239"/>
    </row>
    <row r="732" spans="1:8" x14ac:dyDescent="0.3">
      <c r="A732"/>
      <c r="B732" s="239"/>
      <c r="C732" s="239"/>
      <c r="D732" s="239"/>
      <c r="E732" s="239"/>
      <c r="F732" s="239"/>
      <c r="G732" s="239"/>
      <c r="H732" s="239"/>
    </row>
    <row r="733" spans="1:8" x14ac:dyDescent="0.3">
      <c r="A733"/>
      <c r="B733" s="239"/>
      <c r="C733" s="239"/>
      <c r="D733" s="239"/>
      <c r="E733" s="239"/>
      <c r="F733" s="239"/>
      <c r="G733" s="239"/>
      <c r="H733" s="239"/>
    </row>
    <row r="734" spans="1:8" x14ac:dyDescent="0.3">
      <c r="A734"/>
      <c r="B734" s="239"/>
      <c r="C734" s="239"/>
      <c r="D734" s="239"/>
      <c r="E734" s="239"/>
      <c r="F734" s="239"/>
      <c r="G734" s="239"/>
      <c r="H734" s="239"/>
    </row>
    <row r="735" spans="1:8" x14ac:dyDescent="0.3">
      <c r="A735"/>
      <c r="B735" s="239"/>
      <c r="C735" s="239"/>
      <c r="D735" s="239"/>
      <c r="E735" s="239"/>
      <c r="F735" s="239"/>
      <c r="G735" s="239"/>
      <c r="H735" s="239"/>
    </row>
    <row r="736" spans="1:8" x14ac:dyDescent="0.3">
      <c r="A736"/>
      <c r="B736" s="239"/>
      <c r="C736" s="239"/>
      <c r="D736" s="239"/>
      <c r="E736" s="239"/>
      <c r="F736" s="239"/>
      <c r="G736" s="239"/>
      <c r="H736" s="239"/>
    </row>
    <row r="737" spans="1:8" x14ac:dyDescent="0.3">
      <c r="A737"/>
      <c r="B737" s="239"/>
      <c r="C737" s="239"/>
      <c r="D737" s="239"/>
      <c r="E737" s="239"/>
      <c r="F737" s="239"/>
      <c r="G737" s="239"/>
      <c r="H737" s="239"/>
    </row>
    <row r="738" spans="1:8" x14ac:dyDescent="0.3">
      <c r="A738"/>
      <c r="B738" s="239"/>
      <c r="C738" s="239"/>
      <c r="D738" s="239"/>
      <c r="E738" s="239"/>
      <c r="F738" s="239"/>
      <c r="G738" s="239"/>
      <c r="H738" s="239"/>
    </row>
    <row r="739" spans="1:8" x14ac:dyDescent="0.3">
      <c r="A739"/>
      <c r="B739" s="239"/>
      <c r="C739" s="239"/>
      <c r="D739" s="239"/>
      <c r="E739" s="239"/>
      <c r="F739" s="239"/>
      <c r="G739" s="239"/>
      <c r="H739" s="239"/>
    </row>
    <row r="740" spans="1:8" x14ac:dyDescent="0.3">
      <c r="A740"/>
      <c r="B740" s="239"/>
      <c r="C740" s="239"/>
      <c r="D740" s="239"/>
      <c r="E740" s="239"/>
      <c r="F740" s="239"/>
      <c r="G740" s="239"/>
      <c r="H740" s="239"/>
    </row>
    <row r="741" spans="1:8" x14ac:dyDescent="0.3">
      <c r="A741"/>
      <c r="B741" s="239"/>
      <c r="C741" s="239"/>
      <c r="D741" s="239"/>
      <c r="E741" s="239"/>
      <c r="F741" s="239"/>
      <c r="G741" s="239"/>
      <c r="H741" s="239"/>
    </row>
    <row r="742" spans="1:8" x14ac:dyDescent="0.3">
      <c r="A742"/>
      <c r="B742" s="239"/>
      <c r="C742" s="239"/>
      <c r="D742" s="239"/>
      <c r="E742" s="239"/>
      <c r="F742" s="239"/>
      <c r="G742" s="239"/>
      <c r="H742" s="239"/>
    </row>
    <row r="743" spans="1:8" x14ac:dyDescent="0.3">
      <c r="A743"/>
      <c r="B743" s="239"/>
      <c r="C743" s="239"/>
      <c r="D743" s="239"/>
      <c r="E743" s="239"/>
      <c r="F743" s="239"/>
      <c r="G743" s="239"/>
      <c r="H743" s="239"/>
    </row>
    <row r="744" spans="1:8" x14ac:dyDescent="0.3">
      <c r="A744"/>
      <c r="B744" s="239"/>
      <c r="C744" s="239"/>
      <c r="D744" s="239"/>
      <c r="E744" s="239"/>
      <c r="F744" s="239"/>
      <c r="G744" s="239"/>
      <c r="H744" s="239"/>
    </row>
    <row r="745" spans="1:8" x14ac:dyDescent="0.3">
      <c r="A745"/>
      <c r="B745" s="239"/>
      <c r="C745" s="239"/>
      <c r="D745" s="239"/>
      <c r="E745" s="239"/>
      <c r="F745" s="239"/>
      <c r="G745" s="239"/>
      <c r="H745" s="239"/>
    </row>
    <row r="746" spans="1:8" x14ac:dyDescent="0.3">
      <c r="A746"/>
      <c r="B746" s="239"/>
      <c r="C746" s="239"/>
      <c r="D746" s="239"/>
      <c r="E746" s="239"/>
      <c r="F746" s="239"/>
      <c r="G746" s="239"/>
      <c r="H746" s="239"/>
    </row>
    <row r="747" spans="1:8" x14ac:dyDescent="0.3">
      <c r="A747"/>
      <c r="B747" s="239"/>
      <c r="C747" s="239"/>
      <c r="D747" s="239"/>
      <c r="E747" s="239"/>
      <c r="F747" s="239"/>
      <c r="G747" s="239"/>
      <c r="H747" s="239"/>
    </row>
    <row r="748" spans="1:8" x14ac:dyDescent="0.3">
      <c r="A748"/>
      <c r="B748" s="239"/>
      <c r="C748" s="239"/>
      <c r="D748" s="239"/>
      <c r="E748" s="239"/>
      <c r="F748" s="239"/>
      <c r="G748" s="239"/>
      <c r="H748" s="239"/>
    </row>
    <row r="749" spans="1:8" x14ac:dyDescent="0.3">
      <c r="A749"/>
      <c r="B749" s="239"/>
      <c r="C749" s="239"/>
      <c r="D749" s="239"/>
      <c r="E749" s="239"/>
      <c r="F749" s="239"/>
      <c r="G749" s="239"/>
      <c r="H749" s="239"/>
    </row>
    <row r="750" spans="1:8" x14ac:dyDescent="0.3">
      <c r="A750"/>
      <c r="B750" s="239"/>
      <c r="C750" s="239"/>
      <c r="D750" s="239"/>
      <c r="E750" s="239"/>
      <c r="F750" s="239"/>
      <c r="G750" s="239"/>
      <c r="H750" s="239"/>
    </row>
    <row r="751" spans="1:8" x14ac:dyDescent="0.3">
      <c r="A751"/>
      <c r="B751" s="239"/>
      <c r="C751" s="239"/>
      <c r="D751" s="239"/>
      <c r="E751" s="239"/>
      <c r="F751" s="239"/>
      <c r="G751" s="239"/>
      <c r="H751" s="239"/>
    </row>
    <row r="752" spans="1:8" x14ac:dyDescent="0.3">
      <c r="A752"/>
      <c r="B752" s="239"/>
      <c r="C752" s="239"/>
      <c r="D752" s="239"/>
      <c r="E752" s="239"/>
      <c r="F752" s="239"/>
      <c r="G752" s="239"/>
      <c r="H752" s="239"/>
    </row>
    <row r="753" spans="1:8" x14ac:dyDescent="0.3">
      <c r="A753"/>
      <c r="B753" s="239"/>
      <c r="C753" s="239"/>
      <c r="D753" s="239"/>
      <c r="E753" s="239"/>
      <c r="F753" s="239"/>
      <c r="G753" s="239"/>
      <c r="H753" s="239"/>
    </row>
    <row r="754" spans="1:8" x14ac:dyDescent="0.3">
      <c r="A754"/>
      <c r="B754" s="239"/>
      <c r="C754" s="239"/>
      <c r="D754" s="239"/>
      <c r="E754" s="239"/>
      <c r="F754" s="239"/>
      <c r="G754" s="239"/>
      <c r="H754" s="239"/>
    </row>
    <row r="755" spans="1:8" x14ac:dyDescent="0.3">
      <c r="A755"/>
      <c r="B755" s="239"/>
      <c r="C755" s="239"/>
      <c r="D755" s="239"/>
      <c r="E755" s="239"/>
      <c r="F755" s="239"/>
      <c r="G755" s="239"/>
      <c r="H755" s="239"/>
    </row>
    <row r="756" spans="1:8" x14ac:dyDescent="0.3">
      <c r="A756"/>
      <c r="B756" s="239"/>
      <c r="C756" s="239"/>
      <c r="D756" s="239"/>
      <c r="E756" s="239"/>
      <c r="F756" s="239"/>
      <c r="G756" s="239"/>
      <c r="H756" s="239"/>
    </row>
    <row r="757" spans="1:8" x14ac:dyDescent="0.3">
      <c r="A757"/>
      <c r="B757" s="239"/>
      <c r="C757" s="239"/>
      <c r="D757" s="239"/>
      <c r="E757" s="239"/>
      <c r="F757" s="239"/>
      <c r="G757" s="239"/>
      <c r="H757" s="239"/>
    </row>
    <row r="758" spans="1:8" x14ac:dyDescent="0.3">
      <c r="A758"/>
      <c r="B758" s="239"/>
      <c r="C758" s="239"/>
      <c r="D758" s="239"/>
      <c r="E758" s="239"/>
      <c r="F758" s="239"/>
      <c r="G758" s="239"/>
      <c r="H758" s="239"/>
    </row>
    <row r="759" spans="1:8" x14ac:dyDescent="0.3">
      <c r="A759"/>
      <c r="B759" s="239"/>
      <c r="C759" s="239"/>
      <c r="D759" s="239"/>
      <c r="E759" s="239"/>
      <c r="F759" s="239"/>
      <c r="G759" s="239"/>
      <c r="H759" s="239"/>
    </row>
    <row r="760" spans="1:8" x14ac:dyDescent="0.3">
      <c r="A760"/>
      <c r="B760" s="239"/>
      <c r="C760" s="239"/>
      <c r="D760" s="239"/>
      <c r="E760" s="239"/>
      <c r="F760" s="239"/>
      <c r="G760" s="239"/>
      <c r="H760" s="239"/>
    </row>
    <row r="761" spans="1:8" x14ac:dyDescent="0.3">
      <c r="A761"/>
      <c r="B761" s="239"/>
      <c r="C761" s="239"/>
      <c r="D761" s="239"/>
      <c r="E761" s="239"/>
      <c r="F761" s="239"/>
      <c r="G761" s="239"/>
      <c r="H761" s="239"/>
    </row>
    <row r="762" spans="1:8" x14ac:dyDescent="0.3">
      <c r="A762"/>
      <c r="B762" s="239"/>
      <c r="C762" s="239"/>
      <c r="D762" s="239"/>
      <c r="E762" s="239"/>
      <c r="F762" s="239"/>
      <c r="G762" s="239"/>
      <c r="H762" s="239"/>
    </row>
    <row r="763" spans="1:8" x14ac:dyDescent="0.3">
      <c r="A763"/>
      <c r="B763" s="239"/>
      <c r="C763" s="239"/>
      <c r="D763" s="239"/>
      <c r="E763" s="239"/>
      <c r="F763" s="239"/>
      <c r="G763" s="239"/>
      <c r="H763" s="239"/>
    </row>
    <row r="764" spans="1:8" x14ac:dyDescent="0.3">
      <c r="A764"/>
      <c r="B764" s="239"/>
      <c r="C764" s="239"/>
      <c r="D764" s="239"/>
      <c r="E764" s="239"/>
      <c r="F764" s="239"/>
      <c r="G764" s="239"/>
      <c r="H764" s="239"/>
    </row>
    <row r="765" spans="1:8" x14ac:dyDescent="0.3">
      <c r="A765"/>
      <c r="B765" s="239"/>
      <c r="C765" s="239"/>
      <c r="D765" s="239"/>
      <c r="E765" s="239"/>
      <c r="F765" s="239"/>
      <c r="G765" s="239"/>
      <c r="H765" s="239"/>
    </row>
    <row r="766" spans="1:8" x14ac:dyDescent="0.3">
      <c r="A766"/>
      <c r="B766" s="239"/>
      <c r="C766" s="239"/>
      <c r="D766" s="239"/>
      <c r="E766" s="239"/>
      <c r="F766" s="239"/>
      <c r="G766" s="239"/>
      <c r="H766" s="239"/>
    </row>
    <row r="767" spans="1:8" x14ac:dyDescent="0.3">
      <c r="A767"/>
      <c r="B767" s="239"/>
      <c r="C767" s="239"/>
      <c r="D767" s="239"/>
      <c r="E767" s="239"/>
      <c r="F767" s="239"/>
      <c r="G767" s="239"/>
      <c r="H767" s="239"/>
    </row>
    <row r="768" spans="1:8" x14ac:dyDescent="0.3">
      <c r="A768"/>
      <c r="B768" s="239"/>
      <c r="C768" s="239"/>
      <c r="D768" s="239"/>
      <c r="E768" s="239"/>
      <c r="F768" s="239"/>
      <c r="G768" s="239"/>
      <c r="H768" s="239"/>
    </row>
    <row r="769" spans="1:8" x14ac:dyDescent="0.3">
      <c r="A769"/>
      <c r="B769" s="239"/>
      <c r="C769" s="239"/>
      <c r="D769" s="239"/>
      <c r="E769" s="239"/>
      <c r="F769" s="239"/>
      <c r="G769" s="239"/>
      <c r="H769" s="239"/>
    </row>
    <row r="770" spans="1:8" x14ac:dyDescent="0.3">
      <c r="A770"/>
      <c r="B770" s="239"/>
      <c r="C770" s="239"/>
      <c r="D770" s="239"/>
      <c r="E770" s="239"/>
      <c r="F770" s="239"/>
      <c r="G770" s="239"/>
      <c r="H770" s="239"/>
    </row>
    <row r="771" spans="1:8" x14ac:dyDescent="0.3">
      <c r="A771"/>
      <c r="B771" s="239"/>
      <c r="C771" s="239"/>
      <c r="D771" s="239"/>
      <c r="E771" s="239"/>
      <c r="F771" s="239"/>
      <c r="G771" s="239"/>
      <c r="H771" s="239"/>
    </row>
    <row r="772" spans="1:8" x14ac:dyDescent="0.3">
      <c r="A772"/>
      <c r="B772" s="239"/>
      <c r="C772" s="239"/>
      <c r="D772" s="239"/>
      <c r="E772" s="239"/>
      <c r="F772" s="239"/>
      <c r="G772" s="239"/>
      <c r="H772" s="239"/>
    </row>
    <row r="773" spans="1:8" x14ac:dyDescent="0.3">
      <c r="A773"/>
      <c r="B773" s="239"/>
      <c r="C773" s="239"/>
      <c r="D773" s="239"/>
      <c r="E773" s="239"/>
      <c r="F773" s="239"/>
      <c r="G773" s="239"/>
      <c r="H773" s="239"/>
    </row>
    <row r="774" spans="1:8" x14ac:dyDescent="0.3">
      <c r="A774"/>
      <c r="B774" s="239"/>
      <c r="C774" s="239"/>
      <c r="D774" s="239"/>
      <c r="E774" s="239"/>
      <c r="F774" s="239"/>
      <c r="G774" s="239"/>
      <c r="H774" s="239"/>
    </row>
    <row r="775" spans="1:8" x14ac:dyDescent="0.3">
      <c r="A775"/>
      <c r="B775" s="239"/>
      <c r="C775" s="239"/>
      <c r="D775" s="239"/>
      <c r="E775" s="239"/>
      <c r="F775" s="239"/>
      <c r="G775" s="239"/>
      <c r="H775" s="239"/>
    </row>
    <row r="776" spans="1:8" x14ac:dyDescent="0.3">
      <c r="A776"/>
      <c r="B776" s="239"/>
      <c r="C776" s="239"/>
      <c r="D776" s="239"/>
      <c r="E776" s="239"/>
      <c r="F776" s="239"/>
      <c r="G776" s="239"/>
      <c r="H776" s="239"/>
    </row>
    <row r="777" spans="1:8" x14ac:dyDescent="0.3">
      <c r="A777"/>
      <c r="B777" s="239"/>
      <c r="C777" s="239"/>
      <c r="D777" s="239"/>
      <c r="E777" s="239"/>
      <c r="F777" s="239"/>
      <c r="G777" s="239"/>
      <c r="H777" s="239"/>
    </row>
    <row r="778" spans="1:8" x14ac:dyDescent="0.3">
      <c r="A778"/>
      <c r="B778" s="239"/>
      <c r="C778" s="239"/>
      <c r="D778" s="239"/>
      <c r="E778" s="239"/>
      <c r="F778" s="239"/>
      <c r="G778" s="239"/>
      <c r="H778" s="239"/>
    </row>
    <row r="779" spans="1:8" x14ac:dyDescent="0.3">
      <c r="A779"/>
      <c r="B779" s="239"/>
      <c r="C779" s="239"/>
      <c r="D779" s="239"/>
      <c r="E779" s="239"/>
      <c r="F779" s="239"/>
      <c r="G779" s="239"/>
      <c r="H779" s="239"/>
    </row>
    <row r="780" spans="1:8" x14ac:dyDescent="0.3">
      <c r="A780"/>
      <c r="B780" s="239"/>
      <c r="C780" s="239"/>
      <c r="D780" s="239"/>
      <c r="E780" s="239"/>
      <c r="F780" s="239"/>
      <c r="G780" s="239"/>
      <c r="H780" s="239"/>
    </row>
    <row r="781" spans="1:8" x14ac:dyDescent="0.3">
      <c r="A781"/>
      <c r="B781" s="239"/>
      <c r="C781" s="239"/>
      <c r="D781" s="239"/>
      <c r="E781" s="239"/>
      <c r="F781" s="239"/>
      <c r="G781" s="239"/>
      <c r="H781" s="239"/>
    </row>
    <row r="782" spans="1:8" x14ac:dyDescent="0.3">
      <c r="A782"/>
      <c r="B782" s="239"/>
      <c r="C782" s="239"/>
      <c r="D782" s="239"/>
      <c r="E782" s="239"/>
      <c r="F782" s="239"/>
      <c r="G782" s="239"/>
      <c r="H782" s="239"/>
    </row>
    <row r="783" spans="1:8" x14ac:dyDescent="0.3">
      <c r="A783"/>
      <c r="B783" s="239"/>
      <c r="C783" s="239"/>
      <c r="D783" s="239"/>
      <c r="E783" s="239"/>
      <c r="F783" s="239"/>
      <c r="G783" s="239"/>
      <c r="H783" s="239"/>
    </row>
    <row r="784" spans="1:8" x14ac:dyDescent="0.3">
      <c r="A784"/>
      <c r="B784" s="239"/>
      <c r="C784" s="239"/>
      <c r="D784" s="239"/>
      <c r="E784" s="239"/>
      <c r="F784" s="239"/>
      <c r="G784" s="239"/>
      <c r="H784" s="239"/>
    </row>
    <row r="785" spans="1:8" x14ac:dyDescent="0.3">
      <c r="A785"/>
      <c r="B785" s="239"/>
      <c r="C785" s="239"/>
      <c r="D785" s="239"/>
      <c r="E785" s="239"/>
      <c r="F785" s="239"/>
      <c r="G785" s="239"/>
      <c r="H785" s="239"/>
    </row>
    <row r="786" spans="1:8" x14ac:dyDescent="0.3">
      <c r="A786"/>
      <c r="B786" s="239"/>
      <c r="C786" s="239"/>
      <c r="D786" s="239"/>
      <c r="E786" s="239"/>
      <c r="F786" s="239"/>
      <c r="G786" s="239"/>
      <c r="H786" s="239"/>
    </row>
    <row r="787" spans="1:8" x14ac:dyDescent="0.3">
      <c r="A787"/>
      <c r="B787" s="239"/>
      <c r="C787" s="239"/>
      <c r="D787" s="239"/>
      <c r="E787" s="239"/>
      <c r="F787" s="239"/>
      <c r="G787" s="239"/>
      <c r="H787" s="239"/>
    </row>
    <row r="788" spans="1:8" x14ac:dyDescent="0.3">
      <c r="A788"/>
      <c r="B788" s="239"/>
      <c r="C788" s="239"/>
      <c r="D788" s="239"/>
      <c r="E788" s="239"/>
      <c r="F788" s="239"/>
      <c r="G788" s="239"/>
      <c r="H788" s="239"/>
    </row>
    <row r="789" spans="1:8" x14ac:dyDescent="0.3">
      <c r="A789"/>
      <c r="B789" s="239"/>
      <c r="C789" s="239"/>
      <c r="D789" s="239"/>
      <c r="E789" s="239"/>
      <c r="F789" s="239"/>
      <c r="G789" s="239"/>
      <c r="H789" s="239"/>
    </row>
    <row r="790" spans="1:8" x14ac:dyDescent="0.3">
      <c r="A790"/>
      <c r="B790" s="239"/>
      <c r="C790" s="239"/>
      <c r="D790" s="239"/>
      <c r="E790" s="239"/>
      <c r="F790" s="239"/>
      <c r="G790" s="239"/>
      <c r="H790" s="239"/>
    </row>
    <row r="791" spans="1:8" x14ac:dyDescent="0.3">
      <c r="A791"/>
      <c r="B791" s="239"/>
      <c r="C791" s="239"/>
      <c r="D791" s="239"/>
      <c r="E791" s="239"/>
      <c r="F791" s="239"/>
      <c r="G791" s="239"/>
      <c r="H791" s="239"/>
    </row>
    <row r="792" spans="1:8" x14ac:dyDescent="0.3">
      <c r="A792"/>
      <c r="B792" s="239"/>
      <c r="C792" s="239"/>
      <c r="D792" s="239"/>
      <c r="E792" s="239"/>
      <c r="F792" s="239"/>
      <c r="G792" s="239"/>
      <c r="H792" s="239"/>
    </row>
    <row r="793" spans="1:8" x14ac:dyDescent="0.3">
      <c r="A793"/>
      <c r="B793" s="239"/>
      <c r="C793" s="239"/>
      <c r="D793" s="239"/>
      <c r="E793" s="239"/>
      <c r="F793" s="239"/>
      <c r="G793" s="239"/>
      <c r="H793" s="239"/>
    </row>
    <row r="794" spans="1:8" x14ac:dyDescent="0.3">
      <c r="A794"/>
      <c r="B794" s="239"/>
      <c r="C794" s="239"/>
      <c r="D794" s="239"/>
      <c r="E794" s="239"/>
      <c r="F794" s="239"/>
      <c r="G794" s="239"/>
      <c r="H794" s="239"/>
    </row>
    <row r="795" spans="1:8" x14ac:dyDescent="0.3">
      <c r="A795"/>
      <c r="B795" s="239"/>
      <c r="C795" s="239"/>
      <c r="D795" s="239"/>
      <c r="E795" s="239"/>
      <c r="F795" s="239"/>
      <c r="G795" s="239"/>
      <c r="H795" s="239"/>
    </row>
    <row r="796" spans="1:8" x14ac:dyDescent="0.3">
      <c r="A796"/>
      <c r="B796" s="239"/>
      <c r="C796" s="239"/>
      <c r="D796" s="239"/>
      <c r="E796" s="239"/>
      <c r="F796" s="239"/>
      <c r="G796" s="239"/>
      <c r="H796" s="239"/>
    </row>
    <row r="797" spans="1:8" x14ac:dyDescent="0.3">
      <c r="A797"/>
      <c r="B797" s="239"/>
      <c r="C797" s="239"/>
      <c r="D797" s="239"/>
      <c r="E797" s="239"/>
      <c r="F797" s="239"/>
      <c r="G797" s="239"/>
      <c r="H797" s="239"/>
    </row>
    <row r="798" spans="1:8" x14ac:dyDescent="0.3">
      <c r="A798"/>
      <c r="B798" s="239"/>
      <c r="C798" s="239"/>
      <c r="D798" s="239"/>
      <c r="E798" s="239"/>
      <c r="F798" s="239"/>
      <c r="G798" s="239"/>
      <c r="H798" s="239"/>
    </row>
    <row r="799" spans="1:8" x14ac:dyDescent="0.3">
      <c r="A799"/>
      <c r="B799" s="239"/>
      <c r="C799" s="239"/>
      <c r="D799" s="239"/>
      <c r="E799" s="239"/>
      <c r="F799" s="239"/>
      <c r="G799" s="239"/>
      <c r="H799" s="239"/>
    </row>
    <row r="800" spans="1:8" x14ac:dyDescent="0.3">
      <c r="A800"/>
      <c r="B800" s="239"/>
      <c r="C800" s="239"/>
      <c r="D800" s="239"/>
      <c r="E800" s="239"/>
      <c r="F800" s="239"/>
      <c r="G800" s="239"/>
      <c r="H800" s="239"/>
    </row>
    <row r="801" spans="1:8" x14ac:dyDescent="0.3">
      <c r="A801"/>
      <c r="B801" s="239"/>
      <c r="C801" s="239"/>
      <c r="D801" s="239"/>
      <c r="E801" s="239"/>
      <c r="F801" s="239"/>
      <c r="G801" s="239"/>
      <c r="H801" s="239"/>
    </row>
    <row r="802" spans="1:8" x14ac:dyDescent="0.3">
      <c r="A802"/>
      <c r="B802" s="239"/>
      <c r="C802" s="239"/>
      <c r="D802" s="239"/>
      <c r="E802" s="239"/>
      <c r="F802" s="239"/>
      <c r="G802" s="239"/>
      <c r="H802" s="239"/>
    </row>
    <row r="803" spans="1:8" x14ac:dyDescent="0.3">
      <c r="A803"/>
      <c r="B803" s="239"/>
      <c r="C803" s="239"/>
      <c r="D803" s="239"/>
      <c r="E803" s="239"/>
      <c r="F803" s="239"/>
      <c r="G803" s="239"/>
      <c r="H803" s="239"/>
    </row>
    <row r="804" spans="1:8" x14ac:dyDescent="0.3">
      <c r="A804"/>
      <c r="B804" s="239"/>
      <c r="C804" s="239"/>
      <c r="D804" s="239"/>
      <c r="E804" s="239"/>
      <c r="F804" s="239"/>
      <c r="G804" s="239"/>
      <c r="H804" s="239"/>
    </row>
    <row r="805" spans="1:8" x14ac:dyDescent="0.3">
      <c r="A805"/>
      <c r="B805" s="239"/>
      <c r="C805" s="239"/>
      <c r="D805" s="239"/>
      <c r="E805" s="239"/>
      <c r="F805" s="239"/>
      <c r="G805" s="239"/>
      <c r="H805" s="239"/>
    </row>
    <row r="806" spans="1:8" x14ac:dyDescent="0.3">
      <c r="A806"/>
      <c r="B806" s="239"/>
      <c r="C806" s="239"/>
      <c r="D806" s="239"/>
      <c r="E806" s="239"/>
      <c r="F806" s="239"/>
      <c r="G806" s="239"/>
      <c r="H806" s="239"/>
    </row>
    <row r="807" spans="1:8" x14ac:dyDescent="0.3">
      <c r="A807"/>
      <c r="B807" s="239"/>
      <c r="C807" s="239"/>
      <c r="D807" s="239"/>
      <c r="E807" s="239"/>
      <c r="F807" s="239"/>
      <c r="G807" s="239"/>
      <c r="H807" s="239"/>
    </row>
    <row r="808" spans="1:8" x14ac:dyDescent="0.3">
      <c r="A808"/>
      <c r="B808" s="239"/>
      <c r="C808" s="239"/>
      <c r="D808" s="239"/>
      <c r="E808" s="239"/>
      <c r="F808" s="239"/>
      <c r="G808" s="239"/>
      <c r="H808" s="239"/>
    </row>
    <row r="809" spans="1:8" x14ac:dyDescent="0.3">
      <c r="A809"/>
      <c r="B809" s="239"/>
      <c r="C809" s="239"/>
      <c r="D809" s="239"/>
      <c r="E809" s="239"/>
      <c r="F809" s="239"/>
      <c r="G809" s="239"/>
      <c r="H809" s="239"/>
    </row>
    <row r="810" spans="1:8" x14ac:dyDescent="0.3">
      <c r="A810"/>
      <c r="B810" s="239"/>
      <c r="C810" s="239"/>
      <c r="D810" s="239"/>
      <c r="E810" s="239"/>
      <c r="F810" s="239"/>
      <c r="G810" s="239"/>
      <c r="H810" s="239"/>
    </row>
    <row r="811" spans="1:8" x14ac:dyDescent="0.3">
      <c r="A811"/>
      <c r="B811" s="239"/>
      <c r="C811" s="239"/>
      <c r="D811" s="239"/>
      <c r="E811" s="239"/>
      <c r="F811" s="239"/>
      <c r="G811" s="239"/>
      <c r="H811" s="239"/>
    </row>
    <row r="812" spans="1:8" x14ac:dyDescent="0.3">
      <c r="A812"/>
      <c r="B812" s="239"/>
      <c r="C812" s="239"/>
      <c r="D812" s="239"/>
      <c r="E812" s="239"/>
      <c r="F812" s="239"/>
      <c r="G812" s="239"/>
      <c r="H812" s="239"/>
    </row>
    <row r="813" spans="1:8" x14ac:dyDescent="0.3">
      <c r="A813"/>
      <c r="B813" s="239"/>
      <c r="C813" s="239"/>
      <c r="D813" s="239"/>
      <c r="E813" s="239"/>
      <c r="F813" s="239"/>
      <c r="G813" s="239"/>
      <c r="H813" s="239"/>
    </row>
    <row r="814" spans="1:8" x14ac:dyDescent="0.3">
      <c r="A814"/>
      <c r="B814" s="239"/>
      <c r="C814" s="239"/>
      <c r="D814" s="239"/>
      <c r="E814" s="239"/>
      <c r="F814" s="239"/>
      <c r="G814" s="239"/>
      <c r="H814" s="239"/>
    </row>
    <row r="815" spans="1:8" x14ac:dyDescent="0.3">
      <c r="A815"/>
      <c r="B815" s="239"/>
      <c r="C815" s="239"/>
      <c r="D815" s="239"/>
      <c r="E815" s="239"/>
      <c r="F815" s="239"/>
      <c r="G815" s="239"/>
      <c r="H815" s="239"/>
    </row>
    <row r="816" spans="1:8" x14ac:dyDescent="0.3">
      <c r="A816"/>
      <c r="B816" s="239"/>
      <c r="C816" s="239"/>
      <c r="D816" s="239"/>
      <c r="E816" s="239"/>
      <c r="F816" s="239"/>
      <c r="G816" s="239"/>
      <c r="H816" s="239"/>
    </row>
    <row r="817" spans="1:8" x14ac:dyDescent="0.3">
      <c r="A817"/>
      <c r="B817" s="239"/>
      <c r="C817" s="239"/>
      <c r="D817" s="239"/>
      <c r="E817" s="239"/>
      <c r="F817" s="239"/>
      <c r="G817" s="239"/>
      <c r="H817" s="239"/>
    </row>
    <row r="818" spans="1:8" x14ac:dyDescent="0.3">
      <c r="A818"/>
      <c r="B818" s="239"/>
      <c r="C818" s="239"/>
      <c r="D818" s="239"/>
      <c r="E818" s="239"/>
      <c r="F818" s="239"/>
      <c r="G818" s="239"/>
      <c r="H818" s="239"/>
    </row>
    <row r="819" spans="1:8" x14ac:dyDescent="0.3">
      <c r="A819"/>
      <c r="B819" s="239"/>
      <c r="C819" s="239"/>
      <c r="D819" s="239"/>
      <c r="E819" s="239"/>
      <c r="F819" s="239"/>
      <c r="G819" s="239"/>
      <c r="H819" s="239"/>
    </row>
    <row r="820" spans="1:8" x14ac:dyDescent="0.3">
      <c r="A820"/>
      <c r="B820" s="239"/>
      <c r="C820" s="239"/>
      <c r="D820" s="239"/>
      <c r="E820" s="239"/>
      <c r="F820" s="239"/>
      <c r="G820" s="239"/>
      <c r="H820" s="239"/>
    </row>
    <row r="821" spans="1:8" x14ac:dyDescent="0.3">
      <c r="A821"/>
      <c r="B821" s="239"/>
      <c r="C821" s="239"/>
      <c r="D821" s="239"/>
      <c r="E821" s="239"/>
      <c r="F821" s="239"/>
      <c r="G821" s="239"/>
      <c r="H821" s="239"/>
    </row>
    <row r="822" spans="1:8" x14ac:dyDescent="0.3">
      <c r="A822"/>
      <c r="B822" s="239"/>
      <c r="C822" s="239"/>
      <c r="D822" s="239"/>
      <c r="E822" s="239"/>
      <c r="F822" s="239"/>
      <c r="G822" s="239"/>
      <c r="H822" s="239"/>
    </row>
    <row r="823" spans="1:8" x14ac:dyDescent="0.3">
      <c r="A823"/>
      <c r="B823" s="239"/>
      <c r="C823" s="239"/>
      <c r="D823" s="239"/>
      <c r="E823" s="239"/>
      <c r="F823" s="239"/>
      <c r="G823" s="239"/>
      <c r="H823" s="239"/>
    </row>
    <row r="824" spans="1:8" x14ac:dyDescent="0.3">
      <c r="A824"/>
      <c r="B824" s="239"/>
      <c r="C824" s="239"/>
      <c r="D824" s="239"/>
      <c r="E824" s="239"/>
      <c r="F824" s="239"/>
      <c r="G824" s="239"/>
      <c r="H824" s="239"/>
    </row>
    <row r="825" spans="1:8" x14ac:dyDescent="0.3">
      <c r="A825"/>
      <c r="B825" s="239"/>
      <c r="C825" s="239"/>
      <c r="D825" s="239"/>
      <c r="E825" s="239"/>
      <c r="F825" s="239"/>
      <c r="G825" s="239"/>
      <c r="H825" s="239"/>
    </row>
    <row r="826" spans="1:8" x14ac:dyDescent="0.3">
      <c r="A826"/>
      <c r="B826" s="239"/>
      <c r="C826" s="239"/>
      <c r="D826" s="239"/>
      <c r="E826" s="239"/>
      <c r="F826" s="239"/>
      <c r="G826" s="239"/>
      <c r="H826" s="239"/>
    </row>
    <row r="827" spans="1:8" x14ac:dyDescent="0.3">
      <c r="A827"/>
      <c r="B827" s="239"/>
      <c r="C827" s="239"/>
      <c r="D827" s="239"/>
      <c r="E827" s="239"/>
      <c r="F827" s="239"/>
      <c r="G827" s="239"/>
      <c r="H827" s="239"/>
    </row>
    <row r="828" spans="1:8" x14ac:dyDescent="0.3">
      <c r="A828"/>
      <c r="B828" s="239"/>
      <c r="C828" s="239"/>
      <c r="D828" s="239"/>
      <c r="E828" s="239"/>
      <c r="F828" s="239"/>
      <c r="G828" s="239"/>
      <c r="H828" s="239"/>
    </row>
    <row r="829" spans="1:8" x14ac:dyDescent="0.3">
      <c r="A829"/>
      <c r="B829" s="239"/>
      <c r="C829" s="239"/>
      <c r="D829" s="239"/>
      <c r="E829" s="239"/>
      <c r="F829" s="239"/>
      <c r="G829" s="239"/>
      <c r="H829" s="239"/>
    </row>
    <row r="830" spans="1:8" x14ac:dyDescent="0.3">
      <c r="A830"/>
      <c r="B830" s="239"/>
      <c r="C830" s="239"/>
      <c r="D830" s="239"/>
      <c r="E830" s="239"/>
      <c r="F830" s="239"/>
      <c r="G830" s="239"/>
      <c r="H830" s="239"/>
    </row>
    <row r="831" spans="1:8" x14ac:dyDescent="0.3">
      <c r="A831"/>
      <c r="B831" s="239"/>
      <c r="C831" s="239"/>
      <c r="D831" s="239"/>
      <c r="E831" s="239"/>
      <c r="F831" s="239"/>
      <c r="G831" s="239"/>
      <c r="H831" s="239"/>
    </row>
    <row r="832" spans="1:8" x14ac:dyDescent="0.3">
      <c r="A832"/>
      <c r="B832" s="239"/>
      <c r="C832" s="239"/>
      <c r="D832" s="239"/>
      <c r="E832" s="239"/>
      <c r="F832" s="239"/>
      <c r="G832" s="239"/>
      <c r="H832" s="239"/>
    </row>
    <row r="833" spans="1:8" x14ac:dyDescent="0.3">
      <c r="A833"/>
      <c r="B833" s="239"/>
      <c r="C833" s="239"/>
      <c r="D833" s="239"/>
      <c r="E833" s="239"/>
      <c r="F833" s="239"/>
      <c r="G833" s="239"/>
      <c r="H833" s="239"/>
    </row>
    <row r="834" spans="1:8" x14ac:dyDescent="0.3">
      <c r="A834"/>
      <c r="B834" s="239"/>
      <c r="C834" s="239"/>
      <c r="D834" s="239"/>
      <c r="E834" s="239"/>
      <c r="F834" s="239"/>
      <c r="G834" s="239"/>
      <c r="H834" s="239"/>
    </row>
    <row r="835" spans="1:8" x14ac:dyDescent="0.3">
      <c r="A835"/>
      <c r="B835" s="239"/>
      <c r="C835" s="239"/>
      <c r="D835" s="239"/>
      <c r="E835" s="239"/>
      <c r="F835" s="239"/>
      <c r="G835" s="239"/>
      <c r="H835" s="239"/>
    </row>
    <row r="836" spans="1:8" x14ac:dyDescent="0.3">
      <c r="A836"/>
      <c r="B836" s="239"/>
      <c r="C836" s="239"/>
      <c r="D836" s="239"/>
      <c r="E836" s="239"/>
      <c r="F836" s="239"/>
      <c r="G836" s="239"/>
      <c r="H836" s="239"/>
    </row>
    <row r="837" spans="1:8" x14ac:dyDescent="0.3">
      <c r="A837"/>
      <c r="B837" s="239"/>
      <c r="C837" s="239"/>
      <c r="D837" s="239"/>
      <c r="E837" s="239"/>
      <c r="F837" s="239"/>
      <c r="G837" s="239"/>
      <c r="H837" s="239"/>
    </row>
    <row r="838" spans="1:8" x14ac:dyDescent="0.3">
      <c r="A838"/>
      <c r="B838" s="239"/>
      <c r="C838" s="239"/>
      <c r="D838" s="239"/>
      <c r="E838" s="239"/>
      <c r="F838" s="239"/>
      <c r="G838" s="239"/>
      <c r="H838" s="239"/>
    </row>
    <row r="839" spans="1:8" x14ac:dyDescent="0.3">
      <c r="A839"/>
      <c r="B839" s="239"/>
      <c r="C839" s="239"/>
      <c r="D839" s="239"/>
      <c r="E839" s="239"/>
      <c r="F839" s="239"/>
      <c r="G839" s="239"/>
      <c r="H839" s="239"/>
    </row>
    <row r="840" spans="1:8" x14ac:dyDescent="0.3">
      <c r="A840"/>
      <c r="B840" s="239"/>
      <c r="C840" s="239"/>
      <c r="D840" s="239"/>
      <c r="E840" s="239"/>
      <c r="F840" s="239"/>
      <c r="G840" s="239"/>
      <c r="H840" s="239"/>
    </row>
    <row r="841" spans="1:8" x14ac:dyDescent="0.3">
      <c r="A841"/>
      <c r="B841" s="239"/>
      <c r="C841" s="239"/>
      <c r="D841" s="239"/>
      <c r="E841" s="239"/>
      <c r="F841" s="239"/>
      <c r="G841" s="239"/>
      <c r="H841" s="239"/>
    </row>
    <row r="842" spans="1:8" x14ac:dyDescent="0.3">
      <c r="A842"/>
      <c r="B842" s="239"/>
      <c r="C842" s="239"/>
      <c r="D842" s="239"/>
      <c r="E842" s="239"/>
      <c r="F842" s="239"/>
      <c r="G842" s="239"/>
      <c r="H842" s="239"/>
    </row>
    <row r="843" spans="1:8" x14ac:dyDescent="0.3">
      <c r="A843"/>
      <c r="B843" s="239"/>
      <c r="C843" s="239"/>
      <c r="D843" s="239"/>
      <c r="E843" s="239"/>
      <c r="F843" s="239"/>
      <c r="G843" s="239"/>
      <c r="H843" s="239"/>
    </row>
    <row r="844" spans="1:8" x14ac:dyDescent="0.3">
      <c r="A844"/>
      <c r="B844" s="239"/>
      <c r="C844" s="239"/>
      <c r="D844" s="239"/>
      <c r="E844" s="239"/>
      <c r="F844" s="239"/>
      <c r="G844" s="239"/>
      <c r="H844" s="239"/>
    </row>
    <row r="845" spans="1:8" x14ac:dyDescent="0.3">
      <c r="A845"/>
      <c r="B845" s="239"/>
      <c r="C845" s="239"/>
      <c r="D845" s="239"/>
      <c r="E845" s="239"/>
      <c r="F845" s="239"/>
      <c r="G845" s="239"/>
      <c r="H845" s="239"/>
    </row>
    <row r="846" spans="1:8" x14ac:dyDescent="0.3">
      <c r="A846"/>
      <c r="B846" s="239"/>
      <c r="C846" s="239"/>
      <c r="D846" s="239"/>
      <c r="E846" s="239"/>
      <c r="F846" s="239"/>
      <c r="G846" s="239"/>
      <c r="H846" s="239"/>
    </row>
    <row r="847" spans="1:8" x14ac:dyDescent="0.3">
      <c r="A847"/>
      <c r="B847" s="239"/>
      <c r="C847" s="239"/>
      <c r="D847" s="239"/>
      <c r="E847" s="239"/>
      <c r="F847" s="239"/>
      <c r="G847" s="239"/>
      <c r="H847" s="239"/>
    </row>
    <row r="848" spans="1:8" x14ac:dyDescent="0.3">
      <c r="A848"/>
      <c r="B848" s="239"/>
      <c r="C848" s="239"/>
      <c r="D848" s="239"/>
      <c r="E848" s="239"/>
      <c r="F848" s="239"/>
      <c r="G848" s="239"/>
      <c r="H848" s="239"/>
    </row>
    <row r="849" spans="1:8" x14ac:dyDescent="0.3">
      <c r="A849"/>
      <c r="B849" s="239"/>
      <c r="C849" s="239"/>
      <c r="D849" s="239"/>
      <c r="E849" s="239"/>
      <c r="F849" s="239"/>
      <c r="G849" s="239"/>
      <c r="H849" s="239"/>
    </row>
    <row r="850" spans="1:8" x14ac:dyDescent="0.3">
      <c r="A850"/>
      <c r="B850" s="239"/>
      <c r="C850" s="239"/>
      <c r="D850" s="239"/>
      <c r="E850" s="239"/>
      <c r="F850" s="239"/>
      <c r="G850" s="239"/>
      <c r="H850" s="239"/>
    </row>
    <row r="851" spans="1:8" x14ac:dyDescent="0.3">
      <c r="A851"/>
      <c r="B851" s="239"/>
      <c r="C851" s="239"/>
      <c r="D851" s="239"/>
      <c r="E851" s="239"/>
      <c r="F851" s="239"/>
      <c r="G851" s="239"/>
      <c r="H851" s="239"/>
    </row>
    <row r="852" spans="1:8" x14ac:dyDescent="0.3">
      <c r="A852"/>
      <c r="B852" s="239"/>
      <c r="C852" s="239"/>
      <c r="D852" s="239"/>
      <c r="E852" s="239"/>
      <c r="F852" s="239"/>
      <c r="G852" s="239"/>
      <c r="H852" s="239"/>
    </row>
    <row r="853" spans="1:8" x14ac:dyDescent="0.3">
      <c r="A853"/>
      <c r="B853" s="239"/>
      <c r="C853" s="239"/>
      <c r="D853" s="239"/>
      <c r="E853" s="239"/>
      <c r="F853" s="239"/>
      <c r="G853" s="239"/>
      <c r="H853" s="239"/>
    </row>
    <row r="854" spans="1:8" x14ac:dyDescent="0.3">
      <c r="A854"/>
      <c r="B854" s="239"/>
      <c r="C854" s="239"/>
      <c r="D854" s="239"/>
      <c r="E854" s="239"/>
      <c r="F854" s="239"/>
      <c r="G854" s="239"/>
      <c r="H854" s="239"/>
    </row>
    <row r="855" spans="1:8" x14ac:dyDescent="0.3">
      <c r="A855"/>
      <c r="B855" s="239"/>
      <c r="C855" s="239"/>
      <c r="D855" s="239"/>
      <c r="E855" s="239"/>
      <c r="F855" s="239"/>
      <c r="G855" s="239"/>
      <c r="H855" s="239"/>
    </row>
    <row r="856" spans="1:8" x14ac:dyDescent="0.3">
      <c r="A856"/>
      <c r="B856" s="239"/>
      <c r="C856" s="239"/>
      <c r="D856" s="239"/>
      <c r="E856" s="239"/>
      <c r="F856" s="239"/>
      <c r="G856" s="239"/>
      <c r="H856" s="239"/>
    </row>
    <row r="857" spans="1:8" x14ac:dyDescent="0.3">
      <c r="A857"/>
      <c r="B857" s="239"/>
      <c r="C857" s="239"/>
      <c r="D857" s="239"/>
      <c r="E857" s="239"/>
      <c r="F857" s="239"/>
      <c r="G857" s="239"/>
      <c r="H857" s="239"/>
    </row>
    <row r="858" spans="1:8" x14ac:dyDescent="0.3">
      <c r="A858"/>
      <c r="B858" s="239"/>
      <c r="C858" s="239"/>
      <c r="D858" s="239"/>
      <c r="E858" s="239"/>
      <c r="F858" s="239"/>
      <c r="G858" s="239"/>
      <c r="H858" s="239"/>
    </row>
    <row r="859" spans="1:8" x14ac:dyDescent="0.3">
      <c r="A859"/>
      <c r="B859" s="239"/>
      <c r="C859" s="239"/>
      <c r="D859" s="239"/>
      <c r="E859" s="239"/>
      <c r="F859" s="239"/>
      <c r="G859" s="239"/>
      <c r="H859" s="239"/>
    </row>
    <row r="860" spans="1:8" x14ac:dyDescent="0.3">
      <c r="A860"/>
      <c r="B860" s="239"/>
      <c r="C860" s="239"/>
      <c r="D860" s="239"/>
      <c r="E860" s="239"/>
      <c r="F860" s="239"/>
      <c r="G860" s="239"/>
      <c r="H860" s="239"/>
    </row>
    <row r="861" spans="1:8" x14ac:dyDescent="0.3">
      <c r="A861"/>
      <c r="B861" s="239"/>
      <c r="C861" s="239"/>
      <c r="D861" s="239"/>
      <c r="E861" s="239"/>
      <c r="F861" s="239"/>
      <c r="G861" s="239"/>
      <c r="H861" s="239"/>
    </row>
    <row r="862" spans="1:8" x14ac:dyDescent="0.3">
      <c r="A862"/>
      <c r="B862" s="239"/>
      <c r="C862" s="239"/>
      <c r="D862" s="239"/>
      <c r="E862" s="239"/>
      <c r="F862" s="239"/>
      <c r="G862" s="239"/>
      <c r="H862" s="239"/>
    </row>
    <row r="863" spans="1:8" x14ac:dyDescent="0.3">
      <c r="A863"/>
      <c r="B863" s="239"/>
      <c r="C863" s="239"/>
      <c r="D863" s="239"/>
      <c r="E863" s="239"/>
      <c r="F863" s="239"/>
      <c r="G863" s="239"/>
      <c r="H863" s="239"/>
    </row>
    <row r="864" spans="1:8" x14ac:dyDescent="0.3">
      <c r="A864"/>
      <c r="B864" s="239"/>
      <c r="C864" s="239"/>
      <c r="D864" s="239"/>
      <c r="E864" s="239"/>
      <c r="F864" s="239"/>
      <c r="G864" s="239"/>
      <c r="H864" s="239"/>
    </row>
    <row r="865" spans="1:8" x14ac:dyDescent="0.3">
      <c r="A865"/>
      <c r="B865" s="239"/>
      <c r="C865" s="239"/>
      <c r="D865" s="239"/>
      <c r="E865" s="239"/>
      <c r="F865" s="239"/>
      <c r="G865" s="239"/>
      <c r="H865" s="239"/>
    </row>
    <row r="866" spans="1:8" x14ac:dyDescent="0.3">
      <c r="A866"/>
      <c r="B866" s="239"/>
      <c r="C866" s="239"/>
      <c r="D866" s="239"/>
      <c r="E866" s="239"/>
      <c r="F866" s="239"/>
      <c r="G866" s="239"/>
      <c r="H866" s="239"/>
    </row>
    <row r="867" spans="1:8" x14ac:dyDescent="0.3">
      <c r="A867"/>
      <c r="B867" s="239"/>
      <c r="C867" s="239"/>
      <c r="D867" s="239"/>
      <c r="E867" s="239"/>
      <c r="F867" s="239"/>
      <c r="G867" s="239"/>
      <c r="H867" s="239"/>
    </row>
    <row r="868" spans="1:8" x14ac:dyDescent="0.3">
      <c r="A868"/>
      <c r="B868" s="239"/>
      <c r="C868" s="239"/>
      <c r="D868" s="239"/>
      <c r="E868" s="239"/>
      <c r="F868" s="239"/>
      <c r="G868" s="239"/>
      <c r="H868" s="239"/>
    </row>
    <row r="869" spans="1:8" x14ac:dyDescent="0.3">
      <c r="A869"/>
      <c r="B869" s="239"/>
      <c r="C869" s="239"/>
      <c r="D869" s="239"/>
      <c r="E869" s="239"/>
      <c r="F869" s="239"/>
      <c r="G869" s="239"/>
      <c r="H869" s="239"/>
    </row>
    <row r="870" spans="1:8" x14ac:dyDescent="0.3">
      <c r="A870"/>
      <c r="B870" s="239"/>
      <c r="C870" s="239"/>
      <c r="D870" s="239"/>
      <c r="E870" s="239"/>
      <c r="F870" s="239"/>
      <c r="G870" s="239"/>
      <c r="H870" s="239"/>
    </row>
    <row r="871" spans="1:8" x14ac:dyDescent="0.3">
      <c r="A871"/>
      <c r="B871" s="239"/>
      <c r="C871" s="239"/>
      <c r="D871" s="239"/>
      <c r="E871" s="239"/>
      <c r="F871" s="239"/>
      <c r="G871" s="239"/>
      <c r="H871" s="239"/>
    </row>
    <row r="872" spans="1:8" x14ac:dyDescent="0.3">
      <c r="A872"/>
      <c r="B872" s="239"/>
      <c r="C872" s="239"/>
      <c r="D872" s="239"/>
      <c r="E872" s="239"/>
      <c r="F872" s="239"/>
      <c r="G872" s="239"/>
      <c r="H872" s="239"/>
    </row>
    <row r="873" spans="1:8" x14ac:dyDescent="0.3">
      <c r="A873"/>
      <c r="B873" s="239"/>
      <c r="C873" s="239"/>
      <c r="D873" s="239"/>
      <c r="E873" s="239"/>
      <c r="F873" s="239"/>
      <c r="G873" s="239"/>
      <c r="H873" s="239"/>
    </row>
    <row r="874" spans="1:8" x14ac:dyDescent="0.3">
      <c r="A874"/>
      <c r="B874" s="239"/>
      <c r="C874" s="239"/>
      <c r="D874" s="239"/>
      <c r="E874" s="239"/>
      <c r="F874" s="239"/>
      <c r="G874" s="239"/>
      <c r="H874" s="239"/>
    </row>
    <row r="875" spans="1:8" x14ac:dyDescent="0.3">
      <c r="A875"/>
      <c r="B875" s="239"/>
      <c r="C875" s="239"/>
      <c r="D875" s="239"/>
      <c r="E875" s="239"/>
      <c r="F875" s="239"/>
      <c r="G875" s="239"/>
      <c r="H875" s="239"/>
    </row>
    <row r="876" spans="1:8" x14ac:dyDescent="0.3">
      <c r="A876"/>
      <c r="B876" s="239"/>
      <c r="C876" s="239"/>
      <c r="D876" s="239"/>
      <c r="E876" s="239"/>
      <c r="F876" s="239"/>
      <c r="G876" s="239"/>
      <c r="H876" s="239"/>
    </row>
    <row r="877" spans="1:8" x14ac:dyDescent="0.3">
      <c r="A877"/>
      <c r="B877" s="239"/>
      <c r="C877" s="239"/>
      <c r="D877" s="239"/>
      <c r="E877" s="239"/>
      <c r="F877" s="239"/>
      <c r="G877" s="239"/>
      <c r="H877" s="239"/>
    </row>
    <row r="878" spans="1:8" x14ac:dyDescent="0.3">
      <c r="A878"/>
      <c r="B878" s="239"/>
      <c r="C878" s="239"/>
      <c r="D878" s="239"/>
      <c r="E878" s="239"/>
      <c r="F878" s="239"/>
      <c r="G878" s="239"/>
      <c r="H878" s="239"/>
    </row>
    <row r="879" spans="1:8" x14ac:dyDescent="0.3">
      <c r="A879"/>
      <c r="B879" s="239"/>
      <c r="C879" s="239"/>
      <c r="D879" s="239"/>
      <c r="E879" s="239"/>
      <c r="F879" s="239"/>
      <c r="G879" s="239"/>
      <c r="H879" s="239"/>
    </row>
    <row r="880" spans="1:8" x14ac:dyDescent="0.3">
      <c r="A880"/>
      <c r="B880" s="239"/>
      <c r="C880" s="239"/>
      <c r="D880" s="239"/>
      <c r="E880" s="239"/>
      <c r="F880" s="239"/>
      <c r="G880" s="239"/>
      <c r="H880" s="239"/>
    </row>
    <row r="881" spans="1:8" x14ac:dyDescent="0.3">
      <c r="A881"/>
      <c r="B881" s="239"/>
      <c r="C881" s="239"/>
      <c r="D881" s="239"/>
      <c r="E881" s="239"/>
      <c r="F881" s="239"/>
      <c r="G881" s="239"/>
      <c r="H881" s="239"/>
    </row>
    <row r="882" spans="1:8" x14ac:dyDescent="0.3">
      <c r="A882"/>
      <c r="B882" s="239"/>
      <c r="C882" s="239"/>
      <c r="D882" s="239"/>
      <c r="E882" s="239"/>
      <c r="F882" s="239"/>
      <c r="G882" s="239"/>
      <c r="H882" s="239"/>
    </row>
    <row r="883" spans="1:8" x14ac:dyDescent="0.3">
      <c r="A883"/>
      <c r="B883" s="239"/>
      <c r="C883" s="239"/>
      <c r="D883" s="239"/>
      <c r="E883" s="239"/>
      <c r="F883" s="239"/>
      <c r="G883" s="239"/>
      <c r="H883" s="239"/>
    </row>
    <row r="884" spans="1:8" x14ac:dyDescent="0.3">
      <c r="A884"/>
      <c r="B884" s="239"/>
      <c r="C884" s="239"/>
      <c r="D884" s="239"/>
      <c r="E884" s="239"/>
      <c r="F884" s="239"/>
      <c r="G884" s="239"/>
      <c r="H884" s="239"/>
    </row>
    <row r="885" spans="1:8" x14ac:dyDescent="0.3">
      <c r="A885"/>
      <c r="B885" s="239"/>
      <c r="C885" s="239"/>
      <c r="D885" s="239"/>
      <c r="E885" s="239"/>
      <c r="F885" s="239"/>
      <c r="G885" s="239"/>
      <c r="H885" s="239"/>
    </row>
    <row r="886" spans="1:8" x14ac:dyDescent="0.3">
      <c r="A886"/>
      <c r="B886" s="239"/>
      <c r="C886" s="239"/>
      <c r="D886" s="239"/>
      <c r="E886" s="239"/>
      <c r="F886" s="239"/>
      <c r="G886" s="239"/>
      <c r="H886" s="239"/>
    </row>
    <row r="887" spans="1:8" x14ac:dyDescent="0.3">
      <c r="A887"/>
      <c r="B887" s="239"/>
      <c r="C887" s="239"/>
      <c r="D887" s="239"/>
      <c r="E887" s="239"/>
      <c r="F887" s="239"/>
      <c r="G887" s="239"/>
      <c r="H887" s="239"/>
    </row>
    <row r="888" spans="1:8" x14ac:dyDescent="0.3">
      <c r="A888"/>
      <c r="B888" s="239"/>
      <c r="C888" s="239"/>
      <c r="D888" s="239"/>
      <c r="E888" s="239"/>
      <c r="F888" s="239"/>
      <c r="G888" s="239"/>
      <c r="H888" s="239"/>
    </row>
    <row r="889" spans="1:8" x14ac:dyDescent="0.3">
      <c r="A889"/>
      <c r="B889" s="239"/>
      <c r="C889" s="239"/>
      <c r="D889" s="239"/>
      <c r="E889" s="239"/>
      <c r="F889" s="239"/>
      <c r="G889" s="239"/>
      <c r="H889" s="239"/>
    </row>
    <row r="890" spans="1:8" x14ac:dyDescent="0.3">
      <c r="A890"/>
      <c r="B890" s="239"/>
      <c r="C890" s="239"/>
      <c r="D890" s="239"/>
      <c r="E890" s="239"/>
      <c r="F890" s="239"/>
      <c r="G890" s="239"/>
      <c r="H890" s="239"/>
    </row>
    <row r="891" spans="1:8" x14ac:dyDescent="0.3">
      <c r="A891"/>
      <c r="B891" s="239"/>
      <c r="C891" s="239"/>
      <c r="D891" s="239"/>
      <c r="E891" s="239"/>
      <c r="F891" s="239"/>
      <c r="G891" s="239"/>
      <c r="H891" s="239"/>
    </row>
    <row r="892" spans="1:8" x14ac:dyDescent="0.3">
      <c r="A892"/>
      <c r="B892" s="239"/>
      <c r="C892" s="239"/>
      <c r="D892" s="239"/>
      <c r="E892" s="239"/>
      <c r="F892" s="239"/>
      <c r="G892" s="239"/>
      <c r="H892" s="239"/>
    </row>
    <row r="893" spans="1:8" x14ac:dyDescent="0.3">
      <c r="A893"/>
      <c r="B893" s="239"/>
      <c r="C893" s="239"/>
      <c r="D893" s="239"/>
      <c r="E893" s="239"/>
      <c r="F893" s="239"/>
      <c r="G893" s="239"/>
      <c r="H893" s="239"/>
    </row>
    <row r="894" spans="1:8" x14ac:dyDescent="0.3">
      <c r="A894"/>
      <c r="B894" s="239"/>
      <c r="C894" s="239"/>
      <c r="D894" s="239"/>
      <c r="E894" s="239"/>
      <c r="F894" s="239"/>
      <c r="G894" s="239"/>
      <c r="H894" s="239"/>
    </row>
    <row r="895" spans="1:8" x14ac:dyDescent="0.3">
      <c r="A895"/>
      <c r="B895" s="239"/>
      <c r="C895" s="239"/>
      <c r="D895" s="239"/>
      <c r="E895" s="239"/>
      <c r="F895" s="239"/>
      <c r="G895" s="239"/>
      <c r="H895" s="239"/>
    </row>
    <row r="896" spans="1:8" x14ac:dyDescent="0.3">
      <c r="A896"/>
      <c r="B896" s="239"/>
      <c r="C896" s="239"/>
      <c r="D896" s="239"/>
      <c r="E896" s="239"/>
      <c r="F896" s="239"/>
      <c r="G896" s="239"/>
      <c r="H896" s="239"/>
    </row>
    <row r="897" spans="1:8" x14ac:dyDescent="0.3">
      <c r="A897"/>
      <c r="B897" s="239"/>
      <c r="C897" s="239"/>
      <c r="D897" s="239"/>
      <c r="E897" s="239"/>
      <c r="F897" s="239"/>
      <c r="G897" s="239"/>
      <c r="H897" s="239"/>
    </row>
    <row r="898" spans="1:8" x14ac:dyDescent="0.3">
      <c r="A898"/>
      <c r="B898" s="239"/>
      <c r="C898" s="239"/>
      <c r="D898" s="239"/>
      <c r="E898" s="239"/>
      <c r="F898" s="239"/>
      <c r="G898" s="239"/>
      <c r="H898" s="239"/>
    </row>
    <row r="899" spans="1:8" x14ac:dyDescent="0.3">
      <c r="A899"/>
      <c r="B899" s="239"/>
      <c r="C899" s="239"/>
      <c r="D899" s="239"/>
      <c r="E899" s="239"/>
      <c r="F899" s="239"/>
      <c r="G899" s="239"/>
      <c r="H899" s="239"/>
    </row>
    <row r="900" spans="1:8" x14ac:dyDescent="0.3">
      <c r="A900"/>
      <c r="B900" s="239"/>
      <c r="C900" s="239"/>
      <c r="D900" s="239"/>
      <c r="E900" s="239"/>
      <c r="F900" s="239"/>
      <c r="G900" s="239"/>
      <c r="H900" s="239"/>
    </row>
    <row r="901" spans="1:8" x14ac:dyDescent="0.3">
      <c r="A901"/>
      <c r="B901" s="239"/>
      <c r="C901" s="239"/>
      <c r="D901" s="239"/>
      <c r="E901" s="239"/>
      <c r="F901" s="239"/>
      <c r="G901" s="239"/>
      <c r="H901" s="239"/>
    </row>
    <row r="902" spans="1:8" x14ac:dyDescent="0.3">
      <c r="A902"/>
      <c r="B902" s="239"/>
      <c r="C902" s="239"/>
      <c r="D902" s="239"/>
      <c r="E902" s="239"/>
      <c r="F902" s="239"/>
      <c r="G902" s="239"/>
      <c r="H902" s="239"/>
    </row>
    <row r="903" spans="1:8" x14ac:dyDescent="0.3">
      <c r="A903"/>
      <c r="B903" s="239"/>
      <c r="C903" s="239"/>
      <c r="D903" s="239"/>
      <c r="E903" s="239"/>
      <c r="F903" s="239"/>
      <c r="G903" s="239"/>
      <c r="H903" s="239"/>
    </row>
    <row r="904" spans="1:8" x14ac:dyDescent="0.3">
      <c r="A904"/>
      <c r="B904" s="239"/>
      <c r="C904" s="239"/>
      <c r="D904" s="239"/>
      <c r="E904" s="239"/>
      <c r="F904" s="239"/>
      <c r="G904" s="239"/>
      <c r="H904" s="239"/>
    </row>
    <row r="905" spans="1:8" x14ac:dyDescent="0.3">
      <c r="A905"/>
      <c r="B905" s="239"/>
      <c r="C905" s="239"/>
      <c r="D905" s="239"/>
      <c r="E905" s="239"/>
      <c r="F905" s="239"/>
      <c r="G905" s="239"/>
      <c r="H905" s="239"/>
    </row>
    <row r="906" spans="1:8" x14ac:dyDescent="0.3">
      <c r="A906"/>
      <c r="B906" s="239"/>
      <c r="C906" s="239"/>
      <c r="D906" s="239"/>
      <c r="E906" s="239"/>
      <c r="F906" s="239"/>
      <c r="G906" s="239"/>
      <c r="H906" s="239"/>
    </row>
    <row r="907" spans="1:8" x14ac:dyDescent="0.3">
      <c r="A907"/>
      <c r="B907" s="239"/>
      <c r="C907" s="239"/>
      <c r="D907" s="239"/>
      <c r="E907" s="239"/>
      <c r="F907" s="239"/>
      <c r="G907" s="239"/>
      <c r="H907" s="239"/>
    </row>
    <row r="908" spans="1:8" x14ac:dyDescent="0.3">
      <c r="A908"/>
      <c r="B908" s="239"/>
      <c r="C908" s="239"/>
      <c r="D908" s="239"/>
      <c r="E908" s="239"/>
      <c r="F908" s="239"/>
      <c r="G908" s="239"/>
      <c r="H908" s="239"/>
    </row>
    <row r="909" spans="1:8" x14ac:dyDescent="0.3">
      <c r="A909"/>
      <c r="B909" s="239"/>
      <c r="C909" s="239"/>
      <c r="D909" s="239"/>
      <c r="E909" s="239"/>
      <c r="F909" s="239"/>
      <c r="G909" s="239"/>
      <c r="H909" s="239"/>
    </row>
    <row r="910" spans="1:8" x14ac:dyDescent="0.3">
      <c r="A910"/>
      <c r="B910" s="239"/>
      <c r="C910" s="239"/>
      <c r="D910" s="239"/>
      <c r="E910" s="239"/>
      <c r="F910" s="239"/>
      <c r="G910" s="239"/>
      <c r="H910" s="239"/>
    </row>
    <row r="911" spans="1:8" x14ac:dyDescent="0.3">
      <c r="A911"/>
      <c r="B911" s="239"/>
      <c r="C911" s="239"/>
      <c r="D911" s="239"/>
      <c r="E911" s="239"/>
      <c r="F911" s="239"/>
      <c r="G911" s="239"/>
      <c r="H911" s="239"/>
    </row>
    <row r="912" spans="1:8" x14ac:dyDescent="0.3">
      <c r="A912"/>
      <c r="B912" s="239"/>
      <c r="C912" s="239"/>
      <c r="D912" s="239"/>
      <c r="E912" s="239"/>
      <c r="F912" s="239"/>
      <c r="G912" s="239"/>
      <c r="H912" s="239"/>
    </row>
    <row r="913" spans="1:8" x14ac:dyDescent="0.3">
      <c r="A913"/>
      <c r="B913" s="239"/>
      <c r="C913" s="239"/>
      <c r="D913" s="239"/>
      <c r="E913" s="239"/>
      <c r="F913" s="239"/>
      <c r="G913" s="239"/>
      <c r="H913" s="239"/>
    </row>
    <row r="914" spans="1:8" x14ac:dyDescent="0.3">
      <c r="A914"/>
      <c r="B914" s="239"/>
      <c r="C914" s="239"/>
      <c r="D914" s="239"/>
      <c r="E914" s="239"/>
      <c r="F914" s="239"/>
      <c r="G914" s="239"/>
      <c r="H914" s="239"/>
    </row>
    <row r="915" spans="1:8" x14ac:dyDescent="0.3">
      <c r="A915"/>
      <c r="B915" s="239"/>
      <c r="C915" s="239"/>
      <c r="D915" s="239"/>
      <c r="E915" s="239"/>
      <c r="F915" s="239"/>
      <c r="G915" s="239"/>
      <c r="H915" s="239"/>
    </row>
    <row r="916" spans="1:8" x14ac:dyDescent="0.3">
      <c r="A916"/>
      <c r="B916" s="239"/>
      <c r="C916" s="239"/>
      <c r="D916" s="239"/>
      <c r="E916" s="239"/>
      <c r="F916" s="239"/>
      <c r="G916" s="239"/>
      <c r="H916" s="239"/>
    </row>
    <row r="917" spans="1:8" x14ac:dyDescent="0.3">
      <c r="A917"/>
      <c r="B917" s="239"/>
      <c r="C917" s="239"/>
      <c r="D917" s="239"/>
      <c r="E917" s="239"/>
      <c r="F917" s="239"/>
      <c r="G917" s="239"/>
      <c r="H917" s="239"/>
    </row>
    <row r="918" spans="1:8" x14ac:dyDescent="0.3">
      <c r="A918"/>
      <c r="B918" s="239"/>
      <c r="C918" s="239"/>
      <c r="D918" s="239"/>
      <c r="E918" s="239"/>
      <c r="F918" s="239"/>
      <c r="G918" s="239"/>
      <c r="H918" s="239"/>
    </row>
    <row r="919" spans="1:8" x14ac:dyDescent="0.3">
      <c r="A919"/>
      <c r="B919" s="239"/>
      <c r="C919" s="239"/>
      <c r="D919" s="239"/>
      <c r="E919" s="239"/>
      <c r="F919" s="239"/>
      <c r="G919" s="239"/>
      <c r="H919" s="239"/>
    </row>
    <row r="920" spans="1:8" x14ac:dyDescent="0.3">
      <c r="A920"/>
      <c r="B920" s="239"/>
      <c r="C920" s="239"/>
      <c r="D920" s="239"/>
      <c r="E920" s="239"/>
      <c r="F920" s="239"/>
      <c r="G920" s="239"/>
      <c r="H920" s="239"/>
    </row>
    <row r="921" spans="1:8" x14ac:dyDescent="0.3">
      <c r="A921"/>
      <c r="B921" s="239"/>
      <c r="C921" s="239"/>
      <c r="D921" s="239"/>
      <c r="E921" s="239"/>
      <c r="F921" s="239"/>
      <c r="G921" s="239"/>
      <c r="H921" s="239"/>
    </row>
    <row r="922" spans="1:8" x14ac:dyDescent="0.3">
      <c r="A922"/>
      <c r="B922" s="239"/>
      <c r="C922" s="239"/>
      <c r="D922" s="239"/>
      <c r="E922" s="239"/>
      <c r="F922" s="239"/>
      <c r="G922" s="239"/>
      <c r="H922" s="239"/>
    </row>
    <row r="923" spans="1:8" x14ac:dyDescent="0.3">
      <c r="A923"/>
      <c r="B923" s="239"/>
      <c r="C923" s="239"/>
      <c r="D923" s="239"/>
      <c r="E923" s="239"/>
      <c r="F923" s="239"/>
      <c r="G923" s="239"/>
      <c r="H923" s="239"/>
    </row>
    <row r="924" spans="1:8" x14ac:dyDescent="0.3">
      <c r="A924"/>
      <c r="B924" s="239"/>
      <c r="C924" s="239"/>
      <c r="D924" s="239"/>
      <c r="E924" s="239"/>
      <c r="F924" s="239"/>
      <c r="G924" s="239"/>
      <c r="H924" s="239"/>
    </row>
    <row r="925" spans="1:8" x14ac:dyDescent="0.3">
      <c r="A925"/>
      <c r="B925" s="239"/>
      <c r="C925" s="239"/>
      <c r="D925" s="239"/>
      <c r="E925" s="239"/>
      <c r="F925" s="239"/>
      <c r="G925" s="239"/>
      <c r="H925" s="239"/>
    </row>
    <row r="926" spans="1:8" x14ac:dyDescent="0.3">
      <c r="A926"/>
      <c r="B926" s="239"/>
      <c r="C926" s="239"/>
      <c r="D926" s="239"/>
      <c r="E926" s="239"/>
      <c r="F926" s="239"/>
      <c r="G926" s="239"/>
      <c r="H926" s="239"/>
    </row>
    <row r="927" spans="1:8" x14ac:dyDescent="0.3">
      <c r="A927"/>
      <c r="B927" s="239"/>
      <c r="C927" s="239"/>
      <c r="D927" s="239"/>
      <c r="E927" s="239"/>
      <c r="F927" s="239"/>
      <c r="G927" s="239"/>
      <c r="H927" s="239"/>
    </row>
    <row r="928" spans="1:8" x14ac:dyDescent="0.3">
      <c r="A928"/>
      <c r="B928" s="239"/>
      <c r="C928" s="239"/>
      <c r="D928" s="239"/>
      <c r="E928" s="239"/>
      <c r="F928" s="239"/>
      <c r="G928" s="239"/>
      <c r="H928" s="239"/>
    </row>
    <row r="929" spans="1:8" x14ac:dyDescent="0.3">
      <c r="A929"/>
      <c r="B929" s="239"/>
      <c r="C929" s="239"/>
      <c r="D929" s="239"/>
      <c r="E929" s="239"/>
      <c r="F929" s="239"/>
      <c r="G929" s="239"/>
      <c r="H929" s="239"/>
    </row>
    <row r="930" spans="1:8" x14ac:dyDescent="0.3">
      <c r="A930"/>
      <c r="B930" s="239"/>
      <c r="C930" s="239"/>
      <c r="D930" s="239"/>
      <c r="E930" s="239"/>
      <c r="F930" s="239"/>
      <c r="G930" s="239"/>
      <c r="H930" s="239"/>
    </row>
    <row r="931" spans="1:8" x14ac:dyDescent="0.3">
      <c r="A931"/>
      <c r="B931" s="239"/>
      <c r="C931" s="239"/>
      <c r="D931" s="239"/>
      <c r="E931" s="239"/>
      <c r="F931" s="239"/>
      <c r="G931" s="239"/>
      <c r="H931" s="239"/>
    </row>
    <row r="932" spans="1:8" x14ac:dyDescent="0.3">
      <c r="A932"/>
      <c r="B932" s="239"/>
      <c r="C932" s="239"/>
      <c r="D932" s="239"/>
      <c r="E932" s="239"/>
      <c r="F932" s="239"/>
      <c r="G932" s="239"/>
      <c r="H932" s="239"/>
    </row>
    <row r="933" spans="1:8" x14ac:dyDescent="0.3">
      <c r="A933"/>
      <c r="B933" s="239"/>
      <c r="C933" s="239"/>
      <c r="D933" s="239"/>
      <c r="E933" s="239"/>
      <c r="F933" s="239"/>
      <c r="G933" s="239"/>
      <c r="H933" s="239"/>
    </row>
    <row r="934" spans="1:8" x14ac:dyDescent="0.3">
      <c r="A934"/>
      <c r="B934" s="239"/>
      <c r="C934" s="239"/>
      <c r="D934" s="239"/>
      <c r="E934" s="239"/>
      <c r="F934" s="239"/>
      <c r="G934" s="239"/>
      <c r="H934" s="239"/>
    </row>
    <row r="935" spans="1:8" x14ac:dyDescent="0.3">
      <c r="A935"/>
      <c r="B935" s="239"/>
      <c r="C935" s="239"/>
      <c r="D935" s="239"/>
      <c r="E935" s="239"/>
      <c r="F935" s="239"/>
      <c r="G935" s="239"/>
      <c r="H935" s="239"/>
    </row>
    <row r="936" spans="1:8" x14ac:dyDescent="0.3">
      <c r="A936"/>
      <c r="B936" s="239"/>
      <c r="C936" s="239"/>
      <c r="D936" s="239"/>
      <c r="E936" s="239"/>
      <c r="F936" s="239"/>
      <c r="G936" s="239"/>
      <c r="H936" s="239"/>
    </row>
    <row r="937" spans="1:8" x14ac:dyDescent="0.3">
      <c r="A937"/>
      <c r="B937" s="239"/>
      <c r="C937" s="239"/>
      <c r="D937" s="239"/>
      <c r="E937" s="239"/>
      <c r="F937" s="239"/>
      <c r="G937" s="239"/>
      <c r="H937" s="239"/>
    </row>
    <row r="938" spans="1:8" x14ac:dyDescent="0.3">
      <c r="A938"/>
      <c r="B938" s="239"/>
      <c r="C938" s="239"/>
      <c r="D938" s="239"/>
      <c r="E938" s="239"/>
      <c r="F938" s="239"/>
      <c r="G938" s="239"/>
      <c r="H938" s="239"/>
    </row>
    <row r="939" spans="1:8" x14ac:dyDescent="0.3">
      <c r="A939"/>
      <c r="B939" s="239"/>
      <c r="C939" s="239"/>
      <c r="D939" s="239"/>
      <c r="E939" s="239"/>
      <c r="F939" s="239"/>
      <c r="G939" s="239"/>
      <c r="H939" s="239"/>
    </row>
    <row r="940" spans="1:8" x14ac:dyDescent="0.3">
      <c r="A940"/>
      <c r="B940" s="239"/>
      <c r="C940" s="239"/>
      <c r="D940" s="239"/>
      <c r="E940" s="239"/>
      <c r="F940" s="239"/>
      <c r="G940" s="239"/>
      <c r="H940" s="239"/>
    </row>
    <row r="941" spans="1:8" x14ac:dyDescent="0.3">
      <c r="A941"/>
      <c r="B941" s="239"/>
      <c r="C941" s="239"/>
      <c r="D941" s="239"/>
      <c r="E941" s="239"/>
      <c r="F941" s="239"/>
      <c r="G941" s="239"/>
      <c r="H941" s="239"/>
    </row>
    <row r="942" spans="1:8" x14ac:dyDescent="0.3">
      <c r="A942"/>
      <c r="B942" s="239"/>
      <c r="C942" s="239"/>
      <c r="D942" s="239"/>
      <c r="E942" s="239"/>
      <c r="F942" s="239"/>
      <c r="G942" s="239"/>
      <c r="H942" s="239"/>
    </row>
    <row r="943" spans="1:8" x14ac:dyDescent="0.3">
      <c r="A943"/>
      <c r="B943" s="239"/>
      <c r="C943" s="239"/>
      <c r="D943" s="239"/>
      <c r="E943" s="239"/>
      <c r="F943" s="239"/>
      <c r="G943" s="239"/>
      <c r="H943" s="239"/>
    </row>
    <row r="944" spans="1:8" x14ac:dyDescent="0.3">
      <c r="A944"/>
      <c r="B944" s="239"/>
      <c r="C944" s="239"/>
      <c r="D944" s="239"/>
      <c r="E944" s="239"/>
      <c r="F944" s="239"/>
      <c r="G944" s="239"/>
      <c r="H944" s="239"/>
    </row>
    <row r="945" spans="1:8" x14ac:dyDescent="0.3">
      <c r="A945"/>
      <c r="B945" s="239"/>
      <c r="C945" s="239"/>
      <c r="D945" s="239"/>
      <c r="E945" s="239"/>
      <c r="F945" s="239"/>
      <c r="G945" s="239"/>
      <c r="H945" s="239"/>
    </row>
    <row r="946" spans="1:8" x14ac:dyDescent="0.3">
      <c r="A946"/>
      <c r="B946" s="239"/>
      <c r="C946" s="239"/>
      <c r="D946" s="239"/>
      <c r="E946" s="239"/>
      <c r="F946" s="239"/>
      <c r="G946" s="239"/>
      <c r="H946" s="239"/>
    </row>
    <row r="947" spans="1:8" x14ac:dyDescent="0.3">
      <c r="A947"/>
      <c r="B947" s="239"/>
      <c r="C947" s="239"/>
      <c r="D947" s="239"/>
      <c r="E947" s="239"/>
      <c r="F947" s="239"/>
      <c r="G947" s="239"/>
      <c r="H947" s="239"/>
    </row>
    <row r="948" spans="1:8" x14ac:dyDescent="0.3">
      <c r="A948"/>
      <c r="B948" s="239"/>
      <c r="C948" s="239"/>
      <c r="D948" s="239"/>
      <c r="E948" s="239"/>
      <c r="F948" s="239"/>
      <c r="G948" s="239"/>
      <c r="H948" s="239"/>
    </row>
    <row r="949" spans="1:8" x14ac:dyDescent="0.3">
      <c r="A949"/>
      <c r="B949" s="239"/>
      <c r="C949" s="239"/>
      <c r="D949" s="239"/>
      <c r="E949" s="239"/>
      <c r="F949" s="239"/>
      <c r="G949" s="239"/>
      <c r="H949" s="239"/>
    </row>
    <row r="950" spans="1:8" x14ac:dyDescent="0.3">
      <c r="A950"/>
      <c r="B950" s="239"/>
      <c r="C950" s="239"/>
      <c r="D950" s="239"/>
      <c r="E950" s="239"/>
      <c r="F950" s="239"/>
      <c r="G950" s="239"/>
      <c r="H950" s="239"/>
    </row>
    <row r="951" spans="1:8" x14ac:dyDescent="0.3">
      <c r="A951"/>
      <c r="B951" s="239"/>
      <c r="C951" s="239"/>
      <c r="D951" s="239"/>
      <c r="E951" s="239"/>
      <c r="F951" s="239"/>
      <c r="G951" s="239"/>
      <c r="H951" s="239"/>
    </row>
    <row r="952" spans="1:8" x14ac:dyDescent="0.3">
      <c r="A952"/>
      <c r="B952" s="239"/>
      <c r="C952" s="239"/>
      <c r="D952" s="239"/>
      <c r="E952" s="239"/>
      <c r="F952" s="239"/>
      <c r="G952" s="239"/>
      <c r="H952" s="239"/>
    </row>
    <row r="953" spans="1:8" x14ac:dyDescent="0.3">
      <c r="A953"/>
      <c r="B953" s="239"/>
      <c r="C953" s="239"/>
      <c r="D953" s="239"/>
      <c r="E953" s="239"/>
      <c r="F953" s="239"/>
      <c r="G953" s="239"/>
      <c r="H953" s="239"/>
    </row>
    <row r="954" spans="1:8" x14ac:dyDescent="0.3">
      <c r="A954"/>
      <c r="B954" s="239"/>
      <c r="C954" s="239"/>
      <c r="D954" s="239"/>
      <c r="E954" s="239"/>
      <c r="F954" s="239"/>
      <c r="G954" s="239"/>
      <c r="H954" s="239"/>
    </row>
    <row r="955" spans="1:8" x14ac:dyDescent="0.3">
      <c r="A955"/>
      <c r="B955" s="239"/>
      <c r="C955" s="239"/>
      <c r="D955" s="239"/>
      <c r="E955" s="239"/>
      <c r="F955" s="239"/>
      <c r="G955" s="239"/>
      <c r="H955" s="239"/>
    </row>
    <row r="956" spans="1:8" x14ac:dyDescent="0.3">
      <c r="A956"/>
      <c r="B956" s="239"/>
      <c r="C956" s="239"/>
      <c r="D956" s="239"/>
      <c r="E956" s="239"/>
      <c r="F956" s="239"/>
      <c r="G956" s="239"/>
      <c r="H956" s="239"/>
    </row>
    <row r="957" spans="1:8" x14ac:dyDescent="0.3">
      <c r="A957"/>
      <c r="B957" s="239"/>
      <c r="C957" s="239"/>
      <c r="D957" s="239"/>
      <c r="E957" s="239"/>
      <c r="F957" s="239"/>
      <c r="G957" s="239"/>
      <c r="H957" s="239"/>
    </row>
    <row r="958" spans="1:8" x14ac:dyDescent="0.3">
      <c r="A958"/>
      <c r="B958" s="239"/>
      <c r="C958" s="239"/>
      <c r="D958" s="239"/>
      <c r="E958" s="239"/>
      <c r="F958" s="239"/>
      <c r="G958" s="239"/>
      <c r="H958" s="239"/>
    </row>
    <row r="959" spans="1:8" x14ac:dyDescent="0.3">
      <c r="A959"/>
      <c r="B959" s="239"/>
      <c r="C959" s="239"/>
      <c r="D959" s="239"/>
      <c r="E959" s="239"/>
      <c r="F959" s="239"/>
      <c r="G959" s="239"/>
      <c r="H959" s="239"/>
    </row>
    <row r="960" spans="1:8" x14ac:dyDescent="0.3">
      <c r="A960"/>
      <c r="B960" s="239"/>
      <c r="C960" s="239"/>
      <c r="D960" s="239"/>
      <c r="E960" s="239"/>
      <c r="F960" s="239"/>
      <c r="G960" s="239"/>
      <c r="H960" s="239"/>
    </row>
    <row r="961" spans="1:8" x14ac:dyDescent="0.3">
      <c r="A961"/>
      <c r="B961" s="239"/>
      <c r="C961" s="239"/>
      <c r="D961" s="239"/>
      <c r="E961" s="239"/>
      <c r="F961" s="239"/>
      <c r="G961" s="239"/>
      <c r="H961" s="239"/>
    </row>
    <row r="962" spans="1:8" x14ac:dyDescent="0.3">
      <c r="A962"/>
      <c r="B962" s="239"/>
      <c r="C962" s="239"/>
      <c r="D962" s="239"/>
      <c r="E962" s="239"/>
      <c r="F962" s="239"/>
      <c r="G962" s="239"/>
      <c r="H962" s="239"/>
    </row>
    <row r="963" spans="1:8" x14ac:dyDescent="0.3">
      <c r="A963"/>
      <c r="B963" s="239"/>
      <c r="C963" s="239"/>
      <c r="D963" s="239"/>
      <c r="E963" s="239"/>
      <c r="F963" s="239"/>
      <c r="G963" s="239"/>
      <c r="H963" s="239"/>
    </row>
    <row r="964" spans="1:8" x14ac:dyDescent="0.3">
      <c r="A964"/>
      <c r="B964" s="239"/>
      <c r="C964" s="239"/>
      <c r="D964" s="239"/>
      <c r="E964" s="239"/>
      <c r="F964" s="239"/>
      <c r="G964" s="239"/>
      <c r="H964" s="239"/>
    </row>
    <row r="965" spans="1:8" x14ac:dyDescent="0.3">
      <c r="A965"/>
      <c r="B965" s="239"/>
      <c r="C965" s="239"/>
      <c r="D965" s="239"/>
      <c r="E965" s="239"/>
      <c r="F965" s="239"/>
      <c r="G965" s="239"/>
      <c r="H965" s="239"/>
    </row>
    <row r="966" spans="1:8" x14ac:dyDescent="0.3">
      <c r="A966"/>
      <c r="B966" s="239"/>
      <c r="C966" s="239"/>
      <c r="D966" s="239"/>
      <c r="E966" s="239"/>
      <c r="F966" s="239"/>
      <c r="G966" s="239"/>
      <c r="H966" s="239"/>
    </row>
    <row r="967" spans="1:8" x14ac:dyDescent="0.3">
      <c r="A967"/>
      <c r="B967" s="239"/>
      <c r="C967" s="239"/>
      <c r="D967" s="239"/>
      <c r="E967" s="239"/>
      <c r="F967" s="239"/>
      <c r="G967" s="239"/>
      <c r="H967" s="239"/>
    </row>
    <row r="968" spans="1:8" x14ac:dyDescent="0.3">
      <c r="A968"/>
      <c r="B968" s="239"/>
      <c r="C968" s="239"/>
      <c r="D968" s="239"/>
      <c r="E968" s="239"/>
      <c r="F968" s="239"/>
      <c r="G968" s="239"/>
      <c r="H968" s="239"/>
    </row>
    <row r="969" spans="1:8" x14ac:dyDescent="0.3">
      <c r="A969"/>
      <c r="B969" s="239"/>
      <c r="C969" s="239"/>
      <c r="D969" s="239"/>
      <c r="E969" s="239"/>
      <c r="F969" s="239"/>
      <c r="G969" s="239"/>
      <c r="H969" s="239"/>
    </row>
    <row r="970" spans="1:8" x14ac:dyDescent="0.3">
      <c r="A970"/>
      <c r="B970" s="239"/>
      <c r="C970" s="239"/>
      <c r="D970" s="239"/>
      <c r="E970" s="239"/>
      <c r="F970" s="239"/>
      <c r="G970" s="239"/>
      <c r="H970" s="239"/>
    </row>
    <row r="971" spans="1:8" x14ac:dyDescent="0.3">
      <c r="A971"/>
      <c r="B971" s="239"/>
      <c r="C971" s="239"/>
      <c r="D971" s="239"/>
      <c r="E971" s="239"/>
      <c r="F971" s="239"/>
      <c r="G971" s="239"/>
      <c r="H971" s="239"/>
    </row>
    <row r="972" spans="1:8" x14ac:dyDescent="0.3">
      <c r="A972"/>
      <c r="B972" s="239"/>
      <c r="C972" s="239"/>
      <c r="D972" s="239"/>
      <c r="E972" s="239"/>
      <c r="F972" s="239"/>
      <c r="G972" s="239"/>
      <c r="H972" s="239"/>
    </row>
    <row r="973" spans="1:8" x14ac:dyDescent="0.3">
      <c r="A973"/>
      <c r="B973" s="239"/>
      <c r="C973" s="239"/>
      <c r="D973" s="239"/>
      <c r="E973" s="239"/>
      <c r="F973" s="239"/>
      <c r="G973" s="239"/>
      <c r="H973" s="239"/>
    </row>
    <row r="974" spans="1:8" x14ac:dyDescent="0.3">
      <c r="A974"/>
      <c r="B974" s="239"/>
      <c r="C974" s="239"/>
      <c r="D974" s="239"/>
      <c r="E974" s="239"/>
      <c r="F974" s="239"/>
      <c r="G974" s="239"/>
      <c r="H974" s="239"/>
    </row>
    <row r="975" spans="1:8" x14ac:dyDescent="0.3">
      <c r="A975"/>
      <c r="B975" s="239"/>
      <c r="C975" s="239"/>
      <c r="D975" s="239"/>
      <c r="E975" s="239"/>
      <c r="F975" s="239"/>
      <c r="G975" s="239"/>
      <c r="H975" s="239"/>
    </row>
    <row r="976" spans="1:8" x14ac:dyDescent="0.3">
      <c r="A976"/>
      <c r="B976" s="239"/>
      <c r="C976" s="239"/>
      <c r="D976" s="239"/>
      <c r="E976" s="239"/>
      <c r="F976" s="239"/>
      <c r="G976" s="239"/>
      <c r="H976" s="239"/>
    </row>
    <row r="977" spans="1:8" x14ac:dyDescent="0.3">
      <c r="A977"/>
      <c r="B977" s="239"/>
      <c r="C977" s="239"/>
      <c r="D977" s="239"/>
      <c r="E977" s="239"/>
      <c r="F977" s="239"/>
      <c r="G977" s="239"/>
      <c r="H977" s="239"/>
    </row>
    <row r="978" spans="1:8" x14ac:dyDescent="0.3">
      <c r="A978"/>
      <c r="B978" s="239"/>
      <c r="C978" s="239"/>
      <c r="D978" s="239"/>
      <c r="E978" s="239"/>
      <c r="F978" s="239"/>
      <c r="G978" s="239"/>
      <c r="H978" s="239"/>
    </row>
    <row r="979" spans="1:8" x14ac:dyDescent="0.3">
      <c r="A979"/>
      <c r="B979" s="239"/>
      <c r="C979" s="239"/>
      <c r="D979" s="239"/>
      <c r="E979" s="239"/>
      <c r="F979" s="239"/>
      <c r="G979" s="239"/>
      <c r="H979" s="239"/>
    </row>
    <row r="980" spans="1:8" x14ac:dyDescent="0.3">
      <c r="A980"/>
      <c r="B980" s="239"/>
      <c r="C980" s="239"/>
      <c r="D980" s="239"/>
      <c r="E980" s="239"/>
      <c r="F980" s="239"/>
      <c r="G980" s="239"/>
      <c r="H980" s="239"/>
    </row>
    <row r="981" spans="1:8" x14ac:dyDescent="0.3">
      <c r="A981"/>
      <c r="B981" s="239"/>
      <c r="C981" s="239"/>
      <c r="D981" s="239"/>
      <c r="E981" s="239"/>
      <c r="F981" s="239"/>
      <c r="G981" s="239"/>
      <c r="H981" s="239"/>
    </row>
    <row r="982" spans="1:8" x14ac:dyDescent="0.3">
      <c r="A982"/>
      <c r="B982" s="239"/>
      <c r="C982" s="239"/>
      <c r="D982" s="239"/>
      <c r="E982" s="239"/>
      <c r="F982" s="239"/>
      <c r="G982" s="239"/>
      <c r="H982" s="239"/>
    </row>
    <row r="983" spans="1:8" x14ac:dyDescent="0.3">
      <c r="A983"/>
      <c r="B983" s="239"/>
      <c r="C983" s="239"/>
      <c r="D983" s="239"/>
      <c r="E983" s="239"/>
      <c r="F983" s="239"/>
      <c r="G983" s="239"/>
      <c r="H983" s="239"/>
    </row>
    <row r="984" spans="1:8" x14ac:dyDescent="0.3">
      <c r="A984"/>
      <c r="B984" s="239"/>
      <c r="C984" s="239"/>
      <c r="D984" s="239"/>
      <c r="E984" s="239"/>
      <c r="F984" s="239"/>
      <c r="G984" s="239"/>
      <c r="H984" s="239"/>
    </row>
    <row r="985" spans="1:8" x14ac:dyDescent="0.3">
      <c r="A985"/>
      <c r="B985" s="239"/>
      <c r="C985" s="239"/>
      <c r="D985" s="239"/>
      <c r="E985" s="239"/>
      <c r="F985" s="239"/>
      <c r="G985" s="239"/>
      <c r="H985" s="239"/>
    </row>
    <row r="986" spans="1:8" x14ac:dyDescent="0.3">
      <c r="A986"/>
      <c r="B986" s="239"/>
      <c r="C986" s="239"/>
      <c r="D986" s="239"/>
      <c r="E986" s="239"/>
      <c r="F986" s="239"/>
      <c r="G986" s="239"/>
      <c r="H986" s="239"/>
    </row>
    <row r="987" spans="1:8" x14ac:dyDescent="0.3">
      <c r="A987"/>
      <c r="B987" s="239"/>
      <c r="C987" s="239"/>
      <c r="D987" s="239"/>
      <c r="E987" s="239"/>
      <c r="F987" s="239"/>
      <c r="G987" s="239"/>
      <c r="H987" s="239"/>
    </row>
    <row r="988" spans="1:8" x14ac:dyDescent="0.3">
      <c r="A988"/>
      <c r="B988" s="239"/>
      <c r="C988" s="239"/>
      <c r="D988" s="239"/>
      <c r="E988" s="239"/>
      <c r="F988" s="239"/>
      <c r="G988" s="239"/>
      <c r="H988" s="239"/>
    </row>
    <row r="989" spans="1:8" x14ac:dyDescent="0.3">
      <c r="A989"/>
      <c r="B989" s="239"/>
      <c r="C989" s="239"/>
      <c r="D989" s="239"/>
      <c r="E989" s="239"/>
      <c r="F989" s="239"/>
      <c r="G989" s="239"/>
      <c r="H989" s="239"/>
    </row>
    <row r="990" spans="1:8" x14ac:dyDescent="0.3">
      <c r="A990"/>
      <c r="B990" s="239"/>
      <c r="C990" s="239"/>
      <c r="D990" s="239"/>
      <c r="E990" s="239"/>
      <c r="F990" s="239"/>
      <c r="G990" s="239"/>
      <c r="H990" s="239"/>
    </row>
    <row r="991" spans="1:8" x14ac:dyDescent="0.3">
      <c r="A991"/>
      <c r="B991" s="239"/>
      <c r="C991" s="239"/>
      <c r="D991" s="239"/>
      <c r="E991" s="239"/>
      <c r="F991" s="239"/>
      <c r="G991" s="239"/>
      <c r="H991" s="239"/>
    </row>
    <row r="992" spans="1:8" x14ac:dyDescent="0.3">
      <c r="A992"/>
      <c r="B992" s="239"/>
      <c r="C992" s="239"/>
      <c r="D992" s="239"/>
      <c r="E992" s="239"/>
      <c r="F992" s="239"/>
      <c r="G992" s="239"/>
      <c r="H992" s="239"/>
    </row>
    <row r="993" spans="1:8" x14ac:dyDescent="0.3">
      <c r="A993"/>
      <c r="B993" s="239"/>
      <c r="C993" s="239"/>
      <c r="D993" s="239"/>
      <c r="E993" s="239"/>
      <c r="F993" s="239"/>
      <c r="G993" s="239"/>
      <c r="H993" s="239"/>
    </row>
    <row r="994" spans="1:8" x14ac:dyDescent="0.3">
      <c r="A994"/>
      <c r="B994" s="239"/>
      <c r="C994" s="239"/>
      <c r="D994" s="239"/>
      <c r="E994" s="239"/>
      <c r="F994" s="239"/>
      <c r="G994" s="239"/>
      <c r="H994" s="239"/>
    </row>
    <row r="995" spans="1:8" x14ac:dyDescent="0.3">
      <c r="A995"/>
      <c r="B995" s="239"/>
      <c r="C995" s="239"/>
      <c r="D995" s="239"/>
      <c r="E995" s="239"/>
      <c r="F995" s="239"/>
      <c r="G995" s="239"/>
      <c r="H995" s="239"/>
    </row>
    <row r="996" spans="1:8" x14ac:dyDescent="0.3">
      <c r="A996"/>
      <c r="B996" s="239"/>
      <c r="C996" s="239"/>
      <c r="D996" s="239"/>
      <c r="E996" s="239"/>
      <c r="F996" s="239"/>
      <c r="G996" s="239"/>
      <c r="H996" s="239"/>
    </row>
    <row r="997" spans="1:8" x14ac:dyDescent="0.3">
      <c r="A997"/>
      <c r="B997" s="239"/>
      <c r="C997" s="239"/>
      <c r="D997" s="239"/>
      <c r="E997" s="239"/>
      <c r="F997" s="239"/>
      <c r="G997" s="239"/>
      <c r="H997" s="239"/>
    </row>
    <row r="998" spans="1:8" x14ac:dyDescent="0.3">
      <c r="A998"/>
      <c r="B998" s="239"/>
      <c r="C998" s="239"/>
      <c r="D998" s="239"/>
      <c r="E998" s="239"/>
      <c r="F998" s="239"/>
      <c r="G998" s="239"/>
      <c r="H998" s="239"/>
    </row>
    <row r="999" spans="1:8" x14ac:dyDescent="0.3">
      <c r="A999"/>
      <c r="B999" s="239"/>
      <c r="C999" s="239"/>
      <c r="D999" s="239"/>
      <c r="E999" s="239"/>
      <c r="F999" s="239"/>
      <c r="G999" s="239"/>
      <c r="H999" s="239"/>
    </row>
    <row r="1000" spans="1:8" x14ac:dyDescent="0.3">
      <c r="A1000"/>
      <c r="B1000" s="239"/>
      <c r="C1000" s="239"/>
      <c r="D1000" s="239"/>
      <c r="E1000" s="239"/>
      <c r="F1000" s="239"/>
      <c r="G1000" s="239"/>
      <c r="H1000" s="239"/>
    </row>
    <row r="1001" spans="1:8" x14ac:dyDescent="0.3">
      <c r="A1001"/>
      <c r="B1001" s="239"/>
      <c r="C1001" s="239"/>
      <c r="D1001" s="239"/>
      <c r="E1001" s="239"/>
      <c r="F1001" s="239"/>
      <c r="G1001" s="239"/>
      <c r="H1001" s="239"/>
    </row>
    <row r="1002" spans="1:8" x14ac:dyDescent="0.3">
      <c r="A1002"/>
      <c r="B1002" s="239"/>
      <c r="C1002" s="239"/>
      <c r="D1002" s="239"/>
      <c r="E1002" s="239"/>
      <c r="F1002" s="239"/>
      <c r="G1002" s="239"/>
      <c r="H1002" s="239"/>
    </row>
    <row r="1003" spans="1:8" x14ac:dyDescent="0.3">
      <c r="A1003"/>
      <c r="B1003" s="239"/>
      <c r="C1003" s="239"/>
      <c r="D1003" s="239"/>
      <c r="E1003" s="239"/>
      <c r="F1003" s="239"/>
      <c r="G1003" s="239"/>
      <c r="H1003" s="239"/>
    </row>
    <row r="1004" spans="1:8" x14ac:dyDescent="0.3">
      <c r="A1004"/>
      <c r="B1004" s="239"/>
      <c r="C1004" s="239"/>
      <c r="D1004" s="239"/>
      <c r="E1004" s="239"/>
      <c r="F1004" s="239"/>
      <c r="G1004" s="239"/>
      <c r="H1004" s="239"/>
    </row>
    <row r="1005" spans="1:8" x14ac:dyDescent="0.3">
      <c r="A1005"/>
      <c r="B1005" s="239"/>
      <c r="C1005" s="239"/>
      <c r="D1005" s="239"/>
      <c r="E1005" s="239"/>
      <c r="F1005" s="239"/>
      <c r="G1005" s="239"/>
      <c r="H1005" s="239"/>
    </row>
    <row r="1006" spans="1:8" x14ac:dyDescent="0.3">
      <c r="A1006"/>
      <c r="B1006" s="239"/>
      <c r="C1006" s="239"/>
      <c r="D1006" s="239"/>
      <c r="E1006" s="239"/>
      <c r="F1006" s="239"/>
      <c r="G1006" s="239"/>
      <c r="H1006" s="239"/>
    </row>
    <row r="1007" spans="1:8" x14ac:dyDescent="0.3">
      <c r="A1007"/>
      <c r="B1007" s="239"/>
      <c r="C1007" s="239"/>
      <c r="D1007" s="239"/>
      <c r="E1007" s="239"/>
      <c r="F1007" s="239"/>
      <c r="G1007" s="239"/>
      <c r="H1007" s="239"/>
    </row>
    <row r="1008" spans="1:8" x14ac:dyDescent="0.3">
      <c r="A1008"/>
      <c r="B1008" s="239"/>
      <c r="C1008" s="239"/>
      <c r="D1008" s="239"/>
      <c r="E1008" s="239"/>
      <c r="F1008" s="239"/>
      <c r="G1008" s="239"/>
      <c r="H1008" s="239"/>
    </row>
    <row r="1009" spans="1:8" x14ac:dyDescent="0.3">
      <c r="A1009"/>
      <c r="B1009" s="239"/>
      <c r="C1009" s="239"/>
      <c r="D1009" s="239"/>
      <c r="E1009" s="239"/>
      <c r="F1009" s="239"/>
      <c r="G1009" s="239"/>
      <c r="H1009" s="239"/>
    </row>
    <row r="1010" spans="1:8" x14ac:dyDescent="0.3">
      <c r="A1010"/>
      <c r="B1010" s="239"/>
      <c r="C1010" s="239"/>
      <c r="D1010" s="239"/>
      <c r="E1010" s="239"/>
      <c r="F1010" s="239"/>
      <c r="G1010" s="239"/>
      <c r="H1010" s="239"/>
    </row>
    <row r="1011" spans="1:8" x14ac:dyDescent="0.3">
      <c r="A1011"/>
      <c r="B1011" s="239"/>
      <c r="C1011" s="239"/>
      <c r="D1011" s="239"/>
      <c r="E1011" s="239"/>
      <c r="F1011" s="239"/>
      <c r="G1011" s="239"/>
      <c r="H1011" s="239"/>
    </row>
    <row r="1012" spans="1:8" x14ac:dyDescent="0.3">
      <c r="A1012"/>
      <c r="B1012" s="239"/>
      <c r="C1012" s="239"/>
      <c r="D1012" s="239"/>
      <c r="E1012" s="239"/>
      <c r="F1012" s="239"/>
      <c r="G1012" s="239"/>
      <c r="H1012" s="239"/>
    </row>
    <row r="1013" spans="1:8" x14ac:dyDescent="0.3">
      <c r="A1013"/>
      <c r="B1013" s="239"/>
      <c r="C1013" s="239"/>
      <c r="D1013" s="239"/>
      <c r="E1013" s="239"/>
      <c r="F1013" s="239"/>
      <c r="G1013" s="239"/>
      <c r="H1013" s="239"/>
    </row>
    <row r="1014" spans="1:8" x14ac:dyDescent="0.3">
      <c r="A1014"/>
      <c r="B1014" s="239"/>
      <c r="C1014" s="239"/>
      <c r="D1014" s="239"/>
      <c r="E1014" s="239"/>
      <c r="F1014" s="239"/>
      <c r="G1014" s="239"/>
      <c r="H1014" s="239"/>
    </row>
    <row r="1015" spans="1:8" x14ac:dyDescent="0.3">
      <c r="A1015"/>
      <c r="B1015" s="239"/>
      <c r="C1015" s="239"/>
      <c r="D1015" s="239"/>
      <c r="E1015" s="239"/>
      <c r="F1015" s="239"/>
      <c r="G1015" s="239"/>
      <c r="H1015" s="239"/>
    </row>
    <row r="1016" spans="1:8" x14ac:dyDescent="0.3">
      <c r="A1016"/>
      <c r="B1016" s="239"/>
      <c r="C1016" s="239"/>
      <c r="D1016" s="239"/>
      <c r="E1016" s="239"/>
      <c r="F1016" s="239"/>
      <c r="G1016" s="239"/>
      <c r="H1016" s="239"/>
    </row>
    <row r="1017" spans="1:8" x14ac:dyDescent="0.3">
      <c r="A1017"/>
      <c r="B1017" s="239"/>
      <c r="C1017" s="239"/>
      <c r="D1017" s="239"/>
      <c r="E1017" s="239"/>
      <c r="F1017" s="239"/>
      <c r="G1017" s="239"/>
      <c r="H1017" s="239"/>
    </row>
    <row r="1018" spans="1:8" x14ac:dyDescent="0.3">
      <c r="A1018"/>
      <c r="B1018" s="239"/>
      <c r="C1018" s="239"/>
      <c r="D1018" s="239"/>
      <c r="E1018" s="239"/>
      <c r="F1018" s="239"/>
      <c r="G1018" s="239"/>
      <c r="H1018" s="239"/>
    </row>
    <row r="1019" spans="1:8" x14ac:dyDescent="0.3">
      <c r="A1019"/>
      <c r="B1019" s="239"/>
      <c r="C1019" s="239"/>
      <c r="D1019" s="239"/>
      <c r="E1019" s="239"/>
      <c r="F1019" s="239"/>
      <c r="G1019" s="239"/>
      <c r="H1019" s="239"/>
    </row>
    <row r="1020" spans="1:8" x14ac:dyDescent="0.3">
      <c r="A1020"/>
      <c r="B1020" s="239"/>
      <c r="C1020" s="239"/>
      <c r="D1020" s="239"/>
      <c r="E1020" s="239"/>
      <c r="F1020" s="239"/>
      <c r="G1020" s="239"/>
      <c r="H1020" s="239"/>
    </row>
    <row r="1021" spans="1:8" x14ac:dyDescent="0.3">
      <c r="A1021"/>
      <c r="B1021" s="239"/>
      <c r="C1021" s="239"/>
      <c r="D1021" s="239"/>
      <c r="E1021" s="239"/>
      <c r="F1021" s="239"/>
      <c r="G1021" s="239"/>
      <c r="H1021" s="239"/>
    </row>
    <row r="1022" spans="1:8" x14ac:dyDescent="0.3">
      <c r="A1022"/>
      <c r="B1022" s="239"/>
      <c r="C1022" s="239"/>
      <c r="D1022" s="239"/>
      <c r="E1022" s="239"/>
      <c r="F1022" s="239"/>
      <c r="G1022" s="239"/>
      <c r="H1022" s="239"/>
    </row>
    <row r="1023" spans="1:8" x14ac:dyDescent="0.3">
      <c r="A1023"/>
      <c r="B1023" s="239"/>
      <c r="C1023" s="239"/>
      <c r="D1023" s="239"/>
      <c r="E1023" s="239"/>
      <c r="F1023" s="239"/>
      <c r="G1023" s="239"/>
      <c r="H1023" s="239"/>
    </row>
    <row r="1024" spans="1:8" x14ac:dyDescent="0.3">
      <c r="A1024"/>
      <c r="B1024" s="239"/>
      <c r="C1024" s="239"/>
      <c r="D1024" s="239"/>
      <c r="E1024" s="239"/>
      <c r="F1024" s="239"/>
      <c r="G1024" s="239"/>
      <c r="H1024" s="239"/>
    </row>
    <row r="1025" spans="1:8" x14ac:dyDescent="0.3">
      <c r="A1025"/>
      <c r="B1025" s="239"/>
      <c r="C1025" s="239"/>
      <c r="D1025" s="239"/>
      <c r="E1025" s="239"/>
      <c r="F1025" s="239"/>
      <c r="G1025" s="239"/>
      <c r="H1025" s="239"/>
    </row>
    <row r="1026" spans="1:8" x14ac:dyDescent="0.3">
      <c r="A1026"/>
      <c r="B1026" s="239"/>
      <c r="C1026" s="239"/>
      <c r="D1026" s="239"/>
      <c r="E1026" s="239"/>
      <c r="F1026" s="239"/>
      <c r="G1026" s="239"/>
      <c r="H1026" s="239"/>
    </row>
    <row r="1027" spans="1:8" x14ac:dyDescent="0.3">
      <c r="A1027"/>
      <c r="B1027" s="239"/>
      <c r="C1027" s="239"/>
      <c r="D1027" s="239"/>
      <c r="E1027" s="239"/>
      <c r="F1027" s="239"/>
      <c r="G1027" s="239"/>
      <c r="H1027" s="239"/>
    </row>
    <row r="1028" spans="1:8" x14ac:dyDescent="0.3">
      <c r="A1028"/>
      <c r="B1028" s="239"/>
      <c r="C1028" s="239"/>
      <c r="D1028" s="239"/>
      <c r="E1028" s="239"/>
      <c r="F1028" s="239"/>
      <c r="G1028" s="239"/>
      <c r="H1028" s="239"/>
    </row>
    <row r="1029" spans="1:8" x14ac:dyDescent="0.3">
      <c r="A1029"/>
      <c r="B1029" s="239"/>
      <c r="C1029" s="239"/>
      <c r="D1029" s="239"/>
      <c r="E1029" s="239"/>
      <c r="F1029" s="239"/>
      <c r="G1029" s="239"/>
      <c r="H1029" s="239"/>
    </row>
    <row r="1030" spans="1:8" x14ac:dyDescent="0.3">
      <c r="A1030"/>
      <c r="B1030" s="239"/>
      <c r="C1030" s="239"/>
      <c r="D1030" s="239"/>
      <c r="E1030" s="239"/>
      <c r="F1030" s="239"/>
      <c r="G1030" s="239"/>
      <c r="H1030" s="239"/>
    </row>
    <row r="1031" spans="1:8" x14ac:dyDescent="0.3">
      <c r="A1031"/>
      <c r="B1031" s="239"/>
      <c r="C1031" s="239"/>
      <c r="D1031" s="239"/>
      <c r="E1031" s="239"/>
      <c r="F1031" s="239"/>
      <c r="G1031" s="239"/>
      <c r="H1031" s="239"/>
    </row>
    <row r="1032" spans="1:8" x14ac:dyDescent="0.3">
      <c r="A1032"/>
      <c r="B1032" s="239"/>
      <c r="C1032" s="239"/>
      <c r="D1032" s="239"/>
      <c r="E1032" s="239"/>
      <c r="F1032" s="239"/>
      <c r="G1032" s="239"/>
      <c r="H1032" s="239"/>
    </row>
    <row r="1033" spans="1:8" x14ac:dyDescent="0.3">
      <c r="A1033"/>
      <c r="B1033" s="239"/>
      <c r="C1033" s="239"/>
      <c r="D1033" s="239"/>
      <c r="E1033" s="239"/>
      <c r="F1033" s="239"/>
      <c r="G1033" s="239"/>
      <c r="H1033" s="239"/>
    </row>
    <row r="1034" spans="1:8" x14ac:dyDescent="0.3">
      <c r="A1034"/>
      <c r="B1034" s="239"/>
      <c r="C1034" s="239"/>
      <c r="D1034" s="239"/>
      <c r="E1034" s="239"/>
      <c r="F1034" s="239"/>
      <c r="G1034" s="239"/>
      <c r="H1034" s="239"/>
    </row>
    <row r="1035" spans="1:8" x14ac:dyDescent="0.3">
      <c r="A1035"/>
      <c r="B1035" s="239"/>
      <c r="C1035" s="239"/>
      <c r="D1035" s="239"/>
      <c r="E1035" s="239"/>
      <c r="F1035" s="239"/>
      <c r="G1035" s="239"/>
      <c r="H1035" s="239"/>
    </row>
    <row r="1036" spans="1:8" x14ac:dyDescent="0.3">
      <c r="A1036"/>
      <c r="B1036" s="239"/>
      <c r="C1036" s="239"/>
      <c r="D1036" s="239"/>
      <c r="E1036" s="239"/>
      <c r="F1036" s="239"/>
      <c r="G1036" s="239"/>
      <c r="H1036" s="239"/>
    </row>
    <row r="1037" spans="1:8" x14ac:dyDescent="0.3">
      <c r="A1037"/>
      <c r="B1037" s="239"/>
      <c r="C1037" s="239"/>
      <c r="D1037" s="239"/>
      <c r="E1037" s="239"/>
      <c r="F1037" s="239"/>
      <c r="G1037" s="239"/>
      <c r="H1037" s="239"/>
    </row>
    <row r="1038" spans="1:8" x14ac:dyDescent="0.3">
      <c r="A1038"/>
      <c r="B1038" s="239"/>
      <c r="C1038" s="239"/>
      <c r="D1038" s="239"/>
      <c r="E1038" s="239"/>
      <c r="F1038" s="239"/>
      <c r="G1038" s="239"/>
      <c r="H1038" s="239"/>
    </row>
    <row r="1039" spans="1:8" x14ac:dyDescent="0.3">
      <c r="A1039"/>
      <c r="B1039" s="239"/>
      <c r="C1039" s="239"/>
      <c r="D1039" s="239"/>
      <c r="E1039" s="239"/>
      <c r="F1039" s="239"/>
      <c r="G1039" s="239"/>
      <c r="H1039" s="239"/>
    </row>
    <row r="1040" spans="1:8" x14ac:dyDescent="0.3">
      <c r="A1040"/>
      <c r="B1040" s="239"/>
      <c r="C1040" s="239"/>
      <c r="D1040" s="239"/>
      <c r="E1040" s="239"/>
      <c r="F1040" s="239"/>
      <c r="G1040" s="239"/>
      <c r="H1040" s="239"/>
    </row>
    <row r="1041" spans="1:8" x14ac:dyDescent="0.3">
      <c r="A1041"/>
      <c r="B1041" s="239"/>
      <c r="C1041" s="239"/>
      <c r="D1041" s="239"/>
      <c r="E1041" s="239"/>
      <c r="F1041" s="239"/>
      <c r="G1041" s="239"/>
      <c r="H1041" s="239"/>
    </row>
    <row r="1042" spans="1:8" x14ac:dyDescent="0.3">
      <c r="A1042"/>
      <c r="B1042" s="239"/>
      <c r="C1042" s="239"/>
      <c r="D1042" s="239"/>
      <c r="E1042" s="239"/>
      <c r="F1042" s="239"/>
      <c r="G1042" s="239"/>
      <c r="H1042" s="239"/>
    </row>
    <row r="1043" spans="1:8" x14ac:dyDescent="0.3">
      <c r="A1043"/>
      <c r="B1043" s="239"/>
      <c r="C1043" s="239"/>
      <c r="D1043" s="239"/>
      <c r="E1043" s="239"/>
      <c r="F1043" s="239"/>
      <c r="G1043" s="239"/>
      <c r="H1043" s="239"/>
    </row>
    <row r="1044" spans="1:8" x14ac:dyDescent="0.3">
      <c r="A1044"/>
      <c r="B1044" s="239"/>
      <c r="C1044" s="239"/>
      <c r="D1044" s="239"/>
      <c r="E1044" s="239"/>
      <c r="F1044" s="239"/>
      <c r="G1044" s="239"/>
      <c r="H1044" s="239"/>
    </row>
    <row r="1045" spans="1:8" x14ac:dyDescent="0.3">
      <c r="A1045"/>
      <c r="B1045" s="239"/>
      <c r="C1045" s="239"/>
      <c r="D1045" s="239"/>
      <c r="E1045" s="239"/>
      <c r="F1045" s="239"/>
      <c r="G1045" s="239"/>
      <c r="H1045" s="239"/>
    </row>
    <row r="1046" spans="1:8" x14ac:dyDescent="0.3">
      <c r="A1046"/>
      <c r="B1046" s="239"/>
      <c r="C1046" s="239"/>
      <c r="D1046" s="239"/>
      <c r="E1046" s="239"/>
      <c r="F1046" s="239"/>
      <c r="G1046" s="239"/>
      <c r="H1046" s="239"/>
    </row>
    <row r="1047" spans="1:8" x14ac:dyDescent="0.3">
      <c r="A1047"/>
      <c r="B1047" s="239"/>
      <c r="C1047" s="239"/>
      <c r="D1047" s="239"/>
      <c r="E1047" s="239"/>
      <c r="F1047" s="239"/>
      <c r="G1047" s="239"/>
      <c r="H1047" s="239"/>
    </row>
    <row r="1048" spans="1:8" x14ac:dyDescent="0.3">
      <c r="A1048"/>
      <c r="B1048" s="239"/>
      <c r="C1048" s="239"/>
      <c r="D1048" s="239"/>
      <c r="E1048" s="239"/>
      <c r="F1048" s="239"/>
      <c r="G1048" s="239"/>
      <c r="H1048" s="239"/>
    </row>
    <row r="1049" spans="1:8" x14ac:dyDescent="0.3">
      <c r="A1049"/>
      <c r="B1049" s="239"/>
      <c r="C1049" s="239"/>
      <c r="D1049" s="239"/>
      <c r="E1049" s="239"/>
      <c r="F1049" s="239"/>
      <c r="G1049" s="239"/>
      <c r="H1049" s="239"/>
    </row>
    <row r="1050" spans="1:8" x14ac:dyDescent="0.3">
      <c r="A1050"/>
      <c r="B1050" s="239"/>
      <c r="C1050" s="239"/>
      <c r="D1050" s="239"/>
      <c r="E1050" s="239"/>
      <c r="F1050" s="239"/>
      <c r="G1050" s="239"/>
      <c r="H1050" s="239"/>
    </row>
    <row r="1051" spans="1:8" x14ac:dyDescent="0.3">
      <c r="A1051"/>
      <c r="B1051" s="239"/>
      <c r="C1051" s="239"/>
      <c r="D1051" s="239"/>
      <c r="E1051" s="239"/>
      <c r="F1051" s="239"/>
      <c r="G1051" s="239"/>
      <c r="H1051" s="239"/>
    </row>
    <row r="1052" spans="1:8" x14ac:dyDescent="0.3">
      <c r="A1052"/>
      <c r="B1052" s="239"/>
      <c r="C1052" s="239"/>
      <c r="D1052" s="239"/>
      <c r="E1052" s="239"/>
      <c r="F1052" s="239"/>
      <c r="G1052" s="239"/>
      <c r="H1052" s="239"/>
    </row>
    <row r="1053" spans="1:8" x14ac:dyDescent="0.3">
      <c r="A1053"/>
      <c r="B1053" s="239"/>
      <c r="C1053" s="239"/>
      <c r="D1053" s="239"/>
      <c r="E1053" s="239"/>
      <c r="F1053" s="239"/>
      <c r="G1053" s="239"/>
      <c r="H1053" s="239"/>
    </row>
    <row r="1054" spans="1:8" x14ac:dyDescent="0.3">
      <c r="A1054"/>
      <c r="B1054" s="239"/>
      <c r="C1054" s="239"/>
      <c r="D1054" s="239"/>
      <c r="E1054" s="239"/>
      <c r="F1054" s="239"/>
      <c r="G1054" s="239"/>
      <c r="H1054" s="239"/>
    </row>
    <row r="1055" spans="1:8" x14ac:dyDescent="0.3">
      <c r="A1055"/>
      <c r="B1055" s="239"/>
      <c r="C1055" s="239"/>
      <c r="D1055" s="239"/>
      <c r="E1055" s="239"/>
      <c r="F1055" s="239"/>
      <c r="G1055" s="239"/>
      <c r="H1055" s="239"/>
    </row>
    <row r="1056" spans="1:8" x14ac:dyDescent="0.3">
      <c r="A1056"/>
      <c r="B1056" s="239"/>
      <c r="C1056" s="239"/>
      <c r="D1056" s="239"/>
      <c r="E1056" s="239"/>
      <c r="F1056" s="239"/>
      <c r="G1056" s="239"/>
      <c r="H1056" s="239"/>
    </row>
    <row r="1057" spans="1:8" x14ac:dyDescent="0.3">
      <c r="A1057"/>
      <c r="B1057" s="239"/>
      <c r="C1057" s="239"/>
      <c r="D1057" s="239"/>
      <c r="E1057" s="239"/>
      <c r="F1057" s="239"/>
      <c r="G1057" s="239"/>
      <c r="H1057" s="239"/>
    </row>
    <row r="1058" spans="1:8" x14ac:dyDescent="0.3">
      <c r="A1058"/>
      <c r="B1058" s="239"/>
      <c r="C1058" s="239"/>
      <c r="D1058" s="239"/>
      <c r="E1058" s="239"/>
      <c r="F1058" s="239"/>
      <c r="G1058" s="239"/>
      <c r="H1058" s="239"/>
    </row>
    <row r="1059" spans="1:8" x14ac:dyDescent="0.3">
      <c r="A1059"/>
      <c r="B1059" s="239"/>
      <c r="C1059" s="239"/>
      <c r="D1059" s="239"/>
      <c r="E1059" s="239"/>
      <c r="F1059" s="239"/>
      <c r="G1059" s="239"/>
      <c r="H1059" s="239"/>
    </row>
    <row r="1060" spans="1:8" x14ac:dyDescent="0.3">
      <c r="A1060"/>
      <c r="B1060" s="239"/>
      <c r="C1060" s="239"/>
      <c r="D1060" s="239"/>
      <c r="E1060" s="239"/>
      <c r="F1060" s="239"/>
      <c r="G1060" s="239"/>
      <c r="H1060" s="239"/>
    </row>
    <row r="1061" spans="1:8" x14ac:dyDescent="0.3">
      <c r="A1061"/>
      <c r="B1061" s="239"/>
      <c r="C1061" s="239"/>
      <c r="D1061" s="239"/>
      <c r="E1061" s="239"/>
      <c r="F1061" s="239"/>
      <c r="G1061" s="239"/>
      <c r="H1061" s="239"/>
    </row>
    <row r="1062" spans="1:8" x14ac:dyDescent="0.3">
      <c r="A1062"/>
      <c r="B1062" s="239"/>
      <c r="C1062" s="239"/>
      <c r="D1062" s="239"/>
      <c r="E1062" s="239"/>
      <c r="F1062" s="239"/>
      <c r="G1062" s="239"/>
      <c r="H1062" s="239"/>
    </row>
    <row r="1063" spans="1:8" x14ac:dyDescent="0.3">
      <c r="A1063"/>
      <c r="B1063" s="239"/>
      <c r="C1063" s="239"/>
      <c r="D1063" s="239"/>
      <c r="E1063" s="239"/>
      <c r="F1063" s="239"/>
      <c r="G1063" s="239"/>
      <c r="H1063" s="239"/>
    </row>
    <row r="1064" spans="1:8" x14ac:dyDescent="0.3">
      <c r="A1064"/>
      <c r="B1064" s="239"/>
      <c r="C1064" s="239"/>
      <c r="D1064" s="239"/>
      <c r="E1064" s="239"/>
      <c r="F1064" s="239"/>
      <c r="G1064" s="239"/>
      <c r="H1064" s="239"/>
    </row>
    <row r="1065" spans="1:8" x14ac:dyDescent="0.3">
      <c r="A1065"/>
      <c r="B1065" s="239"/>
      <c r="C1065" s="239"/>
      <c r="D1065" s="239"/>
      <c r="E1065" s="239"/>
      <c r="F1065" s="239"/>
      <c r="G1065" s="239"/>
      <c r="H1065" s="239"/>
    </row>
    <row r="1066" spans="1:8" x14ac:dyDescent="0.3">
      <c r="A1066"/>
      <c r="B1066" s="239"/>
      <c r="C1066" s="239"/>
      <c r="D1066" s="239"/>
      <c r="E1066" s="239"/>
      <c r="F1066" s="239"/>
      <c r="G1066" s="239"/>
      <c r="H1066" s="239"/>
    </row>
    <row r="1067" spans="1:8" x14ac:dyDescent="0.3">
      <c r="A1067"/>
      <c r="B1067" s="239"/>
      <c r="C1067" s="239"/>
      <c r="D1067" s="239"/>
      <c r="E1067" s="239"/>
      <c r="F1067" s="239"/>
      <c r="G1067" s="239"/>
      <c r="H1067" s="239"/>
    </row>
    <row r="1068" spans="1:8" x14ac:dyDescent="0.3">
      <c r="A1068"/>
      <c r="B1068" s="239"/>
      <c r="C1068" s="239"/>
      <c r="D1068" s="239"/>
      <c r="E1068" s="239"/>
      <c r="F1068" s="239"/>
      <c r="G1068" s="239"/>
      <c r="H1068" s="239"/>
    </row>
    <row r="1069" spans="1:8" x14ac:dyDescent="0.3">
      <c r="A1069"/>
      <c r="B1069" s="239"/>
      <c r="C1069" s="239"/>
      <c r="D1069" s="239"/>
      <c r="E1069" s="239"/>
      <c r="F1069" s="239"/>
      <c r="G1069" s="239"/>
      <c r="H1069" s="239"/>
    </row>
    <row r="1070" spans="1:8" x14ac:dyDescent="0.3">
      <c r="A1070"/>
      <c r="B1070" s="239"/>
      <c r="C1070" s="239"/>
      <c r="D1070" s="239"/>
      <c r="E1070" s="239"/>
      <c r="F1070" s="239"/>
      <c r="G1070" s="239"/>
      <c r="H1070" s="239"/>
    </row>
    <row r="1071" spans="1:8" x14ac:dyDescent="0.3">
      <c r="A1071"/>
      <c r="B1071" s="239"/>
      <c r="C1071" s="239"/>
      <c r="D1071" s="239"/>
      <c r="E1071" s="239"/>
      <c r="F1071" s="239"/>
      <c r="G1071" s="239"/>
      <c r="H1071" s="239"/>
    </row>
    <row r="1072" spans="1:8" x14ac:dyDescent="0.3">
      <c r="A1072"/>
      <c r="B1072" s="239"/>
      <c r="C1072" s="239"/>
      <c r="D1072" s="239"/>
      <c r="E1072" s="239"/>
      <c r="F1072" s="239"/>
      <c r="G1072" s="239"/>
      <c r="H1072" s="239"/>
    </row>
    <row r="1073" spans="1:8" x14ac:dyDescent="0.3">
      <c r="A1073"/>
      <c r="B1073" s="239"/>
      <c r="C1073" s="239"/>
      <c r="D1073" s="239"/>
      <c r="E1073" s="239"/>
      <c r="F1073" s="239"/>
      <c r="G1073" s="239"/>
      <c r="H1073" s="239"/>
    </row>
    <row r="1074" spans="1:8" x14ac:dyDescent="0.3">
      <c r="A1074"/>
      <c r="B1074" s="239"/>
      <c r="C1074" s="239"/>
      <c r="D1074" s="239"/>
      <c r="E1074" s="239"/>
      <c r="F1074" s="239"/>
      <c r="G1074" s="239"/>
      <c r="H1074" s="239"/>
    </row>
    <row r="1075" spans="1:8" x14ac:dyDescent="0.3">
      <c r="A1075"/>
      <c r="B1075" s="239"/>
      <c r="C1075" s="239"/>
      <c r="D1075" s="239"/>
      <c r="E1075" s="239"/>
      <c r="F1075" s="239"/>
      <c r="G1075" s="239"/>
      <c r="H1075" s="239"/>
    </row>
    <row r="1076" spans="1:8" x14ac:dyDescent="0.3">
      <c r="A1076"/>
      <c r="B1076" s="239"/>
      <c r="C1076" s="239"/>
      <c r="D1076" s="239"/>
      <c r="E1076" s="239"/>
      <c r="F1076" s="239"/>
      <c r="G1076" s="239"/>
      <c r="H1076" s="239"/>
    </row>
    <row r="1077" spans="1:8" x14ac:dyDescent="0.3">
      <c r="A1077"/>
      <c r="B1077" s="239"/>
      <c r="C1077" s="239"/>
      <c r="D1077" s="239"/>
      <c r="E1077" s="239"/>
      <c r="F1077" s="239"/>
      <c r="G1077" s="239"/>
      <c r="H1077" s="239"/>
    </row>
    <row r="1078" spans="1:8" x14ac:dyDescent="0.3">
      <c r="A1078"/>
      <c r="B1078" s="239"/>
      <c r="C1078" s="239"/>
      <c r="D1078" s="239"/>
      <c r="E1078" s="239"/>
      <c r="F1078" s="239"/>
      <c r="G1078" s="239"/>
      <c r="H1078" s="239"/>
    </row>
    <row r="1079" spans="1:8" x14ac:dyDescent="0.3">
      <c r="A1079"/>
      <c r="B1079" s="239"/>
      <c r="C1079" s="239"/>
      <c r="D1079" s="239"/>
      <c r="E1079" s="239"/>
      <c r="F1079" s="239"/>
      <c r="G1079" s="239"/>
      <c r="H1079" s="239"/>
    </row>
    <row r="1080" spans="1:8" x14ac:dyDescent="0.3">
      <c r="A1080"/>
      <c r="B1080" s="239"/>
      <c r="C1080" s="239"/>
      <c r="D1080" s="239"/>
      <c r="E1080" s="239"/>
      <c r="F1080" s="239"/>
      <c r="G1080" s="239"/>
      <c r="H1080" s="239"/>
    </row>
    <row r="1081" spans="1:8" x14ac:dyDescent="0.3">
      <c r="A1081"/>
      <c r="B1081" s="239"/>
      <c r="C1081" s="239"/>
      <c r="D1081" s="239"/>
      <c r="E1081" s="239"/>
      <c r="F1081" s="239"/>
      <c r="G1081" s="239"/>
      <c r="H1081" s="239"/>
    </row>
    <row r="1082" spans="1:8" x14ac:dyDescent="0.3">
      <c r="A1082"/>
      <c r="B1082" s="239"/>
      <c r="C1082" s="239"/>
      <c r="D1082" s="239"/>
      <c r="E1082" s="239"/>
      <c r="F1082" s="239"/>
      <c r="G1082" s="239"/>
      <c r="H1082" s="239"/>
    </row>
    <row r="1083" spans="1:8" x14ac:dyDescent="0.3">
      <c r="A1083"/>
      <c r="B1083" s="239"/>
      <c r="C1083" s="239"/>
      <c r="D1083" s="239"/>
      <c r="E1083" s="239"/>
      <c r="F1083" s="239"/>
      <c r="G1083" s="239"/>
      <c r="H1083" s="239"/>
    </row>
    <row r="1084" spans="1:8" x14ac:dyDescent="0.3">
      <c r="A1084"/>
      <c r="B1084" s="239"/>
      <c r="C1084" s="239"/>
      <c r="D1084" s="239"/>
      <c r="E1084" s="239"/>
      <c r="F1084" s="239"/>
      <c r="G1084" s="239"/>
      <c r="H1084" s="239"/>
    </row>
    <row r="1085" spans="1:8" x14ac:dyDescent="0.3">
      <c r="A1085"/>
      <c r="B1085" s="239"/>
      <c r="C1085" s="239"/>
      <c r="D1085" s="239"/>
      <c r="E1085" s="239"/>
      <c r="F1085" s="239"/>
      <c r="G1085" s="239"/>
      <c r="H1085" s="239"/>
    </row>
    <row r="1086" spans="1:8" x14ac:dyDescent="0.3">
      <c r="A1086"/>
      <c r="B1086" s="239"/>
      <c r="C1086" s="239"/>
      <c r="D1086" s="239"/>
      <c r="E1086" s="239"/>
      <c r="F1086" s="239"/>
      <c r="G1086" s="239"/>
      <c r="H1086" s="239"/>
    </row>
    <row r="1087" spans="1:8" x14ac:dyDescent="0.3">
      <c r="A1087"/>
      <c r="B1087" s="239"/>
      <c r="C1087" s="239"/>
      <c r="D1087" s="239"/>
      <c r="E1087" s="239"/>
      <c r="F1087" s="239"/>
      <c r="G1087" s="239"/>
      <c r="H1087" s="239"/>
    </row>
    <row r="1088" spans="1:8" x14ac:dyDescent="0.3">
      <c r="A1088"/>
      <c r="B1088" s="239"/>
      <c r="C1088" s="239"/>
      <c r="D1088" s="239"/>
      <c r="E1088" s="239"/>
      <c r="F1088" s="239"/>
      <c r="G1088" s="239"/>
      <c r="H1088" s="239"/>
    </row>
    <row r="1089" spans="1:8" x14ac:dyDescent="0.3">
      <c r="A1089"/>
      <c r="B1089" s="239"/>
      <c r="C1089" s="239"/>
      <c r="D1089" s="239"/>
      <c r="E1089" s="239"/>
      <c r="F1089" s="239"/>
      <c r="G1089" s="239"/>
      <c r="H1089" s="239"/>
    </row>
    <row r="1090" spans="1:8" x14ac:dyDescent="0.3">
      <c r="A1090"/>
      <c r="B1090" s="239"/>
      <c r="C1090" s="239"/>
      <c r="D1090" s="239"/>
      <c r="E1090" s="239"/>
      <c r="F1090" s="239"/>
      <c r="G1090" s="239"/>
      <c r="H1090" s="239"/>
    </row>
    <row r="1091" spans="1:8" x14ac:dyDescent="0.3">
      <c r="A1091"/>
      <c r="B1091" s="239"/>
      <c r="C1091" s="239"/>
      <c r="D1091" s="239"/>
      <c r="E1091" s="239"/>
      <c r="F1091" s="239"/>
      <c r="G1091" s="239"/>
      <c r="H1091" s="239"/>
    </row>
    <row r="1092" spans="1:8" x14ac:dyDescent="0.3">
      <c r="A1092"/>
      <c r="B1092" s="239"/>
      <c r="C1092" s="239"/>
      <c r="D1092" s="239"/>
      <c r="E1092" s="239"/>
      <c r="F1092" s="239"/>
      <c r="G1092" s="239"/>
      <c r="H1092" s="239"/>
    </row>
    <row r="1093" spans="1:8" x14ac:dyDescent="0.3">
      <c r="A1093"/>
      <c r="B1093" s="239"/>
      <c r="C1093" s="239"/>
      <c r="D1093" s="239"/>
      <c r="E1093" s="239"/>
      <c r="F1093" s="239"/>
      <c r="G1093" s="239"/>
      <c r="H1093" s="239"/>
    </row>
    <row r="1094" spans="1:8" x14ac:dyDescent="0.3">
      <c r="A1094"/>
      <c r="B1094" s="239"/>
      <c r="C1094" s="239"/>
      <c r="D1094" s="239"/>
      <c r="E1094" s="239"/>
      <c r="F1094" s="239"/>
      <c r="G1094" s="239"/>
      <c r="H1094" s="239"/>
    </row>
    <row r="1095" spans="1:8" x14ac:dyDescent="0.3">
      <c r="A1095"/>
      <c r="B1095" s="239"/>
      <c r="C1095" s="239"/>
      <c r="D1095" s="239"/>
      <c r="E1095" s="239"/>
      <c r="F1095" s="239"/>
      <c r="G1095" s="239"/>
      <c r="H1095" s="239"/>
    </row>
    <row r="1096" spans="1:8" x14ac:dyDescent="0.3">
      <c r="A1096"/>
      <c r="B1096" s="239"/>
      <c r="C1096" s="239"/>
      <c r="D1096" s="239"/>
      <c r="E1096" s="239"/>
      <c r="F1096" s="239"/>
      <c r="G1096" s="239"/>
      <c r="H1096" s="239"/>
    </row>
    <row r="1097" spans="1:8" x14ac:dyDescent="0.3">
      <c r="A1097"/>
      <c r="B1097" s="239"/>
      <c r="C1097" s="239"/>
      <c r="D1097" s="239"/>
      <c r="E1097" s="239"/>
      <c r="F1097" s="239"/>
      <c r="G1097" s="239"/>
      <c r="H1097" s="239"/>
    </row>
    <row r="1098" spans="1:8" x14ac:dyDescent="0.3">
      <c r="A1098"/>
      <c r="B1098" s="239"/>
      <c r="C1098" s="239"/>
      <c r="D1098" s="239"/>
      <c r="E1098" s="239"/>
      <c r="F1098" s="239"/>
      <c r="G1098" s="239"/>
      <c r="H1098" s="239"/>
    </row>
    <row r="1099" spans="1:8" x14ac:dyDescent="0.3">
      <c r="A1099"/>
      <c r="B1099" s="239"/>
      <c r="C1099" s="239"/>
      <c r="D1099" s="239"/>
      <c r="E1099" s="239"/>
      <c r="F1099" s="239"/>
      <c r="G1099" s="239"/>
      <c r="H1099" s="239"/>
    </row>
    <row r="1100" spans="1:8" x14ac:dyDescent="0.3">
      <c r="A1100"/>
      <c r="B1100" s="239"/>
      <c r="C1100" s="239"/>
      <c r="D1100" s="239"/>
      <c r="E1100" s="239"/>
      <c r="F1100" s="239"/>
      <c r="G1100" s="239"/>
      <c r="H1100" s="239"/>
    </row>
    <row r="1101" spans="1:8" x14ac:dyDescent="0.3">
      <c r="A1101"/>
      <c r="B1101" s="239"/>
      <c r="C1101" s="239"/>
      <c r="D1101" s="239"/>
      <c r="E1101" s="239"/>
      <c r="F1101" s="239"/>
      <c r="G1101" s="239"/>
      <c r="H1101" s="239"/>
    </row>
    <row r="1102" spans="1:8" x14ac:dyDescent="0.3">
      <c r="A1102"/>
      <c r="B1102" s="239"/>
      <c r="C1102" s="239"/>
      <c r="D1102" s="239"/>
      <c r="E1102" s="239"/>
      <c r="F1102" s="239"/>
      <c r="G1102" s="239"/>
      <c r="H1102" s="239"/>
    </row>
    <row r="1103" spans="1:8" x14ac:dyDescent="0.3">
      <c r="A1103"/>
      <c r="B1103" s="239"/>
      <c r="C1103" s="239"/>
      <c r="D1103" s="239"/>
      <c r="E1103" s="239"/>
      <c r="F1103" s="239"/>
      <c r="G1103" s="239"/>
      <c r="H1103" s="239"/>
    </row>
    <row r="1104" spans="1:8" x14ac:dyDescent="0.3">
      <c r="A1104"/>
      <c r="B1104" s="239"/>
      <c r="C1104" s="239"/>
      <c r="D1104" s="239"/>
      <c r="E1104" s="239"/>
      <c r="F1104" s="239"/>
      <c r="G1104" s="239"/>
      <c r="H1104" s="239"/>
    </row>
    <row r="1105" spans="1:8" x14ac:dyDescent="0.3">
      <c r="A1105"/>
      <c r="B1105" s="239"/>
      <c r="C1105" s="239"/>
      <c r="D1105" s="239"/>
      <c r="E1105" s="239"/>
      <c r="F1105" s="239"/>
      <c r="G1105" s="239"/>
      <c r="H1105" s="239"/>
    </row>
    <row r="1106" spans="1:8" x14ac:dyDescent="0.3">
      <c r="A1106"/>
      <c r="B1106" s="239"/>
      <c r="C1106" s="239"/>
      <c r="D1106" s="239"/>
      <c r="E1106" s="239"/>
      <c r="F1106" s="239"/>
      <c r="G1106" s="239"/>
      <c r="H1106" s="239"/>
    </row>
    <row r="1107" spans="1:8" x14ac:dyDescent="0.3">
      <c r="A1107"/>
      <c r="B1107" s="239"/>
      <c r="C1107" s="239"/>
      <c r="D1107" s="239"/>
      <c r="E1107" s="239"/>
      <c r="F1107" s="239"/>
      <c r="G1107" s="239"/>
      <c r="H1107" s="239"/>
    </row>
    <row r="1108" spans="1:8" x14ac:dyDescent="0.3">
      <c r="A1108"/>
      <c r="B1108" s="239"/>
      <c r="C1108" s="239"/>
      <c r="D1108" s="239"/>
      <c r="E1108" s="239"/>
      <c r="F1108" s="239"/>
      <c r="G1108" s="239"/>
      <c r="H1108" s="239"/>
    </row>
    <row r="1109" spans="1:8" x14ac:dyDescent="0.3">
      <c r="A1109"/>
      <c r="B1109" s="239"/>
      <c r="C1109" s="239"/>
      <c r="D1109" s="239"/>
      <c r="E1109" s="239"/>
      <c r="F1109" s="239"/>
      <c r="G1109" s="239"/>
      <c r="H1109" s="239"/>
    </row>
    <row r="1110" spans="1:8" x14ac:dyDescent="0.3">
      <c r="A1110"/>
      <c r="B1110" s="239"/>
      <c r="C1110" s="239"/>
      <c r="D1110" s="239"/>
      <c r="E1110" s="239"/>
      <c r="F1110" s="239"/>
      <c r="G1110" s="239"/>
      <c r="H1110" s="239"/>
    </row>
    <row r="1111" spans="1:8" x14ac:dyDescent="0.3">
      <c r="A1111"/>
      <c r="B1111" s="239"/>
      <c r="C1111" s="239"/>
      <c r="D1111" s="239"/>
      <c r="E1111" s="239"/>
      <c r="F1111" s="239"/>
      <c r="G1111" s="239"/>
      <c r="H1111" s="239"/>
    </row>
    <row r="1112" spans="1:8" x14ac:dyDescent="0.3">
      <c r="A1112"/>
      <c r="B1112" s="239"/>
      <c r="C1112" s="239"/>
      <c r="D1112" s="239"/>
      <c r="E1112" s="239"/>
      <c r="F1112" s="239"/>
      <c r="G1112" s="239"/>
      <c r="H1112" s="239"/>
    </row>
    <row r="1113" spans="1:8" x14ac:dyDescent="0.3">
      <c r="A1113"/>
      <c r="B1113" s="239"/>
      <c r="C1113" s="239"/>
      <c r="D1113" s="239"/>
      <c r="E1113" s="239"/>
      <c r="F1113" s="239"/>
      <c r="G1113" s="239"/>
      <c r="H1113" s="239"/>
    </row>
    <row r="1114" spans="1:8" x14ac:dyDescent="0.3">
      <c r="A1114"/>
      <c r="B1114" s="239"/>
      <c r="C1114" s="239"/>
      <c r="D1114" s="239"/>
      <c r="E1114" s="239"/>
      <c r="F1114" s="239"/>
      <c r="G1114" s="239"/>
      <c r="H1114" s="239"/>
    </row>
    <row r="1115" spans="1:8" x14ac:dyDescent="0.3">
      <c r="A1115"/>
      <c r="B1115" s="239"/>
      <c r="C1115" s="239"/>
      <c r="D1115" s="239"/>
      <c r="E1115" s="239"/>
      <c r="F1115" s="239"/>
      <c r="G1115" s="239"/>
      <c r="H1115" s="239"/>
    </row>
    <row r="1116" spans="1:8" x14ac:dyDescent="0.3">
      <c r="A1116"/>
      <c r="B1116" s="239"/>
      <c r="C1116" s="239"/>
      <c r="D1116" s="239"/>
      <c r="E1116" s="239"/>
      <c r="F1116" s="239"/>
      <c r="G1116" s="239"/>
      <c r="H1116" s="239"/>
    </row>
    <row r="1117" spans="1:8" x14ac:dyDescent="0.3">
      <c r="A1117"/>
      <c r="B1117" s="239"/>
      <c r="C1117" s="239"/>
      <c r="D1117" s="239"/>
      <c r="E1117" s="239"/>
      <c r="F1117" s="239"/>
      <c r="G1117" s="239"/>
      <c r="H1117" s="239"/>
    </row>
    <row r="1118" spans="1:8" x14ac:dyDescent="0.3">
      <c r="A1118"/>
      <c r="B1118" s="239"/>
      <c r="C1118" s="239"/>
      <c r="D1118" s="239"/>
      <c r="E1118" s="239"/>
      <c r="F1118" s="239"/>
      <c r="G1118" s="239"/>
      <c r="H1118" s="239"/>
    </row>
    <row r="1119" spans="1:8" x14ac:dyDescent="0.3">
      <c r="A1119"/>
      <c r="B1119" s="239"/>
      <c r="C1119" s="239"/>
      <c r="D1119" s="239"/>
      <c r="E1119" s="239"/>
      <c r="F1119" s="239"/>
      <c r="G1119" s="239"/>
      <c r="H1119" s="239"/>
    </row>
    <row r="1120" spans="1:8" x14ac:dyDescent="0.3">
      <c r="A1120"/>
      <c r="B1120" s="239"/>
      <c r="C1120" s="239"/>
      <c r="D1120" s="239"/>
      <c r="E1120" s="239"/>
      <c r="F1120" s="239"/>
      <c r="G1120" s="239"/>
      <c r="H1120" s="239"/>
    </row>
    <row r="1121" spans="1:8" x14ac:dyDescent="0.3">
      <c r="A1121"/>
      <c r="B1121" s="239"/>
      <c r="C1121" s="239"/>
      <c r="D1121" s="239"/>
      <c r="E1121" s="239"/>
      <c r="F1121" s="239"/>
      <c r="G1121" s="239"/>
      <c r="H1121" s="239"/>
    </row>
    <row r="1122" spans="1:8" x14ac:dyDescent="0.3">
      <c r="A1122"/>
      <c r="B1122" s="239"/>
      <c r="C1122" s="239"/>
      <c r="D1122" s="239"/>
      <c r="E1122" s="239"/>
      <c r="F1122" s="239"/>
      <c r="G1122" s="239"/>
      <c r="H1122" s="239"/>
    </row>
    <row r="1123" spans="1:8" x14ac:dyDescent="0.3">
      <c r="A1123"/>
      <c r="B1123" s="239"/>
      <c r="C1123" s="239"/>
      <c r="D1123" s="239"/>
      <c r="E1123" s="239"/>
      <c r="F1123" s="239"/>
      <c r="G1123" s="239"/>
      <c r="H1123" s="239"/>
    </row>
    <row r="1124" spans="1:8" x14ac:dyDescent="0.3">
      <c r="A1124"/>
      <c r="B1124" s="239"/>
      <c r="C1124" s="239"/>
      <c r="D1124" s="239"/>
      <c r="E1124" s="239"/>
      <c r="F1124" s="239"/>
      <c r="G1124" s="239"/>
      <c r="H1124" s="239"/>
    </row>
    <row r="1125" spans="1:8" x14ac:dyDescent="0.3">
      <c r="A1125"/>
      <c r="B1125" s="239"/>
      <c r="C1125" s="239"/>
      <c r="D1125" s="239"/>
      <c r="E1125" s="239"/>
      <c r="F1125" s="239"/>
      <c r="G1125" s="239"/>
      <c r="H1125" s="239"/>
    </row>
    <row r="1126" spans="1:8" x14ac:dyDescent="0.3">
      <c r="A1126"/>
      <c r="B1126" s="239"/>
      <c r="C1126" s="239"/>
      <c r="D1126" s="239"/>
      <c r="E1126" s="239"/>
      <c r="F1126" s="239"/>
      <c r="G1126" s="239"/>
      <c r="H1126" s="239"/>
    </row>
    <row r="1127" spans="1:8" x14ac:dyDescent="0.3">
      <c r="A1127"/>
      <c r="B1127" s="239"/>
      <c r="C1127" s="239"/>
      <c r="D1127" s="239"/>
      <c r="E1127" s="239"/>
      <c r="F1127" s="239"/>
      <c r="G1127" s="239"/>
      <c r="H1127" s="239"/>
    </row>
    <row r="1128" spans="1:8" x14ac:dyDescent="0.3">
      <c r="A1128"/>
      <c r="B1128" s="239"/>
      <c r="C1128" s="239"/>
      <c r="D1128" s="239"/>
      <c r="E1128" s="239"/>
      <c r="F1128" s="239"/>
      <c r="G1128" s="239"/>
      <c r="H1128" s="239"/>
    </row>
    <row r="1129" spans="1:8" x14ac:dyDescent="0.3">
      <c r="A1129"/>
      <c r="B1129" s="239"/>
      <c r="C1129" s="239"/>
      <c r="D1129" s="239"/>
      <c r="E1129" s="239"/>
      <c r="F1129" s="239"/>
      <c r="G1129" s="239"/>
      <c r="H1129" s="239"/>
    </row>
    <row r="1130" spans="1:8" x14ac:dyDescent="0.3">
      <c r="A1130"/>
      <c r="B1130" s="239"/>
      <c r="C1130" s="239"/>
      <c r="D1130" s="239"/>
      <c r="E1130" s="239"/>
      <c r="F1130" s="239"/>
      <c r="G1130" s="239"/>
      <c r="H1130" s="239"/>
    </row>
    <row r="1131" spans="1:8" x14ac:dyDescent="0.3">
      <c r="A1131"/>
      <c r="B1131" s="239"/>
      <c r="C1131" s="239"/>
      <c r="D1131" s="239"/>
      <c r="E1131" s="239"/>
      <c r="F1131" s="239"/>
      <c r="G1131" s="239"/>
      <c r="H1131" s="239"/>
    </row>
    <row r="1132" spans="1:8" x14ac:dyDescent="0.3">
      <c r="A1132"/>
      <c r="B1132" s="239"/>
      <c r="C1132" s="239"/>
      <c r="D1132" s="239"/>
      <c r="E1132" s="239"/>
      <c r="F1132" s="239"/>
      <c r="G1132" s="239"/>
      <c r="H1132" s="239"/>
    </row>
    <row r="1133" spans="1:8" x14ac:dyDescent="0.3">
      <c r="A1133"/>
      <c r="B1133" s="239"/>
      <c r="C1133" s="239"/>
      <c r="D1133" s="239"/>
      <c r="E1133" s="239"/>
      <c r="F1133" s="239"/>
      <c r="G1133" s="239"/>
      <c r="H1133" s="239"/>
    </row>
    <row r="1134" spans="1:8" x14ac:dyDescent="0.3">
      <c r="A1134"/>
      <c r="B1134" s="239"/>
      <c r="C1134" s="239"/>
      <c r="D1134" s="239"/>
      <c r="E1134" s="239"/>
      <c r="F1134" s="239"/>
      <c r="G1134" s="239"/>
      <c r="H1134" s="239"/>
    </row>
    <row r="1135" spans="1:8" x14ac:dyDescent="0.3">
      <c r="A1135"/>
      <c r="B1135" s="239"/>
      <c r="C1135" s="239"/>
      <c r="D1135" s="239"/>
      <c r="E1135" s="239"/>
      <c r="F1135" s="239"/>
      <c r="G1135" s="239"/>
      <c r="H1135" s="239"/>
    </row>
    <row r="1136" spans="1:8" x14ac:dyDescent="0.3">
      <c r="A1136"/>
      <c r="B1136" s="239"/>
      <c r="C1136" s="239"/>
      <c r="D1136" s="239"/>
      <c r="E1136" s="239"/>
      <c r="F1136" s="239"/>
      <c r="G1136" s="239"/>
      <c r="H1136" s="239"/>
    </row>
    <row r="1137" spans="1:8" x14ac:dyDescent="0.3">
      <c r="A1137"/>
      <c r="B1137" s="239"/>
      <c r="C1137" s="239"/>
      <c r="D1137" s="239"/>
      <c r="E1137" s="239"/>
      <c r="F1137" s="239"/>
      <c r="G1137" s="239"/>
      <c r="H1137" s="239"/>
    </row>
    <row r="1138" spans="1:8" x14ac:dyDescent="0.3">
      <c r="A1138"/>
      <c r="B1138" s="239"/>
      <c r="C1138" s="239"/>
      <c r="D1138" s="239"/>
      <c r="E1138" s="239"/>
      <c r="F1138" s="239"/>
      <c r="G1138" s="239"/>
      <c r="H1138" s="239"/>
    </row>
    <row r="1139" spans="1:8" x14ac:dyDescent="0.3">
      <c r="A1139"/>
      <c r="B1139" s="239"/>
      <c r="C1139" s="239"/>
      <c r="D1139" s="239"/>
      <c r="E1139" s="239"/>
      <c r="F1139" s="239"/>
      <c r="G1139" s="239"/>
      <c r="H1139" s="239"/>
    </row>
    <row r="1140" spans="1:8" x14ac:dyDescent="0.3">
      <c r="A1140"/>
      <c r="B1140" s="239"/>
      <c r="C1140" s="239"/>
      <c r="D1140" s="239"/>
      <c r="E1140" s="239"/>
      <c r="F1140" s="239"/>
      <c r="G1140" s="239"/>
      <c r="H1140" s="239"/>
    </row>
    <row r="1141" spans="1:8" x14ac:dyDescent="0.3">
      <c r="A1141"/>
      <c r="B1141" s="239"/>
      <c r="C1141" s="239"/>
      <c r="D1141" s="239"/>
      <c r="E1141" s="239"/>
      <c r="F1141" s="239"/>
      <c r="G1141" s="239"/>
      <c r="H1141" s="239"/>
    </row>
    <row r="1142" spans="1:8" x14ac:dyDescent="0.3">
      <c r="A1142"/>
      <c r="B1142" s="239"/>
      <c r="C1142" s="239"/>
      <c r="D1142" s="239"/>
      <c r="E1142" s="239"/>
      <c r="F1142" s="239"/>
      <c r="G1142" s="239"/>
      <c r="H1142" s="239"/>
    </row>
    <row r="1143" spans="1:8" x14ac:dyDescent="0.3">
      <c r="A1143"/>
      <c r="B1143" s="239"/>
      <c r="C1143" s="239"/>
      <c r="D1143" s="239"/>
      <c r="E1143" s="239"/>
      <c r="F1143" s="239"/>
      <c r="G1143" s="239"/>
      <c r="H1143" s="239"/>
    </row>
    <row r="1144" spans="1:8" x14ac:dyDescent="0.3">
      <c r="A1144"/>
      <c r="B1144" s="239"/>
      <c r="C1144" s="239"/>
      <c r="D1144" s="239"/>
      <c r="E1144" s="239"/>
      <c r="F1144" s="239"/>
      <c r="G1144" s="239"/>
      <c r="H1144" s="239"/>
    </row>
    <row r="1145" spans="1:8" x14ac:dyDescent="0.3">
      <c r="A1145"/>
      <c r="B1145" s="239"/>
      <c r="C1145" s="239"/>
      <c r="D1145" s="239"/>
      <c r="E1145" s="239"/>
      <c r="F1145" s="239"/>
      <c r="G1145" s="239"/>
      <c r="H1145" s="239"/>
    </row>
    <row r="1146" spans="1:8" x14ac:dyDescent="0.3">
      <c r="A1146"/>
      <c r="B1146" s="239"/>
      <c r="C1146" s="239"/>
      <c r="D1146" s="239"/>
      <c r="E1146" s="239"/>
      <c r="F1146" s="239"/>
      <c r="G1146" s="239"/>
      <c r="H1146" s="239"/>
    </row>
    <row r="1147" spans="1:8" x14ac:dyDescent="0.3">
      <c r="A1147"/>
      <c r="B1147" s="239"/>
      <c r="C1147" s="239"/>
      <c r="D1147" s="239"/>
      <c r="E1147" s="239"/>
      <c r="F1147" s="239"/>
      <c r="G1147" s="239"/>
      <c r="H1147" s="239"/>
    </row>
    <row r="1148" spans="1:8" x14ac:dyDescent="0.3">
      <c r="A1148"/>
      <c r="B1148" s="239"/>
      <c r="C1148" s="239"/>
      <c r="D1148" s="239"/>
      <c r="E1148" s="239"/>
      <c r="F1148" s="239"/>
      <c r="G1148" s="239"/>
      <c r="H1148" s="239"/>
    </row>
    <row r="1149" spans="1:8" x14ac:dyDescent="0.3">
      <c r="A1149"/>
      <c r="B1149" s="239"/>
      <c r="C1149" s="239"/>
      <c r="D1149" s="239"/>
      <c r="E1149" s="239"/>
      <c r="F1149" s="239"/>
      <c r="G1149" s="239"/>
      <c r="H1149" s="239"/>
    </row>
    <row r="1150" spans="1:8" x14ac:dyDescent="0.3">
      <c r="A1150"/>
      <c r="B1150" s="239"/>
      <c r="C1150" s="239"/>
      <c r="D1150" s="239"/>
      <c r="E1150" s="239"/>
      <c r="F1150" s="239"/>
      <c r="G1150" s="239"/>
      <c r="H1150" s="239"/>
    </row>
    <row r="1151" spans="1:8" x14ac:dyDescent="0.3">
      <c r="A1151"/>
      <c r="B1151" s="239"/>
      <c r="C1151" s="239"/>
      <c r="D1151" s="239"/>
      <c r="E1151" s="239"/>
      <c r="F1151" s="239"/>
      <c r="G1151" s="239"/>
      <c r="H1151" s="239"/>
    </row>
    <row r="1152" spans="1:8" x14ac:dyDescent="0.3">
      <c r="A1152"/>
      <c r="B1152" s="239"/>
      <c r="C1152" s="239"/>
      <c r="D1152" s="239"/>
      <c r="E1152" s="239"/>
      <c r="F1152" s="239"/>
      <c r="G1152" s="239"/>
      <c r="H1152" s="239"/>
    </row>
    <row r="1153" spans="1:8" x14ac:dyDescent="0.3">
      <c r="A1153"/>
      <c r="B1153" s="239"/>
      <c r="C1153" s="239"/>
      <c r="D1153" s="239"/>
      <c r="E1153" s="239"/>
      <c r="F1153" s="239"/>
      <c r="G1153" s="239"/>
      <c r="H1153" s="239"/>
    </row>
    <row r="1154" spans="1:8" x14ac:dyDescent="0.3">
      <c r="A1154"/>
      <c r="B1154" s="239"/>
      <c r="C1154" s="239"/>
      <c r="D1154" s="239"/>
      <c r="E1154" s="239"/>
      <c r="F1154" s="239"/>
      <c r="G1154" s="239"/>
      <c r="H1154" s="239"/>
    </row>
    <row r="1155" spans="1:8" x14ac:dyDescent="0.3">
      <c r="A1155"/>
      <c r="B1155" s="239"/>
      <c r="C1155" s="239"/>
      <c r="D1155" s="239"/>
      <c r="E1155" s="239"/>
      <c r="F1155" s="239"/>
      <c r="G1155" s="239"/>
      <c r="H1155" s="239"/>
    </row>
    <row r="1156" spans="1:8" x14ac:dyDescent="0.3">
      <c r="A1156"/>
      <c r="B1156" s="239"/>
      <c r="C1156" s="239"/>
      <c r="D1156" s="239"/>
      <c r="E1156" s="239"/>
      <c r="F1156" s="239"/>
      <c r="G1156" s="239"/>
      <c r="H1156" s="239"/>
    </row>
    <row r="1157" spans="1:8" x14ac:dyDescent="0.3">
      <c r="A1157"/>
      <c r="B1157" s="239"/>
      <c r="C1157" s="239"/>
      <c r="D1157" s="239"/>
      <c r="E1157" s="239"/>
      <c r="F1157" s="239"/>
      <c r="G1157" s="239"/>
      <c r="H1157" s="239"/>
    </row>
    <row r="1158" spans="1:8" x14ac:dyDescent="0.3">
      <c r="A1158"/>
      <c r="B1158" s="239"/>
      <c r="C1158" s="239"/>
      <c r="D1158" s="239"/>
      <c r="E1158" s="239"/>
      <c r="F1158" s="239"/>
      <c r="G1158" s="239"/>
      <c r="H1158" s="239"/>
    </row>
    <row r="1159" spans="1:8" x14ac:dyDescent="0.3">
      <c r="A1159"/>
      <c r="B1159" s="239"/>
      <c r="C1159" s="239"/>
      <c r="D1159" s="239"/>
      <c r="E1159" s="239"/>
      <c r="F1159" s="239"/>
      <c r="G1159" s="239"/>
      <c r="H1159" s="239"/>
    </row>
    <row r="1160" spans="1:8" x14ac:dyDescent="0.3">
      <c r="A1160"/>
      <c r="B1160" s="239"/>
      <c r="C1160" s="239"/>
      <c r="D1160" s="239"/>
      <c r="E1160" s="239"/>
      <c r="F1160" s="239"/>
      <c r="G1160" s="239"/>
      <c r="H1160" s="239"/>
    </row>
    <row r="1161" spans="1:8" x14ac:dyDescent="0.3">
      <c r="A1161"/>
      <c r="B1161" s="239"/>
      <c r="C1161" s="239"/>
      <c r="D1161" s="239"/>
      <c r="E1161" s="239"/>
      <c r="F1161" s="239"/>
      <c r="G1161" s="239"/>
      <c r="H1161" s="239"/>
    </row>
    <row r="1162" spans="1:8" x14ac:dyDescent="0.3">
      <c r="A1162"/>
      <c r="B1162" s="239"/>
      <c r="C1162" s="239"/>
      <c r="D1162" s="239"/>
      <c r="E1162" s="239"/>
      <c r="F1162" s="239"/>
      <c r="G1162" s="239"/>
      <c r="H1162" s="239"/>
    </row>
    <row r="1163" spans="1:8" x14ac:dyDescent="0.3">
      <c r="A1163"/>
      <c r="B1163" s="239"/>
      <c r="C1163" s="239"/>
      <c r="D1163" s="239"/>
      <c r="E1163" s="239"/>
      <c r="F1163" s="239"/>
      <c r="G1163" s="239"/>
      <c r="H1163" s="239"/>
    </row>
    <row r="1164" spans="1:8" x14ac:dyDescent="0.3">
      <c r="A1164"/>
      <c r="B1164" s="239"/>
      <c r="C1164" s="239"/>
      <c r="D1164" s="239"/>
      <c r="E1164" s="239"/>
      <c r="F1164" s="239"/>
      <c r="G1164" s="239"/>
      <c r="H1164" s="239"/>
    </row>
    <row r="1165" spans="1:8" x14ac:dyDescent="0.3">
      <c r="A1165"/>
      <c r="B1165" s="239"/>
      <c r="C1165" s="239"/>
      <c r="D1165" s="239"/>
      <c r="E1165" s="239"/>
      <c r="F1165" s="239"/>
      <c r="G1165" s="239"/>
      <c r="H1165" s="239"/>
    </row>
    <row r="1166" spans="1:8" x14ac:dyDescent="0.3">
      <c r="A1166"/>
      <c r="B1166" s="239"/>
      <c r="C1166" s="239"/>
      <c r="D1166" s="239"/>
      <c r="E1166" s="239"/>
      <c r="F1166" s="239"/>
      <c r="G1166" s="239"/>
      <c r="H1166" s="239"/>
    </row>
    <row r="1167" spans="1:8" x14ac:dyDescent="0.3">
      <c r="A1167"/>
      <c r="B1167" s="239"/>
      <c r="C1167" s="239"/>
      <c r="D1167" s="239"/>
      <c r="E1167" s="239"/>
      <c r="F1167" s="239"/>
      <c r="G1167" s="239"/>
      <c r="H1167" s="239"/>
    </row>
    <row r="1168" spans="1:8" x14ac:dyDescent="0.3">
      <c r="A1168"/>
      <c r="B1168" s="239"/>
      <c r="C1168" s="239"/>
      <c r="D1168" s="239"/>
      <c r="E1168" s="239"/>
      <c r="F1168" s="239"/>
      <c r="G1168" s="239"/>
      <c r="H1168" s="239"/>
    </row>
    <row r="1169" spans="1:8" x14ac:dyDescent="0.3">
      <c r="A1169"/>
      <c r="B1169" s="239"/>
      <c r="C1169" s="239"/>
      <c r="D1169" s="239"/>
      <c r="E1169" s="239"/>
      <c r="F1169" s="239"/>
      <c r="G1169" s="239"/>
      <c r="H1169" s="239"/>
    </row>
    <row r="1170" spans="1:8" x14ac:dyDescent="0.3">
      <c r="A1170"/>
      <c r="B1170" s="239"/>
      <c r="C1170" s="239"/>
      <c r="D1170" s="239"/>
      <c r="E1170" s="239"/>
      <c r="F1170" s="239"/>
      <c r="G1170" s="239"/>
      <c r="H1170" s="239"/>
    </row>
    <row r="1171" spans="1:8" x14ac:dyDescent="0.3">
      <c r="A1171"/>
      <c r="B1171" s="239"/>
      <c r="C1171" s="239"/>
      <c r="D1171" s="239"/>
      <c r="E1171" s="239"/>
      <c r="F1171" s="239"/>
      <c r="G1171" s="239"/>
      <c r="H1171" s="239"/>
    </row>
    <row r="1172" spans="1:8" x14ac:dyDescent="0.3">
      <c r="A1172"/>
      <c r="B1172" s="239"/>
      <c r="C1172" s="239"/>
      <c r="D1172" s="239"/>
      <c r="E1172" s="239"/>
      <c r="F1172" s="239"/>
      <c r="G1172" s="239"/>
      <c r="H1172" s="239"/>
    </row>
    <row r="1173" spans="1:8" x14ac:dyDescent="0.3">
      <c r="A1173"/>
      <c r="B1173" s="239"/>
      <c r="C1173" s="239"/>
      <c r="D1173" s="239"/>
      <c r="E1173" s="239"/>
      <c r="F1173" s="239"/>
      <c r="G1173" s="239"/>
      <c r="H1173" s="239"/>
    </row>
    <row r="1174" spans="1:8" x14ac:dyDescent="0.3">
      <c r="A1174"/>
      <c r="B1174" s="239"/>
      <c r="C1174" s="239"/>
      <c r="D1174" s="239"/>
      <c r="E1174" s="239"/>
      <c r="F1174" s="239"/>
      <c r="G1174" s="239"/>
      <c r="H1174" s="239"/>
    </row>
    <row r="1175" spans="1:8" x14ac:dyDescent="0.3">
      <c r="A1175"/>
      <c r="B1175" s="239"/>
      <c r="C1175" s="239"/>
      <c r="D1175" s="239"/>
      <c r="E1175" s="239"/>
      <c r="F1175" s="239"/>
      <c r="G1175" s="239"/>
      <c r="H1175" s="239"/>
    </row>
    <row r="1176" spans="1:8" x14ac:dyDescent="0.3">
      <c r="A1176"/>
      <c r="B1176" s="239"/>
      <c r="C1176" s="239"/>
      <c r="D1176" s="239"/>
      <c r="E1176" s="239"/>
      <c r="F1176" s="239"/>
      <c r="G1176" s="239"/>
      <c r="H1176" s="239"/>
    </row>
    <row r="1177" spans="1:8" x14ac:dyDescent="0.3">
      <c r="A1177"/>
      <c r="B1177" s="239"/>
      <c r="C1177" s="239"/>
      <c r="D1177" s="239"/>
      <c r="E1177" s="239"/>
      <c r="F1177" s="239"/>
      <c r="G1177" s="239"/>
      <c r="H1177" s="239"/>
    </row>
    <row r="1178" spans="1:8" x14ac:dyDescent="0.3">
      <c r="A1178"/>
      <c r="B1178" s="239"/>
      <c r="C1178" s="239"/>
      <c r="D1178" s="239"/>
      <c r="E1178" s="239"/>
      <c r="F1178" s="239"/>
      <c r="G1178" s="239"/>
      <c r="H1178" s="239"/>
    </row>
    <row r="1179" spans="1:8" x14ac:dyDescent="0.3">
      <c r="A1179"/>
      <c r="B1179" s="239"/>
      <c r="C1179" s="239"/>
      <c r="D1179" s="239"/>
      <c r="E1179" s="239"/>
      <c r="F1179" s="239"/>
      <c r="G1179" s="239"/>
      <c r="H1179" s="239"/>
    </row>
    <row r="1180" spans="1:8" x14ac:dyDescent="0.3">
      <c r="A1180"/>
      <c r="B1180" s="239"/>
      <c r="C1180" s="239"/>
      <c r="D1180" s="239"/>
      <c r="E1180" s="239"/>
      <c r="F1180" s="239"/>
      <c r="G1180" s="239"/>
      <c r="H1180" s="239"/>
    </row>
    <row r="1181" spans="1:8" x14ac:dyDescent="0.3">
      <c r="A1181"/>
      <c r="B1181" s="239"/>
      <c r="C1181" s="239"/>
      <c r="D1181" s="239"/>
      <c r="E1181" s="239"/>
      <c r="F1181" s="239"/>
      <c r="G1181" s="239"/>
      <c r="H1181" s="239"/>
    </row>
    <row r="1182" spans="1:8" x14ac:dyDescent="0.3">
      <c r="A1182"/>
      <c r="B1182" s="239"/>
      <c r="C1182" s="239"/>
      <c r="D1182" s="239"/>
      <c r="E1182" s="239"/>
      <c r="F1182" s="239"/>
      <c r="G1182" s="239"/>
      <c r="H1182" s="239"/>
    </row>
    <row r="1183" spans="1:8" x14ac:dyDescent="0.3">
      <c r="A1183"/>
      <c r="B1183" s="239"/>
      <c r="C1183" s="239"/>
      <c r="D1183" s="239"/>
      <c r="E1183" s="239"/>
      <c r="F1183" s="239"/>
      <c r="G1183" s="239"/>
      <c r="H1183" s="239"/>
    </row>
    <row r="1184" spans="1:8" x14ac:dyDescent="0.3">
      <c r="A1184"/>
      <c r="B1184" s="239"/>
      <c r="C1184" s="239"/>
      <c r="D1184" s="239"/>
      <c r="E1184" s="239"/>
      <c r="F1184" s="239"/>
      <c r="G1184" s="239"/>
      <c r="H1184" s="239"/>
    </row>
    <row r="1185" spans="1:8" x14ac:dyDescent="0.3">
      <c r="A1185"/>
      <c r="B1185" s="239"/>
      <c r="C1185" s="239"/>
      <c r="D1185" s="239"/>
      <c r="E1185" s="239"/>
      <c r="F1185" s="239"/>
      <c r="G1185" s="239"/>
      <c r="H1185" s="239"/>
    </row>
    <row r="1186" spans="1:8" x14ac:dyDescent="0.3">
      <c r="A1186"/>
      <c r="B1186" s="239"/>
      <c r="C1186" s="239"/>
      <c r="D1186" s="239"/>
      <c r="E1186" s="239"/>
      <c r="F1186" s="239"/>
      <c r="G1186" s="239"/>
      <c r="H1186" s="239"/>
    </row>
    <row r="1187" spans="1:8" x14ac:dyDescent="0.3">
      <c r="A1187"/>
      <c r="B1187" s="239"/>
      <c r="C1187" s="239"/>
      <c r="D1187" s="239"/>
      <c r="E1187" s="239"/>
      <c r="F1187" s="239"/>
      <c r="G1187" s="239"/>
      <c r="H1187" s="239"/>
    </row>
    <row r="1188" spans="1:8" x14ac:dyDescent="0.3">
      <c r="A1188"/>
      <c r="B1188" s="239"/>
      <c r="C1188" s="239"/>
      <c r="D1188" s="239"/>
      <c r="E1188" s="239"/>
      <c r="F1188" s="239"/>
      <c r="G1188" s="239"/>
      <c r="H1188" s="239"/>
    </row>
    <row r="1189" spans="1:8" x14ac:dyDescent="0.3">
      <c r="A1189"/>
      <c r="B1189" s="239"/>
      <c r="C1189" s="239"/>
      <c r="D1189" s="239"/>
      <c r="E1189" s="239"/>
      <c r="F1189" s="239"/>
      <c r="G1189" s="239"/>
      <c r="H1189" s="239"/>
    </row>
    <row r="1190" spans="1:8" x14ac:dyDescent="0.3">
      <c r="A1190"/>
      <c r="B1190" s="239"/>
      <c r="C1190" s="239"/>
      <c r="D1190" s="239"/>
      <c r="E1190" s="239"/>
      <c r="F1190" s="239"/>
      <c r="G1190" s="239"/>
      <c r="H1190" s="239"/>
    </row>
    <row r="1191" spans="1:8" x14ac:dyDescent="0.3">
      <c r="A1191"/>
      <c r="B1191" s="239"/>
      <c r="C1191" s="239"/>
      <c r="D1191" s="239"/>
      <c r="E1191" s="239"/>
      <c r="F1191" s="239"/>
      <c r="G1191" s="239"/>
      <c r="H1191" s="239"/>
    </row>
    <row r="1192" spans="1:8" x14ac:dyDescent="0.3">
      <c r="A1192"/>
      <c r="B1192" s="239"/>
      <c r="C1192" s="239"/>
      <c r="D1192" s="239"/>
      <c r="E1192" s="239"/>
      <c r="F1192" s="239"/>
      <c r="G1192" s="239"/>
      <c r="H1192" s="239"/>
    </row>
    <row r="1193" spans="1:8" x14ac:dyDescent="0.3">
      <c r="A1193"/>
      <c r="B1193" s="239"/>
      <c r="C1193" s="239"/>
      <c r="D1193" s="239"/>
      <c r="E1193" s="239"/>
      <c r="F1193" s="239"/>
      <c r="G1193" s="239"/>
      <c r="H1193" s="239"/>
    </row>
    <row r="1194" spans="1:8" x14ac:dyDescent="0.3">
      <c r="A1194"/>
      <c r="B1194" s="239"/>
      <c r="C1194" s="239"/>
      <c r="D1194" s="239"/>
      <c r="E1194" s="239"/>
      <c r="F1194" s="239"/>
      <c r="G1194" s="239"/>
      <c r="H1194" s="239"/>
    </row>
    <row r="1195" spans="1:8" x14ac:dyDescent="0.3">
      <c r="A1195"/>
      <c r="B1195" s="239"/>
      <c r="C1195" s="239"/>
      <c r="D1195" s="239"/>
      <c r="E1195" s="239"/>
      <c r="F1195" s="239"/>
      <c r="G1195" s="239"/>
      <c r="H1195" s="239"/>
    </row>
    <row r="1196" spans="1:8" x14ac:dyDescent="0.3">
      <c r="A1196"/>
      <c r="B1196" s="239"/>
      <c r="C1196" s="239"/>
      <c r="D1196" s="239"/>
      <c r="E1196" s="239"/>
      <c r="F1196" s="239"/>
      <c r="G1196" s="239"/>
      <c r="H1196" s="239"/>
    </row>
    <row r="1197" spans="1:8" x14ac:dyDescent="0.3">
      <c r="A1197"/>
      <c r="B1197" s="239"/>
      <c r="C1197" s="239"/>
      <c r="D1197" s="239"/>
      <c r="E1197" s="239"/>
      <c r="F1197" s="239"/>
      <c r="G1197" s="239"/>
      <c r="H1197" s="239"/>
    </row>
    <row r="1198" spans="1:8" x14ac:dyDescent="0.3">
      <c r="A1198"/>
      <c r="B1198" s="239"/>
      <c r="C1198" s="239"/>
      <c r="D1198" s="239"/>
      <c r="E1198" s="239"/>
      <c r="F1198" s="239"/>
      <c r="G1198" s="239"/>
      <c r="H1198" s="239"/>
    </row>
    <row r="1199" spans="1:8" x14ac:dyDescent="0.3">
      <c r="A1199"/>
      <c r="B1199" s="239"/>
      <c r="C1199" s="239"/>
      <c r="D1199" s="239"/>
      <c r="E1199" s="239"/>
      <c r="F1199" s="239"/>
      <c r="G1199" s="239"/>
      <c r="H1199" s="239"/>
    </row>
    <row r="1200" spans="1:8" x14ac:dyDescent="0.3">
      <c r="A1200"/>
      <c r="B1200" s="239"/>
      <c r="C1200" s="239"/>
      <c r="D1200" s="239"/>
      <c r="E1200" s="239"/>
      <c r="F1200" s="239"/>
      <c r="G1200" s="239"/>
      <c r="H1200" s="239"/>
    </row>
    <row r="1201" spans="1:8" x14ac:dyDescent="0.3">
      <c r="A1201"/>
      <c r="B1201" s="239"/>
      <c r="C1201" s="239"/>
      <c r="D1201" s="239"/>
      <c r="E1201" s="239"/>
      <c r="F1201" s="239"/>
      <c r="G1201" s="239"/>
      <c r="H1201" s="239"/>
    </row>
    <row r="1202" spans="1:8" x14ac:dyDescent="0.3">
      <c r="A1202"/>
      <c r="B1202" s="239"/>
      <c r="C1202" s="239"/>
      <c r="D1202" s="239"/>
      <c r="E1202" s="239"/>
      <c r="F1202" s="239"/>
      <c r="G1202" s="239"/>
      <c r="H1202" s="239"/>
    </row>
    <row r="1203" spans="1:8" x14ac:dyDescent="0.3">
      <c r="A1203"/>
      <c r="B1203" s="239"/>
      <c r="C1203" s="239"/>
      <c r="D1203" s="239"/>
      <c r="E1203" s="239"/>
      <c r="F1203" s="239"/>
      <c r="G1203" s="239"/>
      <c r="H1203" s="239"/>
    </row>
    <row r="1204" spans="1:8" x14ac:dyDescent="0.3">
      <c r="A1204"/>
      <c r="B1204" s="239"/>
      <c r="C1204" s="239"/>
      <c r="D1204" s="239"/>
      <c r="E1204" s="239"/>
      <c r="F1204" s="239"/>
      <c r="G1204" s="239"/>
      <c r="H1204" s="239"/>
    </row>
    <row r="1205" spans="1:8" x14ac:dyDescent="0.3">
      <c r="A1205"/>
      <c r="B1205" s="239"/>
      <c r="C1205" s="239"/>
      <c r="D1205" s="239"/>
      <c r="E1205" s="239"/>
      <c r="F1205" s="239"/>
      <c r="G1205" s="239"/>
      <c r="H1205" s="239"/>
    </row>
    <row r="1206" spans="1:8" x14ac:dyDescent="0.3">
      <c r="A1206"/>
      <c r="B1206" s="239"/>
      <c r="C1206" s="239"/>
      <c r="D1206" s="239"/>
      <c r="E1206" s="239"/>
      <c r="F1206" s="239"/>
      <c r="G1206" s="239"/>
      <c r="H1206" s="239"/>
    </row>
    <row r="1207" spans="1:8" x14ac:dyDescent="0.3">
      <c r="A1207"/>
      <c r="B1207" s="239"/>
      <c r="C1207" s="239"/>
      <c r="D1207" s="239"/>
      <c r="E1207" s="239"/>
      <c r="F1207" s="239"/>
      <c r="G1207" s="239"/>
      <c r="H1207" s="239"/>
    </row>
    <row r="1208" spans="1:8" x14ac:dyDescent="0.3">
      <c r="A1208"/>
      <c r="B1208" s="239"/>
      <c r="C1208" s="239"/>
      <c r="D1208" s="239"/>
      <c r="E1208" s="239"/>
      <c r="F1208" s="239"/>
      <c r="G1208" s="239"/>
      <c r="H1208" s="239"/>
    </row>
    <row r="1209" spans="1:8" x14ac:dyDescent="0.3">
      <c r="A1209"/>
      <c r="B1209" s="239"/>
      <c r="C1209" s="239"/>
      <c r="D1209" s="239"/>
      <c r="E1209" s="239"/>
      <c r="F1209" s="239"/>
      <c r="G1209" s="239"/>
      <c r="H1209" s="239"/>
    </row>
    <row r="1210" spans="1:8" x14ac:dyDescent="0.3">
      <c r="A1210"/>
      <c r="B1210" s="239"/>
      <c r="C1210" s="239"/>
      <c r="D1210" s="239"/>
      <c r="E1210" s="239"/>
      <c r="F1210" s="239"/>
      <c r="G1210" s="239"/>
      <c r="H1210" s="239"/>
    </row>
    <row r="1211" spans="1:8" x14ac:dyDescent="0.3">
      <c r="A1211"/>
      <c r="B1211" s="239"/>
      <c r="C1211" s="239"/>
      <c r="D1211" s="239"/>
      <c r="E1211" s="239"/>
      <c r="F1211" s="239"/>
      <c r="G1211" s="239"/>
      <c r="H1211" s="239"/>
    </row>
    <row r="1212" spans="1:8" x14ac:dyDescent="0.3">
      <c r="A1212"/>
      <c r="B1212" s="239"/>
      <c r="C1212" s="239"/>
      <c r="D1212" s="239"/>
      <c r="E1212" s="239"/>
      <c r="F1212" s="239"/>
      <c r="G1212" s="239"/>
      <c r="H1212" s="239"/>
    </row>
    <row r="1213" spans="1:8" x14ac:dyDescent="0.3">
      <c r="A1213"/>
      <c r="B1213" s="239"/>
      <c r="C1213" s="239"/>
      <c r="D1213" s="239"/>
      <c r="E1213" s="239"/>
      <c r="F1213" s="239"/>
      <c r="G1213" s="239"/>
      <c r="H1213" s="239"/>
    </row>
    <row r="1214" spans="1:8" x14ac:dyDescent="0.3">
      <c r="A1214"/>
      <c r="B1214" s="239"/>
      <c r="C1214" s="239"/>
      <c r="D1214" s="239"/>
      <c r="E1214" s="239"/>
      <c r="F1214" s="239"/>
      <c r="G1214" s="239"/>
      <c r="H1214" s="239"/>
    </row>
    <row r="1215" spans="1:8" x14ac:dyDescent="0.3">
      <c r="A1215"/>
      <c r="B1215" s="239"/>
      <c r="C1215" s="239"/>
      <c r="D1215" s="239"/>
      <c r="E1215" s="239"/>
      <c r="F1215" s="239"/>
      <c r="G1215" s="239"/>
      <c r="H1215" s="239"/>
    </row>
    <row r="1216" spans="1:8" x14ac:dyDescent="0.3">
      <c r="A1216"/>
      <c r="B1216" s="239"/>
      <c r="C1216" s="239"/>
      <c r="D1216" s="239"/>
      <c r="E1216" s="239"/>
      <c r="F1216" s="239"/>
      <c r="G1216" s="239"/>
      <c r="H1216" s="239"/>
    </row>
    <row r="1217" spans="1:8" x14ac:dyDescent="0.3">
      <c r="A1217"/>
      <c r="B1217" s="239"/>
      <c r="C1217" s="239"/>
      <c r="D1217" s="239"/>
      <c r="E1217" s="239"/>
      <c r="F1217" s="239"/>
      <c r="G1217" s="239"/>
      <c r="H1217" s="239"/>
    </row>
    <row r="1218" spans="1:8" x14ac:dyDescent="0.3">
      <c r="A1218"/>
      <c r="B1218" s="239"/>
      <c r="C1218" s="239"/>
      <c r="D1218" s="239"/>
      <c r="E1218" s="239"/>
      <c r="F1218" s="239"/>
      <c r="G1218" s="239"/>
      <c r="H1218" s="239"/>
    </row>
    <row r="1219" spans="1:8" x14ac:dyDescent="0.3">
      <c r="A1219"/>
      <c r="B1219" s="239"/>
      <c r="C1219" s="239"/>
      <c r="D1219" s="239"/>
      <c r="E1219" s="239"/>
      <c r="F1219" s="239"/>
      <c r="G1219" s="239"/>
      <c r="H1219" s="239"/>
    </row>
    <row r="1220" spans="1:8" x14ac:dyDescent="0.3">
      <c r="A1220"/>
      <c r="B1220" s="239"/>
      <c r="C1220" s="239"/>
      <c r="D1220" s="239"/>
      <c r="E1220" s="239"/>
      <c r="F1220" s="239"/>
      <c r="G1220" s="239"/>
      <c r="H1220" s="239"/>
    </row>
    <row r="1221" spans="1:8" x14ac:dyDescent="0.3">
      <c r="A1221"/>
      <c r="B1221" s="239"/>
      <c r="C1221" s="239"/>
      <c r="D1221" s="239"/>
      <c r="E1221" s="239"/>
      <c r="F1221" s="239"/>
      <c r="G1221" s="239"/>
      <c r="H1221" s="239"/>
    </row>
    <row r="1222" spans="1:8" x14ac:dyDescent="0.3">
      <c r="A1222"/>
      <c r="B1222" s="239"/>
      <c r="C1222" s="239"/>
      <c r="D1222" s="239"/>
      <c r="E1222" s="239"/>
      <c r="F1222" s="239"/>
      <c r="G1222" s="239"/>
      <c r="H1222" s="239"/>
    </row>
    <row r="1223" spans="1:8" x14ac:dyDescent="0.3">
      <c r="A1223"/>
      <c r="B1223" s="239"/>
      <c r="C1223" s="239"/>
      <c r="D1223" s="239"/>
      <c r="E1223" s="239"/>
      <c r="F1223" s="239"/>
      <c r="G1223" s="239"/>
      <c r="H1223" s="239"/>
    </row>
    <row r="1224" spans="1:8" x14ac:dyDescent="0.3">
      <c r="A1224"/>
      <c r="B1224" s="239"/>
      <c r="C1224" s="239"/>
      <c r="D1224" s="239"/>
      <c r="E1224" s="239"/>
      <c r="F1224" s="239"/>
      <c r="G1224" s="239"/>
      <c r="H1224" s="239"/>
    </row>
    <row r="1225" spans="1:8" x14ac:dyDescent="0.3">
      <c r="A1225"/>
      <c r="B1225" s="239"/>
      <c r="C1225" s="239"/>
      <c r="D1225" s="239"/>
      <c r="E1225" s="239"/>
      <c r="F1225" s="239"/>
      <c r="G1225" s="239"/>
      <c r="H1225" s="239"/>
    </row>
    <row r="1226" spans="1:8" x14ac:dyDescent="0.3">
      <c r="A1226"/>
      <c r="B1226" s="239"/>
      <c r="C1226" s="239"/>
      <c r="D1226" s="239"/>
      <c r="E1226" s="239"/>
      <c r="F1226" s="239"/>
      <c r="G1226" s="239"/>
      <c r="H1226" s="239"/>
    </row>
    <row r="1227" spans="1:8" x14ac:dyDescent="0.3">
      <c r="A1227"/>
      <c r="B1227" s="239"/>
      <c r="C1227" s="239"/>
      <c r="D1227" s="239"/>
      <c r="E1227" s="239"/>
      <c r="F1227" s="239"/>
      <c r="G1227" s="239"/>
      <c r="H1227" s="239"/>
    </row>
    <row r="1228" spans="1:8" x14ac:dyDescent="0.3">
      <c r="A1228"/>
      <c r="B1228" s="239"/>
      <c r="C1228" s="239"/>
      <c r="D1228" s="239"/>
      <c r="E1228" s="239"/>
      <c r="F1228" s="239"/>
      <c r="G1228" s="239"/>
      <c r="H1228" s="239"/>
    </row>
    <row r="1229" spans="1:8" x14ac:dyDescent="0.3">
      <c r="A1229"/>
      <c r="B1229" s="239"/>
      <c r="C1229" s="239"/>
      <c r="D1229" s="239"/>
      <c r="E1229" s="239"/>
      <c r="F1229" s="239"/>
      <c r="G1229" s="239"/>
      <c r="H1229" s="239"/>
    </row>
    <row r="1230" spans="1:8" x14ac:dyDescent="0.3">
      <c r="A1230"/>
      <c r="B1230" s="239"/>
      <c r="C1230" s="239"/>
      <c r="D1230" s="239"/>
      <c r="E1230" s="239"/>
      <c r="F1230" s="239"/>
      <c r="G1230" s="239"/>
      <c r="H1230" s="239"/>
    </row>
    <row r="1231" spans="1:8" x14ac:dyDescent="0.3">
      <c r="A1231"/>
      <c r="B1231" s="239"/>
      <c r="C1231" s="239"/>
      <c r="D1231" s="239"/>
      <c r="E1231" s="239"/>
      <c r="F1231" s="239"/>
      <c r="G1231" s="239"/>
      <c r="H1231" s="239"/>
    </row>
    <row r="1232" spans="1:8" x14ac:dyDescent="0.3">
      <c r="A1232"/>
      <c r="B1232" s="239"/>
      <c r="C1232" s="239"/>
      <c r="D1232" s="239"/>
      <c r="E1232" s="239"/>
      <c r="F1232" s="239"/>
      <c r="G1232" s="239"/>
      <c r="H1232" s="239"/>
    </row>
    <row r="1233" spans="1:8" x14ac:dyDescent="0.3">
      <c r="A1233"/>
      <c r="B1233" s="239"/>
      <c r="C1233" s="239"/>
      <c r="D1233" s="239"/>
      <c r="E1233" s="239"/>
      <c r="F1233" s="239"/>
      <c r="G1233" s="239"/>
      <c r="H1233" s="239"/>
    </row>
    <row r="1234" spans="1:8" x14ac:dyDescent="0.3">
      <c r="A1234"/>
      <c r="B1234" s="239"/>
      <c r="C1234" s="239"/>
      <c r="D1234" s="239"/>
      <c r="E1234" s="239"/>
      <c r="F1234" s="239"/>
      <c r="G1234" s="239"/>
      <c r="H1234" s="239"/>
    </row>
    <row r="1235" spans="1:8" x14ac:dyDescent="0.3">
      <c r="A1235"/>
      <c r="B1235" s="239"/>
      <c r="C1235" s="239"/>
      <c r="D1235" s="239"/>
      <c r="E1235" s="239"/>
      <c r="F1235" s="239"/>
      <c r="G1235" s="239"/>
      <c r="H1235" s="239"/>
    </row>
    <row r="1236" spans="1:8" x14ac:dyDescent="0.3">
      <c r="A1236"/>
      <c r="B1236" s="239"/>
      <c r="C1236" s="239"/>
      <c r="D1236" s="239"/>
      <c r="E1236" s="239"/>
      <c r="F1236" s="239"/>
      <c r="G1236" s="239"/>
      <c r="H1236" s="239"/>
    </row>
    <row r="1237" spans="1:8" x14ac:dyDescent="0.3">
      <c r="A1237"/>
      <c r="B1237" s="239"/>
      <c r="C1237" s="239"/>
      <c r="D1237" s="239"/>
      <c r="E1237" s="239"/>
      <c r="F1237" s="239"/>
      <c r="G1237" s="239"/>
      <c r="H1237" s="239"/>
    </row>
    <row r="1238" spans="1:8" x14ac:dyDescent="0.3">
      <c r="A1238"/>
      <c r="B1238" s="239"/>
      <c r="C1238" s="239"/>
      <c r="D1238" s="239"/>
      <c r="E1238" s="239"/>
      <c r="F1238" s="239"/>
      <c r="G1238" s="239"/>
      <c r="H1238" s="239"/>
    </row>
    <row r="1239" spans="1:8" x14ac:dyDescent="0.3">
      <c r="A1239"/>
      <c r="B1239" s="239"/>
      <c r="C1239" s="239"/>
      <c r="D1239" s="239"/>
      <c r="E1239" s="239"/>
      <c r="F1239" s="239"/>
      <c r="G1239" s="239"/>
      <c r="H1239" s="239"/>
    </row>
    <row r="1240" spans="1:8" x14ac:dyDescent="0.3">
      <c r="A1240"/>
      <c r="B1240" s="239"/>
      <c r="C1240" s="239"/>
      <c r="D1240" s="239"/>
      <c r="E1240" s="239"/>
      <c r="F1240" s="239"/>
      <c r="G1240" s="239"/>
      <c r="H1240" s="239"/>
    </row>
    <row r="1241" spans="1:8" x14ac:dyDescent="0.3">
      <c r="A1241"/>
      <c r="B1241" s="239"/>
      <c r="C1241" s="239"/>
      <c r="D1241" s="239"/>
      <c r="E1241" s="239"/>
      <c r="F1241" s="239"/>
      <c r="G1241" s="239"/>
      <c r="H1241" s="239"/>
    </row>
    <row r="1242" spans="1:8" x14ac:dyDescent="0.3">
      <c r="A1242"/>
      <c r="B1242" s="239"/>
      <c r="C1242" s="239"/>
      <c r="D1242" s="239"/>
      <c r="E1242" s="239"/>
      <c r="F1242" s="239"/>
      <c r="G1242" s="239"/>
      <c r="H1242" s="239"/>
    </row>
    <row r="1243" spans="1:8" x14ac:dyDescent="0.3">
      <c r="A1243"/>
      <c r="B1243" s="239"/>
      <c r="C1243" s="239"/>
      <c r="D1243" s="239"/>
      <c r="E1243" s="239"/>
      <c r="F1243" s="239"/>
      <c r="G1243" s="239"/>
      <c r="H1243" s="239"/>
    </row>
    <row r="1244" spans="1:8" x14ac:dyDescent="0.3">
      <c r="A1244"/>
      <c r="B1244" s="239"/>
      <c r="C1244" s="239"/>
      <c r="D1244" s="239"/>
      <c r="E1244" s="239"/>
      <c r="F1244" s="239"/>
      <c r="G1244" s="239"/>
      <c r="H1244" s="239"/>
    </row>
    <row r="1245" spans="1:8" x14ac:dyDescent="0.3">
      <c r="A1245"/>
      <c r="B1245" s="239"/>
      <c r="C1245" s="239"/>
      <c r="D1245" s="239"/>
      <c r="E1245" s="239"/>
      <c r="F1245" s="239"/>
      <c r="G1245" s="239"/>
      <c r="H1245" s="239"/>
    </row>
    <row r="1246" spans="1:8" x14ac:dyDescent="0.3">
      <c r="A1246"/>
      <c r="B1246" s="239"/>
      <c r="C1246" s="239"/>
      <c r="D1246" s="239"/>
      <c r="E1246" s="239"/>
      <c r="F1246" s="239"/>
      <c r="G1246" s="239"/>
      <c r="H1246" s="239"/>
    </row>
    <row r="1247" spans="1:8" x14ac:dyDescent="0.3">
      <c r="A1247"/>
      <c r="B1247" s="239"/>
      <c r="C1247" s="239"/>
      <c r="D1247" s="239"/>
      <c r="E1247" s="239"/>
      <c r="F1247" s="239"/>
      <c r="G1247" s="239"/>
      <c r="H1247" s="239"/>
    </row>
    <row r="1248" spans="1:8" x14ac:dyDescent="0.3">
      <c r="A1248"/>
      <c r="B1248" s="239"/>
      <c r="C1248" s="239"/>
      <c r="D1248" s="239"/>
      <c r="E1248" s="239"/>
      <c r="F1248" s="239"/>
      <c r="G1248" s="239"/>
      <c r="H1248" s="239"/>
    </row>
    <row r="1249" spans="1:8" x14ac:dyDescent="0.3">
      <c r="A1249"/>
      <c r="B1249" s="239"/>
      <c r="C1249" s="239"/>
      <c r="D1249" s="239"/>
      <c r="E1249" s="239"/>
      <c r="F1249" s="239"/>
      <c r="G1249" s="239"/>
      <c r="H1249" s="239"/>
    </row>
    <row r="1250" spans="1:8" x14ac:dyDescent="0.3">
      <c r="A1250"/>
      <c r="B1250" s="239"/>
      <c r="C1250" s="239"/>
      <c r="D1250" s="239"/>
      <c r="E1250" s="239"/>
      <c r="F1250" s="239"/>
      <c r="G1250" s="239"/>
      <c r="H1250" s="239"/>
    </row>
    <row r="1251" spans="1:8" x14ac:dyDescent="0.3">
      <c r="A1251"/>
      <c r="B1251" s="239"/>
      <c r="C1251" s="239"/>
      <c r="D1251" s="239"/>
      <c r="E1251" s="239"/>
      <c r="F1251" s="239"/>
      <c r="G1251" s="239"/>
      <c r="H1251" s="239"/>
    </row>
    <row r="1252" spans="1:8" x14ac:dyDescent="0.3">
      <c r="A1252"/>
      <c r="B1252" s="239"/>
      <c r="C1252" s="239"/>
      <c r="D1252" s="239"/>
      <c r="E1252" s="239"/>
      <c r="F1252" s="239"/>
      <c r="G1252" s="239"/>
      <c r="H1252" s="239"/>
    </row>
    <row r="1253" spans="1:8" x14ac:dyDescent="0.3">
      <c r="A1253"/>
      <c r="B1253" s="239"/>
      <c r="C1253" s="239"/>
      <c r="D1253" s="239"/>
      <c r="E1253" s="239"/>
      <c r="F1253" s="239"/>
      <c r="G1253" s="239"/>
      <c r="H1253" s="239"/>
    </row>
    <row r="1254" spans="1:8" x14ac:dyDescent="0.3">
      <c r="A1254"/>
      <c r="B1254" s="239"/>
      <c r="C1254" s="239"/>
      <c r="D1254" s="239"/>
      <c r="E1254" s="239"/>
      <c r="F1254" s="239"/>
      <c r="G1254" s="239"/>
      <c r="H1254" s="239"/>
    </row>
    <row r="1255" spans="1:8" x14ac:dyDescent="0.3">
      <c r="A1255"/>
      <c r="B1255" s="239"/>
      <c r="C1255" s="239"/>
      <c r="D1255" s="239"/>
      <c r="E1255" s="239"/>
      <c r="F1255" s="239"/>
      <c r="G1255" s="239"/>
      <c r="H1255" s="239"/>
    </row>
    <row r="1256" spans="1:8" x14ac:dyDescent="0.3">
      <c r="A1256"/>
      <c r="B1256" s="239"/>
      <c r="C1256" s="239"/>
      <c r="D1256" s="239"/>
      <c r="E1256" s="239"/>
      <c r="F1256" s="239"/>
      <c r="G1256" s="239"/>
      <c r="H1256" s="239"/>
    </row>
    <row r="1257" spans="1:8" x14ac:dyDescent="0.3">
      <c r="A1257"/>
      <c r="B1257" s="239"/>
      <c r="C1257" s="239"/>
      <c r="D1257" s="239"/>
      <c r="E1257" s="239"/>
      <c r="F1257" s="239"/>
      <c r="G1257" s="239"/>
      <c r="H1257" s="239"/>
    </row>
    <row r="1258" spans="1:8" x14ac:dyDescent="0.3">
      <c r="A1258"/>
      <c r="B1258" s="239"/>
      <c r="C1258" s="239"/>
      <c r="D1258" s="239"/>
      <c r="E1258" s="239"/>
      <c r="F1258" s="239"/>
      <c r="G1258" s="239"/>
      <c r="H1258" s="239"/>
    </row>
    <row r="1259" spans="1:8" x14ac:dyDescent="0.3">
      <c r="A1259"/>
      <c r="B1259" s="239"/>
      <c r="C1259" s="239"/>
      <c r="D1259" s="239"/>
      <c r="E1259" s="239"/>
      <c r="F1259" s="239"/>
      <c r="G1259" s="239"/>
      <c r="H1259" s="239"/>
    </row>
    <row r="1260" spans="1:8" x14ac:dyDescent="0.3">
      <c r="A1260"/>
      <c r="B1260" s="239"/>
      <c r="C1260" s="239"/>
      <c r="D1260" s="239"/>
      <c r="E1260" s="239"/>
      <c r="F1260" s="239"/>
      <c r="G1260" s="239"/>
      <c r="H1260" s="239"/>
    </row>
    <row r="1261" spans="1:8" x14ac:dyDescent="0.3">
      <c r="A1261"/>
      <c r="B1261" s="239"/>
      <c r="C1261" s="239"/>
      <c r="D1261" s="239"/>
      <c r="E1261" s="239"/>
      <c r="F1261" s="239"/>
      <c r="G1261" s="239"/>
      <c r="H1261" s="239"/>
    </row>
    <row r="1262" spans="1:8" x14ac:dyDescent="0.3">
      <c r="A1262"/>
      <c r="B1262" s="239"/>
      <c r="C1262" s="239"/>
      <c r="D1262" s="239"/>
      <c r="E1262" s="239"/>
      <c r="F1262" s="239"/>
      <c r="G1262" s="239"/>
      <c r="H1262" s="239"/>
    </row>
    <row r="1263" spans="1:8" x14ac:dyDescent="0.3">
      <c r="A1263"/>
      <c r="B1263" s="239"/>
      <c r="C1263" s="239"/>
      <c r="D1263" s="239"/>
      <c r="E1263" s="239"/>
      <c r="F1263" s="239"/>
      <c r="G1263" s="239"/>
      <c r="H1263" s="239"/>
    </row>
    <row r="1264" spans="1:8" x14ac:dyDescent="0.3">
      <c r="A1264"/>
      <c r="B1264" s="239"/>
      <c r="C1264" s="239"/>
      <c r="D1264" s="239"/>
      <c r="E1264" s="239"/>
      <c r="F1264" s="239"/>
      <c r="G1264" s="239"/>
      <c r="H1264" s="239"/>
    </row>
    <row r="1265" spans="1:8" x14ac:dyDescent="0.3">
      <c r="A1265"/>
      <c r="B1265" s="239"/>
      <c r="C1265" s="239"/>
      <c r="D1265" s="239"/>
      <c r="E1265" s="239"/>
      <c r="F1265" s="239"/>
      <c r="G1265" s="239"/>
      <c r="H1265" s="239"/>
    </row>
    <row r="1266" spans="1:8" x14ac:dyDescent="0.3">
      <c r="A1266"/>
      <c r="B1266" s="239"/>
      <c r="C1266" s="239"/>
      <c r="D1266" s="239"/>
      <c r="E1266" s="239"/>
      <c r="F1266" s="239"/>
      <c r="G1266" s="239"/>
      <c r="H1266" s="239"/>
    </row>
    <row r="1267" spans="1:8" x14ac:dyDescent="0.3">
      <c r="A1267"/>
      <c r="B1267" s="239"/>
      <c r="C1267" s="239"/>
      <c r="D1267" s="239"/>
      <c r="E1267" s="239"/>
      <c r="F1267" s="239"/>
      <c r="G1267" s="239"/>
      <c r="H1267" s="239"/>
    </row>
    <row r="1268" spans="1:8" x14ac:dyDescent="0.3">
      <c r="A1268"/>
      <c r="B1268" s="239"/>
      <c r="C1268" s="239"/>
      <c r="D1268" s="239"/>
      <c r="E1268" s="239"/>
      <c r="F1268" s="239"/>
      <c r="G1268" s="239"/>
      <c r="H1268" s="239"/>
    </row>
    <row r="1269" spans="1:8" x14ac:dyDescent="0.3">
      <c r="A1269"/>
      <c r="B1269" s="239"/>
      <c r="C1269" s="239"/>
      <c r="D1269" s="239"/>
      <c r="E1269" s="239"/>
      <c r="F1269" s="239"/>
      <c r="G1269" s="239"/>
      <c r="H1269" s="239"/>
    </row>
    <row r="1270" spans="1:8" x14ac:dyDescent="0.3">
      <c r="A1270"/>
      <c r="B1270" s="239"/>
      <c r="C1270" s="239"/>
      <c r="D1270" s="239"/>
      <c r="E1270" s="239"/>
      <c r="F1270" s="239"/>
      <c r="G1270" s="239"/>
      <c r="H1270" s="239"/>
    </row>
    <row r="1271" spans="1:8" x14ac:dyDescent="0.3">
      <c r="A1271"/>
      <c r="B1271" s="239"/>
      <c r="C1271" s="239"/>
      <c r="D1271" s="239"/>
      <c r="E1271" s="239"/>
      <c r="F1271" s="239"/>
      <c r="G1271" s="239"/>
      <c r="H1271" s="239"/>
    </row>
    <row r="1272" spans="1:8" x14ac:dyDescent="0.3">
      <c r="A1272"/>
      <c r="B1272" s="239"/>
      <c r="C1272" s="239"/>
      <c r="D1272" s="239"/>
      <c r="E1272" s="239"/>
      <c r="F1272" s="239"/>
      <c r="G1272" s="239"/>
      <c r="H1272" s="239"/>
    </row>
    <row r="1273" spans="1:8" x14ac:dyDescent="0.3">
      <c r="A1273"/>
      <c r="B1273" s="239"/>
      <c r="C1273" s="239"/>
      <c r="D1273" s="239"/>
      <c r="E1273" s="239"/>
      <c r="F1273" s="239"/>
      <c r="G1273" s="239"/>
      <c r="H1273" s="239"/>
    </row>
    <row r="1274" spans="1:8" x14ac:dyDescent="0.3">
      <c r="A1274"/>
      <c r="B1274" s="239"/>
      <c r="C1274" s="239"/>
      <c r="D1274" s="239"/>
      <c r="E1274" s="239"/>
      <c r="F1274" s="239"/>
      <c r="G1274" s="239"/>
      <c r="H1274" s="239"/>
    </row>
    <row r="1275" spans="1:8" x14ac:dyDescent="0.3">
      <c r="A1275"/>
      <c r="B1275" s="239"/>
      <c r="C1275" s="239"/>
      <c r="D1275" s="239"/>
      <c r="E1275" s="239"/>
      <c r="F1275" s="239"/>
      <c r="G1275" s="239"/>
      <c r="H1275" s="239"/>
    </row>
    <row r="1276" spans="1:8" x14ac:dyDescent="0.3">
      <c r="A1276"/>
      <c r="B1276" s="239"/>
      <c r="C1276" s="239"/>
      <c r="D1276" s="239"/>
      <c r="E1276" s="239"/>
      <c r="F1276" s="239"/>
      <c r="G1276" s="239"/>
      <c r="H1276" s="239"/>
    </row>
    <row r="1277" spans="1:8" x14ac:dyDescent="0.3">
      <c r="A1277"/>
      <c r="B1277" s="239"/>
      <c r="C1277" s="239"/>
      <c r="D1277" s="239"/>
      <c r="E1277" s="239"/>
      <c r="F1277" s="239"/>
      <c r="G1277" s="239"/>
      <c r="H1277" s="239"/>
    </row>
    <row r="1278" spans="1:8" x14ac:dyDescent="0.3">
      <c r="A1278"/>
      <c r="B1278" s="239"/>
      <c r="C1278" s="239"/>
      <c r="D1278" s="239"/>
      <c r="E1278" s="239"/>
      <c r="F1278" s="239"/>
      <c r="G1278" s="239"/>
      <c r="H1278" s="239"/>
    </row>
    <row r="1279" spans="1:8" x14ac:dyDescent="0.3">
      <c r="A1279"/>
      <c r="B1279" s="239"/>
      <c r="C1279" s="239"/>
      <c r="D1279" s="239"/>
      <c r="E1279" s="239"/>
      <c r="F1279" s="239"/>
      <c r="G1279" s="239"/>
      <c r="H1279" s="239"/>
    </row>
    <row r="1280" spans="1:8" x14ac:dyDescent="0.3">
      <c r="A1280"/>
      <c r="B1280" s="239"/>
      <c r="C1280" s="239"/>
      <c r="D1280" s="239"/>
      <c r="E1280" s="239"/>
      <c r="F1280" s="239"/>
      <c r="G1280" s="239"/>
      <c r="H1280" s="239"/>
    </row>
    <row r="1281" spans="1:8" x14ac:dyDescent="0.3">
      <c r="A1281"/>
      <c r="B1281" s="239"/>
      <c r="C1281" s="239"/>
      <c r="D1281" s="239"/>
      <c r="E1281" s="239"/>
      <c r="F1281" s="239"/>
      <c r="G1281" s="239"/>
      <c r="H1281" s="239"/>
    </row>
    <row r="1282" spans="1:8" x14ac:dyDescent="0.3">
      <c r="A1282"/>
      <c r="B1282" s="239"/>
      <c r="C1282" s="239"/>
      <c r="D1282" s="239"/>
      <c r="E1282" s="239"/>
      <c r="F1282" s="239"/>
      <c r="G1282" s="239"/>
      <c r="H1282" s="239"/>
    </row>
    <row r="1283" spans="1:8" x14ac:dyDescent="0.3">
      <c r="A1283"/>
      <c r="B1283" s="239"/>
      <c r="C1283" s="239"/>
      <c r="D1283" s="239"/>
      <c r="E1283" s="239"/>
      <c r="F1283" s="239"/>
      <c r="G1283" s="239"/>
      <c r="H1283" s="239"/>
    </row>
    <row r="1284" spans="1:8" x14ac:dyDescent="0.3">
      <c r="A1284"/>
      <c r="B1284" s="239"/>
      <c r="C1284" s="239"/>
      <c r="D1284" s="239"/>
      <c r="E1284" s="239"/>
      <c r="F1284" s="239"/>
      <c r="G1284" s="239"/>
      <c r="H1284" s="239"/>
    </row>
    <row r="1285" spans="1:8" x14ac:dyDescent="0.3">
      <c r="A1285"/>
      <c r="B1285" s="239"/>
      <c r="C1285" s="239"/>
      <c r="D1285" s="239"/>
      <c r="E1285" s="239"/>
      <c r="F1285" s="239"/>
      <c r="G1285" s="239"/>
      <c r="H1285" s="239"/>
    </row>
    <row r="1286" spans="1:8" x14ac:dyDescent="0.3">
      <c r="A1286"/>
      <c r="B1286" s="239"/>
      <c r="C1286" s="239"/>
      <c r="D1286" s="239"/>
      <c r="E1286" s="239"/>
      <c r="F1286" s="239"/>
      <c r="G1286" s="239"/>
      <c r="H1286" s="239"/>
    </row>
    <row r="1287" spans="1:8" x14ac:dyDescent="0.3">
      <c r="A1287"/>
      <c r="B1287" s="239"/>
      <c r="C1287" s="239"/>
      <c r="D1287" s="239"/>
      <c r="E1287" s="239"/>
      <c r="F1287" s="239"/>
      <c r="G1287" s="239"/>
      <c r="H1287" s="239"/>
    </row>
    <row r="1288" spans="1:8" x14ac:dyDescent="0.3">
      <c r="A1288"/>
      <c r="B1288" s="239"/>
      <c r="C1288" s="239"/>
      <c r="D1288" s="239"/>
      <c r="E1288" s="239"/>
      <c r="F1288" s="239"/>
      <c r="G1288" s="239"/>
      <c r="H1288" s="239"/>
    </row>
    <row r="1289" spans="1:8" x14ac:dyDescent="0.3">
      <c r="A1289"/>
      <c r="B1289" s="239"/>
      <c r="C1289" s="239"/>
      <c r="D1289" s="239"/>
      <c r="E1289" s="239"/>
      <c r="F1289" s="239"/>
      <c r="G1289" s="239"/>
      <c r="H1289" s="239"/>
    </row>
    <row r="1290" spans="1:8" x14ac:dyDescent="0.3">
      <c r="A1290"/>
      <c r="B1290" s="239"/>
      <c r="C1290" s="239"/>
      <c r="D1290" s="239"/>
      <c r="E1290" s="239"/>
      <c r="F1290" s="239"/>
      <c r="G1290" s="239"/>
      <c r="H1290" s="239"/>
    </row>
    <row r="1291" spans="1:8" x14ac:dyDescent="0.3">
      <c r="A1291"/>
      <c r="B1291" s="239"/>
      <c r="C1291" s="239"/>
      <c r="D1291" s="239"/>
      <c r="E1291" s="239"/>
      <c r="F1291" s="239"/>
      <c r="G1291" s="239"/>
      <c r="H1291" s="239"/>
    </row>
    <row r="1292" spans="1:8" x14ac:dyDescent="0.3">
      <c r="A1292"/>
      <c r="B1292" s="239"/>
      <c r="C1292" s="239"/>
      <c r="D1292" s="239"/>
      <c r="E1292" s="239"/>
      <c r="F1292" s="239"/>
      <c r="G1292" s="239"/>
      <c r="H1292" s="239"/>
    </row>
    <row r="1293" spans="1:8" x14ac:dyDescent="0.3">
      <c r="A1293"/>
      <c r="B1293" s="239"/>
      <c r="C1293" s="239"/>
      <c r="D1293" s="239"/>
      <c r="E1293" s="239"/>
      <c r="F1293" s="239"/>
      <c r="G1293" s="239"/>
      <c r="H1293" s="239"/>
    </row>
    <row r="1294" spans="1:8" x14ac:dyDescent="0.3">
      <c r="A1294"/>
      <c r="B1294" s="239"/>
      <c r="C1294" s="239"/>
      <c r="D1294" s="239"/>
      <c r="E1294" s="239"/>
      <c r="F1294" s="239"/>
      <c r="G1294" s="239"/>
      <c r="H1294" s="239"/>
    </row>
    <row r="1295" spans="1:8" x14ac:dyDescent="0.3">
      <c r="A1295"/>
      <c r="B1295" s="239"/>
      <c r="C1295" s="239"/>
      <c r="D1295" s="239"/>
      <c r="E1295" s="239"/>
      <c r="F1295" s="239"/>
      <c r="G1295" s="239"/>
      <c r="H1295" s="239"/>
    </row>
    <row r="1296" spans="1:8" x14ac:dyDescent="0.3">
      <c r="A1296"/>
      <c r="B1296" s="239"/>
      <c r="C1296" s="239"/>
      <c r="D1296" s="239"/>
      <c r="E1296" s="239"/>
      <c r="F1296" s="239"/>
      <c r="G1296" s="239"/>
      <c r="H1296" s="239"/>
    </row>
    <row r="1297" spans="1:8" x14ac:dyDescent="0.3">
      <c r="A1297"/>
      <c r="B1297" s="239"/>
      <c r="C1297" s="239"/>
      <c r="D1297" s="239"/>
      <c r="E1297" s="239"/>
      <c r="F1297" s="239"/>
      <c r="G1297" s="239"/>
      <c r="H1297" s="239"/>
    </row>
    <row r="1298" spans="1:8" x14ac:dyDescent="0.3">
      <c r="A1298"/>
      <c r="B1298" s="239"/>
      <c r="C1298" s="239"/>
      <c r="D1298" s="239"/>
      <c r="E1298" s="239"/>
      <c r="F1298" s="239"/>
      <c r="G1298" s="239"/>
      <c r="H1298" s="239"/>
    </row>
    <row r="1299" spans="1:8" x14ac:dyDescent="0.3">
      <c r="A1299"/>
      <c r="B1299" s="239"/>
      <c r="C1299" s="239"/>
      <c r="D1299" s="239"/>
      <c r="E1299" s="239"/>
      <c r="F1299" s="239"/>
      <c r="G1299" s="239"/>
      <c r="H1299" s="239"/>
    </row>
    <row r="1300" spans="1:8" x14ac:dyDescent="0.3">
      <c r="A1300"/>
      <c r="B1300" s="239"/>
      <c r="C1300" s="239"/>
      <c r="D1300" s="239"/>
      <c r="E1300" s="239"/>
      <c r="F1300" s="239"/>
      <c r="G1300" s="239"/>
      <c r="H1300" s="239"/>
    </row>
    <row r="1301" spans="1:8" x14ac:dyDescent="0.3">
      <c r="A1301"/>
      <c r="B1301" s="239"/>
      <c r="C1301" s="239"/>
      <c r="D1301" s="239"/>
      <c r="E1301" s="239"/>
      <c r="F1301" s="239"/>
      <c r="G1301" s="239"/>
      <c r="H1301" s="239"/>
    </row>
    <row r="1302" spans="1:8" x14ac:dyDescent="0.3">
      <c r="A1302"/>
      <c r="B1302" s="239"/>
      <c r="C1302" s="239"/>
      <c r="D1302" s="239"/>
      <c r="E1302" s="239"/>
      <c r="F1302" s="239"/>
      <c r="G1302" s="239"/>
      <c r="H1302" s="239"/>
    </row>
    <row r="1303" spans="1:8" x14ac:dyDescent="0.3">
      <c r="A1303"/>
      <c r="B1303" s="239"/>
      <c r="C1303" s="239"/>
      <c r="D1303" s="239"/>
      <c r="E1303" s="239"/>
      <c r="F1303" s="239"/>
      <c r="G1303" s="239"/>
      <c r="H1303" s="239"/>
    </row>
    <row r="1304" spans="1:8" x14ac:dyDescent="0.3">
      <c r="A1304"/>
      <c r="B1304" s="239"/>
      <c r="C1304" s="239"/>
      <c r="D1304" s="239"/>
      <c r="E1304" s="239"/>
      <c r="F1304" s="239"/>
      <c r="G1304" s="239"/>
      <c r="H1304" s="239"/>
    </row>
    <row r="1305" spans="1:8" x14ac:dyDescent="0.3">
      <c r="A1305"/>
      <c r="B1305" s="239"/>
      <c r="C1305" s="239"/>
      <c r="D1305" s="239"/>
      <c r="E1305" s="239"/>
      <c r="F1305" s="239"/>
      <c r="G1305" s="239"/>
      <c r="H1305" s="239"/>
    </row>
    <row r="1306" spans="1:8" x14ac:dyDescent="0.3">
      <c r="A1306"/>
      <c r="B1306" s="239"/>
      <c r="C1306" s="239"/>
      <c r="D1306" s="239"/>
      <c r="E1306" s="239"/>
      <c r="F1306" s="239"/>
      <c r="G1306" s="239"/>
      <c r="H1306" s="239"/>
    </row>
    <row r="1307" spans="1:8" x14ac:dyDescent="0.3">
      <c r="A1307"/>
      <c r="B1307" s="239"/>
      <c r="C1307" s="239"/>
      <c r="D1307" s="239"/>
      <c r="E1307" s="239"/>
      <c r="F1307" s="239"/>
      <c r="G1307" s="239"/>
      <c r="H1307" s="239"/>
    </row>
    <row r="1308" spans="1:8" x14ac:dyDescent="0.3">
      <c r="A1308"/>
      <c r="B1308" s="239"/>
      <c r="C1308" s="239"/>
      <c r="D1308" s="239"/>
      <c r="E1308" s="239"/>
      <c r="F1308" s="239"/>
      <c r="G1308" s="239"/>
      <c r="H1308" s="239"/>
    </row>
    <row r="1309" spans="1:8" x14ac:dyDescent="0.3">
      <c r="A1309"/>
      <c r="B1309" s="239"/>
      <c r="C1309" s="239"/>
      <c r="D1309" s="239"/>
      <c r="E1309" s="239"/>
      <c r="F1309" s="239"/>
      <c r="G1309" s="239"/>
      <c r="H1309" s="239"/>
    </row>
    <row r="1310" spans="1:8" x14ac:dyDescent="0.3">
      <c r="A1310"/>
      <c r="B1310" s="239"/>
      <c r="C1310" s="239"/>
      <c r="D1310" s="239"/>
      <c r="E1310" s="239"/>
      <c r="F1310" s="239"/>
      <c r="G1310" s="239"/>
      <c r="H1310" s="239"/>
    </row>
    <row r="1311" spans="1:8" x14ac:dyDescent="0.3">
      <c r="A1311"/>
      <c r="B1311" s="239"/>
      <c r="C1311" s="239"/>
      <c r="D1311" s="239"/>
      <c r="E1311" s="239"/>
      <c r="F1311" s="239"/>
      <c r="G1311" s="239"/>
      <c r="H1311" s="239"/>
    </row>
    <row r="1312" spans="1:8" x14ac:dyDescent="0.3">
      <c r="A1312"/>
      <c r="B1312" s="239"/>
      <c r="C1312" s="239"/>
      <c r="D1312" s="239"/>
      <c r="E1312" s="239"/>
      <c r="F1312" s="239"/>
      <c r="G1312" s="239"/>
      <c r="H1312" s="239"/>
    </row>
    <row r="1313" spans="1:8" x14ac:dyDescent="0.3">
      <c r="A1313"/>
      <c r="B1313" s="239"/>
      <c r="C1313" s="239"/>
      <c r="D1313" s="239"/>
      <c r="E1313" s="239"/>
      <c r="F1313" s="239"/>
      <c r="G1313" s="239"/>
      <c r="H1313" s="239"/>
    </row>
    <row r="1314" spans="1:8" x14ac:dyDescent="0.3">
      <c r="A1314"/>
      <c r="B1314" s="239"/>
      <c r="C1314" s="239"/>
      <c r="D1314" s="239"/>
      <c r="E1314" s="239"/>
      <c r="F1314" s="239"/>
      <c r="G1314" s="239"/>
      <c r="H1314" s="239"/>
    </row>
    <row r="1315" spans="1:8" x14ac:dyDescent="0.3">
      <c r="A1315"/>
      <c r="B1315" s="239"/>
      <c r="C1315" s="239"/>
      <c r="D1315" s="239"/>
      <c r="E1315" s="239"/>
      <c r="F1315" s="239"/>
      <c r="G1315" s="239"/>
      <c r="H1315" s="239"/>
    </row>
    <row r="1316" spans="1:8" x14ac:dyDescent="0.3">
      <c r="A1316"/>
      <c r="B1316" s="239"/>
      <c r="C1316" s="239"/>
      <c r="D1316" s="239"/>
      <c r="E1316" s="239"/>
      <c r="F1316" s="239"/>
      <c r="G1316" s="239"/>
      <c r="H1316" s="239"/>
    </row>
    <row r="1317" spans="1:8" x14ac:dyDescent="0.3">
      <c r="A1317"/>
      <c r="B1317" s="239"/>
      <c r="C1317" s="239"/>
      <c r="D1317" s="239"/>
      <c r="E1317" s="239"/>
      <c r="F1317" s="239"/>
      <c r="G1317" s="239"/>
      <c r="H1317" s="239"/>
    </row>
    <row r="1318" spans="1:8" x14ac:dyDescent="0.3">
      <c r="A1318"/>
      <c r="B1318" s="239"/>
      <c r="C1318" s="239"/>
      <c r="D1318" s="239"/>
      <c r="E1318" s="239"/>
      <c r="F1318" s="239"/>
      <c r="G1318" s="239"/>
      <c r="H1318" s="239"/>
    </row>
    <row r="1319" spans="1:8" x14ac:dyDescent="0.3">
      <c r="A1319"/>
      <c r="B1319" s="239"/>
      <c r="C1319" s="239"/>
      <c r="D1319" s="239"/>
      <c r="E1319" s="239"/>
      <c r="F1319" s="239"/>
      <c r="G1319" s="239"/>
      <c r="H1319" s="239"/>
    </row>
    <row r="1320" spans="1:8" x14ac:dyDescent="0.3">
      <c r="A1320"/>
      <c r="B1320" s="239"/>
      <c r="C1320" s="239"/>
      <c r="D1320" s="239"/>
      <c r="E1320" s="239"/>
      <c r="F1320" s="239"/>
      <c r="G1320" s="239"/>
      <c r="H1320" s="239"/>
    </row>
    <row r="1321" spans="1:8" x14ac:dyDescent="0.3">
      <c r="A1321"/>
      <c r="B1321" s="239"/>
      <c r="C1321" s="239"/>
      <c r="D1321" s="239"/>
      <c r="E1321" s="239"/>
      <c r="F1321" s="239"/>
      <c r="G1321" s="239"/>
      <c r="H1321" s="239"/>
    </row>
    <row r="1322" spans="1:8" x14ac:dyDescent="0.3">
      <c r="A1322"/>
      <c r="B1322" s="239"/>
      <c r="C1322" s="239"/>
      <c r="D1322" s="239"/>
      <c r="E1322" s="239"/>
      <c r="F1322" s="239"/>
      <c r="G1322" s="239"/>
      <c r="H1322" s="239"/>
    </row>
    <row r="1323" spans="1:8" x14ac:dyDescent="0.3">
      <c r="A1323"/>
      <c r="B1323" s="239"/>
      <c r="C1323" s="239"/>
      <c r="D1323" s="239"/>
      <c r="E1323" s="239"/>
      <c r="F1323" s="239"/>
      <c r="G1323" s="239"/>
      <c r="H1323" s="239"/>
    </row>
    <row r="1324" spans="1:8" x14ac:dyDescent="0.3">
      <c r="A1324"/>
      <c r="B1324" s="239"/>
      <c r="C1324" s="239"/>
      <c r="D1324" s="239"/>
      <c r="E1324" s="239"/>
      <c r="F1324" s="239"/>
      <c r="G1324" s="239"/>
      <c r="H1324" s="239"/>
    </row>
    <row r="1325" spans="1:8" x14ac:dyDescent="0.3">
      <c r="A1325"/>
      <c r="B1325" s="239"/>
      <c r="C1325" s="239"/>
      <c r="D1325" s="239"/>
      <c r="E1325" s="239"/>
      <c r="F1325" s="239"/>
      <c r="G1325" s="239"/>
      <c r="H1325" s="239"/>
    </row>
    <row r="1326" spans="1:8" x14ac:dyDescent="0.3">
      <c r="A1326"/>
      <c r="B1326" s="239"/>
      <c r="C1326" s="239"/>
      <c r="D1326" s="239"/>
      <c r="E1326" s="239"/>
      <c r="F1326" s="239"/>
      <c r="G1326" s="239"/>
      <c r="H1326" s="239"/>
    </row>
    <row r="1327" spans="1:8" x14ac:dyDescent="0.3">
      <c r="A1327"/>
      <c r="B1327" s="239"/>
      <c r="C1327" s="239"/>
      <c r="D1327" s="239"/>
      <c r="E1327" s="239"/>
      <c r="F1327" s="239"/>
      <c r="G1327" s="239"/>
      <c r="H1327" s="239"/>
    </row>
    <row r="1328" spans="1:8" x14ac:dyDescent="0.3">
      <c r="A1328"/>
      <c r="B1328" s="239"/>
      <c r="C1328" s="239"/>
      <c r="D1328" s="239"/>
      <c r="E1328" s="239"/>
      <c r="F1328" s="239"/>
      <c r="G1328" s="239"/>
      <c r="H1328" s="239"/>
    </row>
    <row r="1329" spans="1:8" x14ac:dyDescent="0.3">
      <c r="A1329"/>
      <c r="B1329" s="239"/>
      <c r="C1329" s="239"/>
      <c r="D1329" s="239"/>
      <c r="E1329" s="239"/>
      <c r="F1329" s="239"/>
      <c r="G1329" s="239"/>
      <c r="H1329" s="239"/>
    </row>
    <row r="1330" spans="1:8" x14ac:dyDescent="0.3">
      <c r="A1330"/>
      <c r="B1330" s="239"/>
      <c r="C1330" s="239"/>
      <c r="D1330" s="239"/>
      <c r="E1330" s="239"/>
      <c r="F1330" s="239"/>
      <c r="G1330" s="239"/>
      <c r="H1330" s="239"/>
    </row>
    <row r="1331" spans="1:8" x14ac:dyDescent="0.3">
      <c r="A1331"/>
      <c r="B1331" s="239"/>
      <c r="C1331" s="239"/>
      <c r="D1331" s="239"/>
      <c r="E1331" s="239"/>
      <c r="F1331" s="239"/>
      <c r="G1331" s="239"/>
      <c r="H1331" s="239"/>
    </row>
    <row r="1332" spans="1:8" x14ac:dyDescent="0.3">
      <c r="A1332"/>
      <c r="B1332" s="239"/>
      <c r="C1332" s="239"/>
      <c r="D1332" s="239"/>
      <c r="E1332" s="239"/>
      <c r="F1332" s="239"/>
      <c r="G1332" s="239"/>
      <c r="H1332" s="239"/>
    </row>
    <row r="1333" spans="1:8" x14ac:dyDescent="0.3">
      <c r="A1333"/>
      <c r="B1333" s="239"/>
      <c r="C1333" s="239"/>
      <c r="D1333" s="239"/>
      <c r="E1333" s="239"/>
      <c r="F1333" s="239"/>
      <c r="G1333" s="239"/>
      <c r="H1333" s="239"/>
    </row>
    <row r="1334" spans="1:8" x14ac:dyDescent="0.3">
      <c r="A1334"/>
      <c r="B1334" s="239"/>
      <c r="C1334" s="239"/>
      <c r="D1334" s="239"/>
      <c r="E1334" s="239"/>
      <c r="F1334" s="239"/>
      <c r="G1334" s="239"/>
      <c r="H1334" s="239"/>
    </row>
    <row r="1335" spans="1:8" x14ac:dyDescent="0.3">
      <c r="A1335"/>
      <c r="B1335" s="239"/>
      <c r="C1335" s="239"/>
      <c r="D1335" s="239"/>
      <c r="E1335" s="239"/>
      <c r="F1335" s="239"/>
      <c r="G1335" s="239"/>
      <c r="H1335" s="239"/>
    </row>
    <row r="1336" spans="1:8" x14ac:dyDescent="0.3">
      <c r="A1336"/>
      <c r="B1336" s="239"/>
      <c r="C1336" s="239"/>
      <c r="D1336" s="239"/>
      <c r="E1336" s="239"/>
      <c r="F1336" s="239"/>
      <c r="G1336" s="239"/>
      <c r="H1336" s="239"/>
    </row>
    <row r="1337" spans="1:8" x14ac:dyDescent="0.3">
      <c r="A1337"/>
      <c r="B1337" s="239"/>
      <c r="C1337" s="239"/>
      <c r="D1337" s="239"/>
      <c r="E1337" s="239"/>
      <c r="F1337" s="239"/>
      <c r="G1337" s="239"/>
      <c r="H1337" s="239"/>
    </row>
    <row r="1338" spans="1:8" x14ac:dyDescent="0.3">
      <c r="A1338"/>
      <c r="B1338" s="239"/>
      <c r="C1338" s="239"/>
      <c r="D1338" s="239"/>
      <c r="E1338" s="239"/>
      <c r="F1338" s="239"/>
      <c r="G1338" s="239"/>
      <c r="H1338" s="239"/>
    </row>
    <row r="1339" spans="1:8" x14ac:dyDescent="0.3">
      <c r="A1339"/>
      <c r="B1339" s="239"/>
      <c r="C1339" s="239"/>
      <c r="D1339" s="239"/>
      <c r="E1339" s="239"/>
      <c r="F1339" s="239"/>
      <c r="G1339" s="239"/>
      <c r="H1339" s="239"/>
    </row>
    <row r="1340" spans="1:8" x14ac:dyDescent="0.3">
      <c r="A1340"/>
      <c r="B1340" s="239"/>
      <c r="C1340" s="239"/>
      <c r="D1340" s="239"/>
      <c r="E1340" s="239"/>
      <c r="F1340" s="239"/>
      <c r="G1340" s="239"/>
      <c r="H1340" s="239"/>
    </row>
    <row r="1341" spans="1:8" x14ac:dyDescent="0.3">
      <c r="A1341"/>
      <c r="B1341" s="239"/>
      <c r="C1341" s="239"/>
      <c r="D1341" s="239"/>
      <c r="E1341" s="239"/>
      <c r="F1341" s="239"/>
      <c r="G1341" s="239"/>
      <c r="H1341" s="239"/>
    </row>
  </sheetData>
  <printOptions horizontalCentered="1" gridLines="1"/>
  <pageMargins left="0.5" right="0.5" top="0.75" bottom="0.75" header="0.5" footer="0.5"/>
  <pageSetup scale="72" fitToHeight="30" orientation="portrait" horizontalDpi="4294967292" verticalDpi="300" r:id="rId1"/>
  <headerFooter alignWithMargins="0">
    <oddHeader>&amp;L&amp;"Times New Roman,Regular"&amp;11CUECost - Air Pollution Control Systems Economics Spreadsheet</oddHeader>
    <oddFooter>&amp;L&amp;"Times New Roman,Regular"&amp;9&amp;F, &amp;A&amp;C&amp;"Times New Roman,Regular"&amp;11&amp;P&amp;R&amp;"Times New Roman,Regular"&amp;9&amp;D, &amp;T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4:AE614"/>
  <sheetViews>
    <sheetView topLeftCell="A16" zoomScale="75" workbookViewId="0">
      <selection activeCell="D52" sqref="D52"/>
    </sheetView>
  </sheetViews>
  <sheetFormatPr defaultColWidth="9.08984375" defaultRowHeight="13" x14ac:dyDescent="0.3"/>
  <cols>
    <col min="1" max="1" width="9.08984375" style="1"/>
    <col min="2" max="2" width="41.90625" style="1" customWidth="1"/>
    <col min="3" max="11" width="15.6328125" style="1" customWidth="1"/>
    <col min="12" max="16384" width="9.08984375" style="1"/>
  </cols>
  <sheetData>
    <row r="4" spans="1:29" x14ac:dyDescent="0.3">
      <c r="B4" s="256" t="s">
        <v>861</v>
      </c>
    </row>
    <row r="9" spans="1:29" ht="13.5" thickBot="1" x14ac:dyDescent="0.35">
      <c r="D9" s="1" t="str">
        <f>"Coal "&amp;D12&amp;", "&amp;D13&amp;":  "&amp;TEXT(D33,"#,###")&amp;" Btu, "&amp;D28&amp;"% S, "&amp;D29&amp;"% ash"</f>
        <v>Coal 1, Wyoming PRB:  8,227 Btu, 0.37% S, 5.32% ash</v>
      </c>
      <c r="E9" s="1" t="str">
        <f t="shared" ref="E9:K9" si="0">"Coal "&amp;E12&amp;", "&amp;E13&amp;":  "&amp;TEXT(E33,"#,###")&amp;" Btu, "&amp;E28&amp;"% S, "&amp;E29&amp;"% ash"</f>
        <v>Coal 2, Armstrong, PA:  13,100 Btu, 2.6% S, 9.1% ash</v>
      </c>
      <c r="F9" s="1" t="str">
        <f t="shared" si="0"/>
        <v>Coal 3, Jefferson, OH:  11,922 Btu, 3.43% S, 13% ash</v>
      </c>
      <c r="G9" s="1" t="str">
        <f t="shared" si="0"/>
        <v>Coal 4, Logan, WV:  12,058 Btu, 0.89% S, 16.6% ash</v>
      </c>
      <c r="H9" s="1" t="str">
        <f t="shared" si="0"/>
        <v>Coal 5, No. 6 Illinois:  10,100 Btu, 4% S, 16% ash</v>
      </c>
      <c r="I9" s="1" t="str">
        <f t="shared" si="0"/>
        <v>Coal 6, Rosebud, MT:  8,789 Btu, 0.56% S, 8.15% ash</v>
      </c>
      <c r="J9" s="1" t="str">
        <f t="shared" si="0"/>
        <v>Coal 7, Lignite, ND:  7,500 Btu, 0.94% S, 5.9% ash</v>
      </c>
      <c r="K9" s="1" t="str">
        <f t="shared" si="0"/>
        <v>Coal 8, "User Specified":  7,560 Btu, 0.3% S, 7% ash</v>
      </c>
    </row>
    <row r="10" spans="1:29" x14ac:dyDescent="0.3">
      <c r="B10" s="34" t="s">
        <v>862</v>
      </c>
      <c r="C10" s="15"/>
      <c r="D10" s="15"/>
      <c r="E10" s="15"/>
      <c r="F10" s="15"/>
      <c r="G10" s="15"/>
      <c r="H10" s="15"/>
      <c r="I10" s="15"/>
      <c r="J10" s="15"/>
      <c r="K10" s="16"/>
    </row>
    <row r="11" spans="1:29" x14ac:dyDescent="0.3">
      <c r="B11" s="17"/>
      <c r="C11" s="2"/>
      <c r="D11" s="2"/>
      <c r="E11" s="2"/>
      <c r="F11" s="2"/>
      <c r="G11" s="2"/>
      <c r="H11" s="2"/>
      <c r="I11" s="2"/>
      <c r="J11" s="2"/>
      <c r="K11" s="18"/>
    </row>
    <row r="12" spans="1:29" x14ac:dyDescent="0.3">
      <c r="B12" s="17" t="s">
        <v>863</v>
      </c>
      <c r="C12" s="2"/>
      <c r="D12" s="19">
        <v>1</v>
      </c>
      <c r="E12" s="19">
        <v>2</v>
      </c>
      <c r="F12" s="19">
        <v>3</v>
      </c>
      <c r="G12" s="19">
        <v>4</v>
      </c>
      <c r="H12" s="19">
        <v>5</v>
      </c>
      <c r="I12" s="19">
        <v>6</v>
      </c>
      <c r="J12" s="19">
        <v>7</v>
      </c>
      <c r="K12" s="20">
        <v>8</v>
      </c>
    </row>
    <row r="13" spans="1:29" x14ac:dyDescent="0.3">
      <c r="A13" s="1">
        <v>1</v>
      </c>
      <c r="B13" s="17" t="s">
        <v>864</v>
      </c>
      <c r="C13" s="2"/>
      <c r="D13" s="19" t="s">
        <v>865</v>
      </c>
      <c r="E13" s="19" t="s">
        <v>866</v>
      </c>
      <c r="F13" s="19" t="s">
        <v>867</v>
      </c>
      <c r="G13" s="19" t="s">
        <v>868</v>
      </c>
      <c r="H13" s="19" t="s">
        <v>869</v>
      </c>
      <c r="I13" s="19" t="s">
        <v>870</v>
      </c>
      <c r="J13" s="19" t="s">
        <v>871</v>
      </c>
      <c r="K13" s="20" t="s">
        <v>872</v>
      </c>
      <c r="AC13" s="1">
        <v>1</v>
      </c>
    </row>
    <row r="14" spans="1:29" x14ac:dyDescent="0.3">
      <c r="A14" s="1">
        <v>2</v>
      </c>
      <c r="B14" s="17" t="s">
        <v>873</v>
      </c>
      <c r="C14" s="19" t="s">
        <v>292</v>
      </c>
      <c r="D14" s="364">
        <v>1.5</v>
      </c>
      <c r="E14" s="364">
        <v>1.5</v>
      </c>
      <c r="F14" s="364">
        <v>1.5</v>
      </c>
      <c r="G14" s="364">
        <v>1.5</v>
      </c>
      <c r="H14" s="364">
        <v>1.5</v>
      </c>
      <c r="I14" s="364">
        <v>1.5</v>
      </c>
      <c r="J14" s="364">
        <v>1.5</v>
      </c>
      <c r="K14" s="365">
        <v>1.5</v>
      </c>
    </row>
    <row r="15" spans="1:29" x14ac:dyDescent="0.3">
      <c r="A15" s="1">
        <v>3</v>
      </c>
      <c r="B15" s="17" t="s">
        <v>874</v>
      </c>
      <c r="C15" s="2"/>
      <c r="D15" s="2"/>
      <c r="E15" s="2"/>
      <c r="F15" s="2"/>
      <c r="G15" s="2"/>
      <c r="H15" s="2"/>
      <c r="I15" s="2"/>
      <c r="J15" s="2"/>
      <c r="K15" s="18"/>
      <c r="Z15" s="1" t="s">
        <v>854</v>
      </c>
      <c r="AC15" s="255">
        <f>'FF ESP Cost &amp; Tech. Results'!D194</f>
        <v>567.7437641754201</v>
      </c>
    </row>
    <row r="16" spans="1:29" x14ac:dyDescent="0.3">
      <c r="A16" s="1">
        <v>4</v>
      </c>
      <c r="B16" s="21" t="s">
        <v>875</v>
      </c>
      <c r="C16" s="2"/>
      <c r="D16" s="6"/>
      <c r="E16" s="2"/>
      <c r="F16" s="2"/>
      <c r="G16" s="2"/>
      <c r="H16" s="2"/>
      <c r="I16" s="2"/>
      <c r="J16" s="2"/>
      <c r="K16" s="18"/>
      <c r="Z16" s="1" t="s">
        <v>876</v>
      </c>
      <c r="AC16" s="255">
        <f>'FF ESP Cost &amp; Tech. Results'!D196</f>
        <v>178555.49264856565</v>
      </c>
    </row>
    <row r="17" spans="1:31" x14ac:dyDescent="0.3">
      <c r="A17" s="1">
        <v>5</v>
      </c>
      <c r="B17" s="22" t="s">
        <v>877</v>
      </c>
      <c r="C17" s="3" t="s">
        <v>878</v>
      </c>
      <c r="D17" s="7">
        <v>31.39</v>
      </c>
      <c r="E17" s="7">
        <v>36.200000000000003</v>
      </c>
      <c r="F17" s="7">
        <v>37.200000000000003</v>
      </c>
      <c r="G17" s="7">
        <v>35.4</v>
      </c>
      <c r="H17" s="7">
        <v>33</v>
      </c>
      <c r="I17" s="7">
        <v>36.4</v>
      </c>
      <c r="J17" s="7">
        <v>42</v>
      </c>
      <c r="K17" s="23">
        <v>36</v>
      </c>
    </row>
    <row r="18" spans="1:31" x14ac:dyDescent="0.3">
      <c r="A18" s="1">
        <v>6</v>
      </c>
      <c r="B18" s="22" t="s">
        <v>879</v>
      </c>
      <c r="C18" s="3" t="s">
        <v>878</v>
      </c>
      <c r="D18" s="7">
        <v>33.049999999999997</v>
      </c>
      <c r="E18" s="7">
        <v>48.7</v>
      </c>
      <c r="F18" s="7">
        <v>44.8</v>
      </c>
      <c r="G18" s="7">
        <v>43</v>
      </c>
      <c r="H18" s="7">
        <v>39</v>
      </c>
      <c r="I18" s="7">
        <v>30.3</v>
      </c>
      <c r="J18" s="7">
        <v>20.100000000000001</v>
      </c>
      <c r="K18" s="23">
        <v>26.5</v>
      </c>
      <c r="AC18" s="90"/>
      <c r="AD18" s="90"/>
    </row>
    <row r="19" spans="1:31" x14ac:dyDescent="0.3">
      <c r="A19" s="1">
        <v>7</v>
      </c>
      <c r="B19" s="21" t="s">
        <v>880</v>
      </c>
      <c r="C19" s="4"/>
      <c r="D19" s="8"/>
      <c r="E19" s="8"/>
      <c r="F19" s="8"/>
      <c r="G19" s="8"/>
      <c r="H19" s="8"/>
      <c r="I19" s="8"/>
      <c r="J19" s="8"/>
      <c r="K19" s="24"/>
      <c r="AC19" s="90" t="s">
        <v>881</v>
      </c>
      <c r="AD19" s="90" t="s">
        <v>882</v>
      </c>
      <c r="AE19" s="1" t="s">
        <v>883</v>
      </c>
    </row>
    <row r="20" spans="1:31" x14ac:dyDescent="0.3">
      <c r="A20" s="1">
        <v>8</v>
      </c>
      <c r="B20" s="22"/>
      <c r="C20" s="4"/>
      <c r="D20" s="9">
        <f t="shared" ref="D20:J20" si="1">+D17+D18+D23+D29</f>
        <v>100</v>
      </c>
      <c r="E20" s="9">
        <f t="shared" si="1"/>
        <v>100</v>
      </c>
      <c r="F20" s="9">
        <f t="shared" si="1"/>
        <v>100</v>
      </c>
      <c r="G20" s="9">
        <f t="shared" si="1"/>
        <v>100</v>
      </c>
      <c r="H20" s="9">
        <f t="shared" si="1"/>
        <v>100</v>
      </c>
      <c r="I20" s="9">
        <f t="shared" si="1"/>
        <v>100.05000000000001</v>
      </c>
      <c r="J20" s="9">
        <f t="shared" si="1"/>
        <v>100</v>
      </c>
      <c r="K20" s="25">
        <f>+K17+K18+K23+K29</f>
        <v>98.5</v>
      </c>
      <c r="AC20" s="115" t="s">
        <v>854</v>
      </c>
      <c r="AD20" s="115" t="s">
        <v>854</v>
      </c>
      <c r="AE20" s="115" t="s">
        <v>854</v>
      </c>
    </row>
    <row r="21" spans="1:31" x14ac:dyDescent="0.3">
      <c r="A21" s="1">
        <v>9</v>
      </c>
      <c r="B21" s="26"/>
      <c r="C21" s="4"/>
      <c r="D21" s="8"/>
      <c r="E21" s="8"/>
      <c r="F21" s="8"/>
      <c r="G21" s="8"/>
      <c r="H21" s="8"/>
      <c r="I21" s="8"/>
      <c r="J21" s="8"/>
      <c r="K21" s="24"/>
      <c r="AC21" s="108"/>
      <c r="AD21" s="108"/>
    </row>
    <row r="22" spans="1:31" x14ac:dyDescent="0.3">
      <c r="A22" s="1">
        <v>10</v>
      </c>
      <c r="B22" s="27" t="s">
        <v>884</v>
      </c>
      <c r="C22" s="4"/>
      <c r="D22" s="8"/>
      <c r="E22" s="8"/>
      <c r="F22" s="8"/>
      <c r="G22" s="8"/>
      <c r="H22" s="8"/>
      <c r="I22" s="8"/>
      <c r="J22" s="8"/>
      <c r="K22" s="24"/>
      <c r="X22" s="1" t="str">
        <f>Constants_CC!D$9</f>
        <v>Coal 1, Wyoming PRB:  8,227 Btu, 0.37% S, 5.32% ash</v>
      </c>
      <c r="AB22" s="1">
        <v>1</v>
      </c>
      <c r="AC22" s="108">
        <f t="dataTable" ref="AC22:AC28" dt2D="0" dtr="0" r1="AC13"/>
        <v>0</v>
      </c>
      <c r="AD22" s="108">
        <v>477</v>
      </c>
      <c r="AE22" s="1">
        <v>619</v>
      </c>
    </row>
    <row r="23" spans="1:31" x14ac:dyDescent="0.3">
      <c r="A23" s="1">
        <v>11</v>
      </c>
      <c r="B23" s="27" t="s">
        <v>885</v>
      </c>
      <c r="C23" s="3" t="s">
        <v>878</v>
      </c>
      <c r="D23" s="10">
        <v>30.24</v>
      </c>
      <c r="E23" s="10">
        <v>6</v>
      </c>
      <c r="F23" s="10">
        <v>5</v>
      </c>
      <c r="G23" s="10">
        <v>5</v>
      </c>
      <c r="H23" s="10">
        <v>12</v>
      </c>
      <c r="I23" s="10">
        <v>25.2</v>
      </c>
      <c r="J23" s="13">
        <v>32</v>
      </c>
      <c r="K23" s="28">
        <v>29</v>
      </c>
      <c r="L23" s="374" t="s">
        <v>1165</v>
      </c>
      <c r="X23" s="1" t="str">
        <f>Constants_CC!E$9</f>
        <v>Coal 2, Armstrong, PA:  13,100 Btu, 2.6% S, 9.1% ash</v>
      </c>
      <c r="AB23" s="1">
        <v>2</v>
      </c>
      <c r="AC23" s="108">
        <v>0</v>
      </c>
      <c r="AD23" s="108">
        <v>483</v>
      </c>
      <c r="AE23" s="1">
        <v>301</v>
      </c>
    </row>
    <row r="24" spans="1:31" x14ac:dyDescent="0.3">
      <c r="A24" s="1">
        <v>12</v>
      </c>
      <c r="B24" s="27" t="s">
        <v>886</v>
      </c>
      <c r="C24" s="3" t="s">
        <v>878</v>
      </c>
      <c r="D24" s="10">
        <v>48.18</v>
      </c>
      <c r="E24" s="10">
        <v>71.55</v>
      </c>
      <c r="F24" s="10">
        <v>65.72</v>
      </c>
      <c r="G24" s="10">
        <v>65.989999999999995</v>
      </c>
      <c r="H24" s="10">
        <v>55.35</v>
      </c>
      <c r="I24" s="10">
        <v>51.52</v>
      </c>
      <c r="J24" s="13">
        <v>45.06</v>
      </c>
      <c r="K24" s="28">
        <v>70</v>
      </c>
      <c r="X24" s="1" t="str">
        <f>Constants_CC!F$9</f>
        <v>Coal 3, Jefferson, OH:  11,922 Btu, 3.43% S, 13% ash</v>
      </c>
      <c r="AB24" s="1">
        <v>3</v>
      </c>
      <c r="AC24" s="108">
        <v>0</v>
      </c>
      <c r="AD24" s="108">
        <v>523</v>
      </c>
      <c r="AE24" s="1">
        <v>348</v>
      </c>
    </row>
    <row r="25" spans="1:31" x14ac:dyDescent="0.3">
      <c r="A25" s="1">
        <v>13</v>
      </c>
      <c r="B25" s="27" t="s">
        <v>887</v>
      </c>
      <c r="C25" s="3" t="s">
        <v>878</v>
      </c>
      <c r="D25" s="10">
        <v>3.31</v>
      </c>
      <c r="E25" s="10">
        <v>4.88</v>
      </c>
      <c r="F25" s="10">
        <v>4.53</v>
      </c>
      <c r="G25" s="10">
        <v>4.75</v>
      </c>
      <c r="H25" s="10">
        <v>4</v>
      </c>
      <c r="I25" s="10">
        <v>3.29</v>
      </c>
      <c r="J25" s="13">
        <v>2.8</v>
      </c>
      <c r="K25" s="28">
        <v>5</v>
      </c>
      <c r="X25" s="1" t="str">
        <f>Constants_CC!G$9</f>
        <v>Coal 4, Logan, WV:  12,058 Btu, 0.89% S, 16.6% ash</v>
      </c>
      <c r="AB25" s="1">
        <v>4</v>
      </c>
      <c r="AC25" s="108">
        <v>0</v>
      </c>
      <c r="AD25" s="108">
        <v>544</v>
      </c>
      <c r="AE25" s="1">
        <v>624</v>
      </c>
    </row>
    <row r="26" spans="1:31" x14ac:dyDescent="0.3">
      <c r="A26" s="1">
        <v>14</v>
      </c>
      <c r="B26" s="27" t="s">
        <v>888</v>
      </c>
      <c r="C26" s="3" t="s">
        <v>878</v>
      </c>
      <c r="D26" s="10">
        <v>0.7</v>
      </c>
      <c r="E26" s="10">
        <v>1.4</v>
      </c>
      <c r="F26" s="10">
        <v>1.21</v>
      </c>
      <c r="G26" s="10">
        <v>0.7</v>
      </c>
      <c r="H26" s="10">
        <v>1.08</v>
      </c>
      <c r="I26" s="10">
        <v>0.69</v>
      </c>
      <c r="J26" s="13">
        <v>1.5</v>
      </c>
      <c r="K26" s="28">
        <v>0.8</v>
      </c>
      <c r="X26" s="1" t="str">
        <f>Constants_CC!H$9</f>
        <v>Coal 5, No. 6 Illinois:  10,100 Btu, 4% S, 16% ash</v>
      </c>
      <c r="AB26" s="1">
        <v>5</v>
      </c>
      <c r="AC26" s="108">
        <v>0</v>
      </c>
      <c r="AD26" s="108">
        <v>556</v>
      </c>
      <c r="AE26" s="1">
        <v>327</v>
      </c>
    </row>
    <row r="27" spans="1:31" x14ac:dyDescent="0.3">
      <c r="A27" s="1">
        <v>15</v>
      </c>
      <c r="B27" s="27" t="s">
        <v>889</v>
      </c>
      <c r="C27" s="3" t="s">
        <v>878</v>
      </c>
      <c r="D27" s="10">
        <v>0.01</v>
      </c>
      <c r="E27" s="10">
        <v>0</v>
      </c>
      <c r="F27" s="10">
        <v>0.1</v>
      </c>
      <c r="G27" s="10">
        <v>0.1</v>
      </c>
      <c r="H27" s="10">
        <v>0.1</v>
      </c>
      <c r="I27" s="10">
        <v>0.1</v>
      </c>
      <c r="J27" s="13">
        <v>0.1</v>
      </c>
      <c r="K27" s="28">
        <v>0</v>
      </c>
      <c r="X27" s="1" t="str">
        <f>Constants_CC!I$9</f>
        <v>Coal 6, Rosebud, MT:  8,789 Btu, 0.56% S, 8.15% ash</v>
      </c>
      <c r="AB27" s="1">
        <v>6</v>
      </c>
      <c r="AC27" s="108">
        <v>0</v>
      </c>
      <c r="AD27" s="108">
        <v>508</v>
      </c>
      <c r="AE27" s="1">
        <v>530</v>
      </c>
    </row>
    <row r="28" spans="1:31" x14ac:dyDescent="0.3">
      <c r="A28" s="1">
        <v>16</v>
      </c>
      <c r="B28" s="27" t="s">
        <v>890</v>
      </c>
      <c r="C28" s="3" t="s">
        <v>878</v>
      </c>
      <c r="D28" s="10">
        <v>0.37</v>
      </c>
      <c r="E28" s="10">
        <v>2.6</v>
      </c>
      <c r="F28" s="10">
        <v>3.43</v>
      </c>
      <c r="G28" s="10">
        <v>0.89</v>
      </c>
      <c r="H28" s="10">
        <v>4</v>
      </c>
      <c r="I28" s="10">
        <v>0.56000000000000005</v>
      </c>
      <c r="J28" s="13">
        <v>0.94</v>
      </c>
      <c r="K28" s="28">
        <v>0.3</v>
      </c>
      <c r="X28" s="1" t="str">
        <f>Constants_CC!J$9</f>
        <v>Coal 7, Lignite, ND:  7,500 Btu, 0.94% S, 5.9% ash</v>
      </c>
      <c r="AB28" s="1">
        <v>7</v>
      </c>
      <c r="AC28" s="108">
        <v>0</v>
      </c>
      <c r="AD28" s="108">
        <v>494</v>
      </c>
      <c r="AE28" s="1">
        <v>411</v>
      </c>
    </row>
    <row r="29" spans="1:31" x14ac:dyDescent="0.3">
      <c r="A29" s="1">
        <v>17</v>
      </c>
      <c r="B29" s="27" t="s">
        <v>891</v>
      </c>
      <c r="C29" s="3" t="s">
        <v>878</v>
      </c>
      <c r="D29" s="10">
        <v>5.32</v>
      </c>
      <c r="E29" s="10">
        <v>9.1</v>
      </c>
      <c r="F29" s="10">
        <v>13</v>
      </c>
      <c r="G29" s="10">
        <v>16.600000000000001</v>
      </c>
      <c r="H29" s="10">
        <v>16</v>
      </c>
      <c r="I29" s="10">
        <v>8.15</v>
      </c>
      <c r="J29" s="13">
        <v>5.9</v>
      </c>
      <c r="K29" s="28">
        <v>7</v>
      </c>
    </row>
    <row r="30" spans="1:31" x14ac:dyDescent="0.3">
      <c r="A30" s="1">
        <v>18</v>
      </c>
      <c r="B30" s="27" t="s">
        <v>892</v>
      </c>
      <c r="C30" s="3" t="s">
        <v>878</v>
      </c>
      <c r="D30" s="11">
        <v>11.87</v>
      </c>
      <c r="E30" s="11">
        <v>4.47</v>
      </c>
      <c r="F30" s="11">
        <v>7.01</v>
      </c>
      <c r="G30" s="11">
        <v>5.97</v>
      </c>
      <c r="H30" s="11">
        <v>7.47</v>
      </c>
      <c r="I30" s="11">
        <v>10.49</v>
      </c>
      <c r="J30" s="14">
        <v>11.7</v>
      </c>
      <c r="K30" s="29">
        <v>0</v>
      </c>
    </row>
    <row r="31" spans="1:31" x14ac:dyDescent="0.3">
      <c r="A31" s="1">
        <v>19</v>
      </c>
      <c r="B31" s="22" t="s">
        <v>626</v>
      </c>
      <c r="C31" s="3" t="s">
        <v>878</v>
      </c>
      <c r="D31" s="9">
        <f>SUM(D23:D30)</f>
        <v>100.00000000000003</v>
      </c>
      <c r="E31" s="9">
        <f>SUM(E23:E30)</f>
        <v>99.999999999999986</v>
      </c>
      <c r="F31" s="9">
        <f t="shared" ref="F31:K31" si="2">SUM(F23:F30)</f>
        <v>100</v>
      </c>
      <c r="G31" s="9">
        <f t="shared" si="2"/>
        <v>100</v>
      </c>
      <c r="H31" s="9">
        <f t="shared" si="2"/>
        <v>99.999999999999986</v>
      </c>
      <c r="I31" s="9">
        <f t="shared" si="2"/>
        <v>100</v>
      </c>
      <c r="J31" s="9">
        <f t="shared" si="2"/>
        <v>100</v>
      </c>
      <c r="K31" s="25">
        <f t="shared" si="2"/>
        <v>112.1</v>
      </c>
    </row>
    <row r="32" spans="1:31" x14ac:dyDescent="0.3">
      <c r="A32" s="1">
        <v>20</v>
      </c>
      <c r="B32" s="26"/>
      <c r="C32" s="5"/>
      <c r="D32" s="6"/>
      <c r="E32" s="6"/>
      <c r="F32" s="6"/>
      <c r="G32" s="6"/>
      <c r="H32" s="6"/>
      <c r="I32" s="6"/>
      <c r="J32" s="6"/>
      <c r="K32" s="30"/>
    </row>
    <row r="33" spans="1:12" x14ac:dyDescent="0.3">
      <c r="A33" s="1">
        <v>21</v>
      </c>
      <c r="B33" s="22" t="s">
        <v>893</v>
      </c>
      <c r="C33" s="5" t="s">
        <v>894</v>
      </c>
      <c r="D33" s="12">
        <f t="shared" ref="D33:J33" si="3">ROUND((D24*143.96)+(D25*609.59)+(D28*40.15)-(D30*62.5),0)</f>
        <v>8227</v>
      </c>
      <c r="E33" s="12">
        <f t="shared" si="3"/>
        <v>13100</v>
      </c>
      <c r="F33" s="12">
        <f t="shared" si="3"/>
        <v>11922</v>
      </c>
      <c r="G33" s="12">
        <f t="shared" si="3"/>
        <v>12058</v>
      </c>
      <c r="H33" s="12">
        <f t="shared" si="3"/>
        <v>10100</v>
      </c>
      <c r="I33" s="12">
        <f t="shared" si="3"/>
        <v>8789</v>
      </c>
      <c r="J33" s="12">
        <f t="shared" si="3"/>
        <v>7500</v>
      </c>
      <c r="K33" s="31">
        <v>7560</v>
      </c>
    </row>
    <row r="34" spans="1:12" x14ac:dyDescent="0.3">
      <c r="A34" s="1">
        <v>22</v>
      </c>
      <c r="B34" s="22"/>
      <c r="C34" s="5"/>
      <c r="D34" s="12"/>
      <c r="E34" s="12"/>
      <c r="F34" s="12"/>
      <c r="G34" s="12"/>
      <c r="H34" s="12"/>
      <c r="I34" s="12"/>
      <c r="J34" s="12"/>
      <c r="K34" s="31"/>
    </row>
    <row r="35" spans="1:12" x14ac:dyDescent="0.3">
      <c r="A35" s="1">
        <v>23</v>
      </c>
      <c r="B35" s="27" t="s">
        <v>895</v>
      </c>
      <c r="C35" s="4"/>
      <c r="D35" s="12"/>
      <c r="E35" s="12"/>
      <c r="F35" s="12"/>
      <c r="G35" s="12"/>
      <c r="H35" s="12"/>
      <c r="I35" s="12"/>
      <c r="J35" s="12"/>
      <c r="K35" s="31"/>
    </row>
    <row r="36" spans="1:12" x14ac:dyDescent="0.3">
      <c r="A36" s="1">
        <v>24</v>
      </c>
      <c r="B36" s="27" t="s">
        <v>896</v>
      </c>
      <c r="C36" s="3" t="s">
        <v>878</v>
      </c>
      <c r="D36" s="10">
        <v>35.51</v>
      </c>
      <c r="E36" s="10">
        <v>46.92</v>
      </c>
      <c r="F36" s="10">
        <v>51.35</v>
      </c>
      <c r="G36" s="10">
        <v>50.68</v>
      </c>
      <c r="H36" s="10">
        <v>50.82</v>
      </c>
      <c r="I36" s="10">
        <v>27</v>
      </c>
      <c r="J36" s="10">
        <v>29.8</v>
      </c>
      <c r="K36" s="28">
        <v>44.4</v>
      </c>
    </row>
    <row r="37" spans="1:12" x14ac:dyDescent="0.3">
      <c r="A37" s="1">
        <v>25</v>
      </c>
      <c r="B37" s="27" t="s">
        <v>897</v>
      </c>
      <c r="C37" s="3" t="s">
        <v>878</v>
      </c>
      <c r="D37" s="10">
        <v>17.11</v>
      </c>
      <c r="E37" s="10">
        <v>21</v>
      </c>
      <c r="F37" s="10">
        <v>30</v>
      </c>
      <c r="G37" s="10">
        <v>29</v>
      </c>
      <c r="H37" s="10">
        <v>19.059999999999999</v>
      </c>
      <c r="I37" s="10">
        <v>19</v>
      </c>
      <c r="J37" s="10">
        <v>10</v>
      </c>
      <c r="K37" s="28">
        <v>18</v>
      </c>
    </row>
    <row r="38" spans="1:12" x14ac:dyDescent="0.3">
      <c r="A38" s="1">
        <v>26</v>
      </c>
      <c r="B38" s="27" t="s">
        <v>898</v>
      </c>
      <c r="C38" s="3" t="s">
        <v>878</v>
      </c>
      <c r="D38" s="10">
        <v>1.26</v>
      </c>
      <c r="E38" s="10">
        <v>2.4</v>
      </c>
      <c r="F38" s="10">
        <v>1.8</v>
      </c>
      <c r="G38" s="10">
        <v>1.7</v>
      </c>
      <c r="H38" s="10">
        <v>0.83</v>
      </c>
      <c r="I38" s="10">
        <v>1.08</v>
      </c>
      <c r="J38" s="10">
        <v>0.4</v>
      </c>
      <c r="K38" s="28">
        <v>0.8</v>
      </c>
    </row>
    <row r="39" spans="1:12" x14ac:dyDescent="0.3">
      <c r="A39" s="1">
        <v>27</v>
      </c>
      <c r="B39" s="27" t="s">
        <v>899</v>
      </c>
      <c r="C39" s="3" t="s">
        <v>878</v>
      </c>
      <c r="D39" s="10">
        <v>6.07</v>
      </c>
      <c r="E39" s="10">
        <v>20.2</v>
      </c>
      <c r="F39" s="10">
        <v>9</v>
      </c>
      <c r="G39" s="10">
        <v>9</v>
      </c>
      <c r="H39" s="10">
        <v>20</v>
      </c>
      <c r="I39" s="10">
        <v>9</v>
      </c>
      <c r="J39" s="10">
        <v>9</v>
      </c>
      <c r="K39" s="28">
        <v>7</v>
      </c>
    </row>
    <row r="40" spans="1:12" x14ac:dyDescent="0.3">
      <c r="A40" s="1">
        <v>28</v>
      </c>
      <c r="B40" s="27" t="s">
        <v>900</v>
      </c>
      <c r="C40" s="3" t="s">
        <v>878</v>
      </c>
      <c r="D40" s="10">
        <v>26.67</v>
      </c>
      <c r="E40" s="10">
        <v>3.25</v>
      </c>
      <c r="F40" s="10">
        <v>4.5</v>
      </c>
      <c r="G40" s="10">
        <v>5.5</v>
      </c>
      <c r="H40" s="10">
        <v>3.43</v>
      </c>
      <c r="I40" s="10">
        <v>18.5</v>
      </c>
      <c r="J40" s="10">
        <v>21.4</v>
      </c>
      <c r="K40" s="28">
        <v>19.100000000000001</v>
      </c>
    </row>
    <row r="41" spans="1:12" x14ac:dyDescent="0.3">
      <c r="A41" s="1">
        <v>29</v>
      </c>
      <c r="B41" s="27" t="s">
        <v>901</v>
      </c>
      <c r="C41" s="3" t="s">
        <v>878</v>
      </c>
      <c r="D41" s="10">
        <v>5.3</v>
      </c>
      <c r="E41" s="10">
        <v>2.65</v>
      </c>
      <c r="F41" s="10">
        <v>2</v>
      </c>
      <c r="G41" s="10">
        <v>1</v>
      </c>
      <c r="H41" s="10">
        <v>3.07</v>
      </c>
      <c r="I41" s="10">
        <v>2.4</v>
      </c>
      <c r="J41" s="10">
        <v>10.5</v>
      </c>
      <c r="K41" s="28">
        <v>3.1</v>
      </c>
    </row>
    <row r="42" spans="1:12" x14ac:dyDescent="0.3">
      <c r="A42" s="1">
        <v>30</v>
      </c>
      <c r="B42" s="27" t="s">
        <v>902</v>
      </c>
      <c r="C42" s="3" t="s">
        <v>878</v>
      </c>
      <c r="D42" s="10">
        <v>1.68</v>
      </c>
      <c r="E42" s="10">
        <v>0.9</v>
      </c>
      <c r="F42" s="10">
        <v>0.4</v>
      </c>
      <c r="G42" s="10">
        <v>0.4</v>
      </c>
      <c r="H42" s="10">
        <v>0.6</v>
      </c>
      <c r="I42" s="10">
        <v>2.8</v>
      </c>
      <c r="J42" s="10">
        <v>4.4000000000000004</v>
      </c>
      <c r="K42" s="28">
        <v>0.3</v>
      </c>
    </row>
    <row r="43" spans="1:12" x14ac:dyDescent="0.3">
      <c r="A43" s="1">
        <v>31</v>
      </c>
      <c r="B43" s="27" t="s">
        <v>903</v>
      </c>
      <c r="C43" s="3" t="s">
        <v>878</v>
      </c>
      <c r="D43" s="10">
        <v>2.87</v>
      </c>
      <c r="E43" s="10">
        <v>0.3</v>
      </c>
      <c r="F43" s="10">
        <v>0.2</v>
      </c>
      <c r="G43" s="10">
        <v>0.9</v>
      </c>
      <c r="H43" s="10">
        <v>0.37</v>
      </c>
      <c r="I43" s="10">
        <v>0.45</v>
      </c>
      <c r="J43" s="10">
        <v>0.49</v>
      </c>
      <c r="K43" s="28">
        <v>1.2</v>
      </c>
    </row>
    <row r="44" spans="1:12" x14ac:dyDescent="0.3">
      <c r="A44" s="1">
        <v>32</v>
      </c>
      <c r="B44" s="27" t="s">
        <v>904</v>
      </c>
      <c r="C44" s="3" t="s">
        <v>878</v>
      </c>
      <c r="D44" s="10">
        <v>0.97</v>
      </c>
      <c r="E44" s="10">
        <v>0</v>
      </c>
      <c r="F44" s="10">
        <v>0.16</v>
      </c>
      <c r="G44" s="10">
        <v>0.6</v>
      </c>
      <c r="H44" s="10">
        <v>0.17</v>
      </c>
      <c r="I44" s="10">
        <v>0.42</v>
      </c>
      <c r="J44" s="10">
        <v>0</v>
      </c>
      <c r="K44" s="28">
        <v>7.0000000000000007E-2</v>
      </c>
    </row>
    <row r="45" spans="1:12" x14ac:dyDescent="0.3">
      <c r="A45" s="1">
        <v>33</v>
      </c>
      <c r="B45" s="27" t="s">
        <v>905</v>
      </c>
      <c r="C45" s="3" t="s">
        <v>878</v>
      </c>
      <c r="D45" s="10">
        <v>1.56</v>
      </c>
      <c r="E45" s="10">
        <v>1.38</v>
      </c>
      <c r="F45" s="10">
        <v>0.59</v>
      </c>
      <c r="G45" s="10">
        <v>1.22</v>
      </c>
      <c r="H45" s="10">
        <v>1.22</v>
      </c>
      <c r="I45" s="10">
        <v>18.850000000000001</v>
      </c>
      <c r="J45" s="10">
        <v>14.01</v>
      </c>
      <c r="K45" s="28">
        <v>5.0999999999999996</v>
      </c>
    </row>
    <row r="46" spans="1:12" x14ac:dyDescent="0.3">
      <c r="A46" s="1">
        <v>34</v>
      </c>
      <c r="B46" s="27" t="s">
        <v>906</v>
      </c>
      <c r="C46" s="3" t="s">
        <v>878</v>
      </c>
      <c r="D46" s="11">
        <v>1</v>
      </c>
      <c r="E46" s="11">
        <v>1</v>
      </c>
      <c r="F46" s="11">
        <v>0</v>
      </c>
      <c r="G46" s="11">
        <v>0</v>
      </c>
      <c r="H46" s="11">
        <v>0.43</v>
      </c>
      <c r="I46" s="11">
        <v>0.5</v>
      </c>
      <c r="J46" s="11">
        <v>0</v>
      </c>
      <c r="K46" s="29">
        <v>0.93</v>
      </c>
      <c r="L46" s="375"/>
    </row>
    <row r="47" spans="1:12" x14ac:dyDescent="0.3">
      <c r="A47" s="1">
        <v>35</v>
      </c>
      <c r="B47" s="22" t="s">
        <v>626</v>
      </c>
      <c r="C47" s="3" t="s">
        <v>878</v>
      </c>
      <c r="D47" s="9">
        <f t="shared" ref="D47:I47" si="4">SUM(D36:D46)</f>
        <v>100.00000000000001</v>
      </c>
      <c r="E47" s="9">
        <f t="shared" si="4"/>
        <v>100.00000000000001</v>
      </c>
      <c r="F47" s="9">
        <f t="shared" si="4"/>
        <v>100</v>
      </c>
      <c r="G47" s="9">
        <f t="shared" si="4"/>
        <v>100.00000000000001</v>
      </c>
      <c r="H47" s="9">
        <f t="shared" si="4"/>
        <v>100</v>
      </c>
      <c r="I47" s="9">
        <f t="shared" si="4"/>
        <v>100</v>
      </c>
      <c r="J47" s="9">
        <f>SUM(J36:J46)</f>
        <v>100</v>
      </c>
      <c r="K47" s="25">
        <f>SUM(K36:K46)</f>
        <v>99.999999999999972</v>
      </c>
    </row>
    <row r="48" spans="1:12" ht="13.5" thickBot="1" x14ac:dyDescent="0.35">
      <c r="A48" s="1">
        <v>36</v>
      </c>
      <c r="B48" s="32"/>
      <c r="C48" s="33"/>
      <c r="D48" s="104"/>
      <c r="E48" s="104"/>
      <c r="F48" s="104"/>
      <c r="G48" s="104"/>
      <c r="H48" s="104"/>
      <c r="I48" s="104"/>
      <c r="J48" s="105"/>
      <c r="K48" s="106"/>
    </row>
    <row r="49" spans="2:11" x14ac:dyDescent="0.3">
      <c r="B49" s="113"/>
      <c r="C49" s="3"/>
      <c r="D49" s="145"/>
      <c r="E49" s="145"/>
      <c r="F49" s="145"/>
      <c r="G49" s="145"/>
      <c r="H49" s="145"/>
      <c r="I49" s="145"/>
      <c r="J49" s="146"/>
      <c r="K49" s="146"/>
    </row>
    <row r="50" spans="2:11" ht="13.5" thickBot="1" x14ac:dyDescent="0.35">
      <c r="B50" s="113"/>
      <c r="C50" s="3"/>
      <c r="D50" s="145"/>
      <c r="E50" s="145"/>
      <c r="F50" s="145"/>
      <c r="G50" s="145"/>
      <c r="H50" s="145"/>
      <c r="I50" s="145"/>
      <c r="J50" s="146"/>
      <c r="K50" s="146"/>
    </row>
    <row r="51" spans="2:11" x14ac:dyDescent="0.3">
      <c r="B51" s="34" t="s">
        <v>907</v>
      </c>
      <c r="C51" s="147"/>
      <c r="D51" s="148"/>
      <c r="E51" s="145"/>
      <c r="F51" s="145"/>
      <c r="G51" s="145"/>
      <c r="H51" s="145"/>
      <c r="I51" s="145"/>
      <c r="J51" s="146"/>
      <c r="K51" s="146"/>
    </row>
    <row r="52" spans="2:11" x14ac:dyDescent="0.3">
      <c r="B52" s="22"/>
      <c r="C52" s="3"/>
      <c r="D52" s="149"/>
      <c r="E52" s="145"/>
      <c r="F52" s="145"/>
      <c r="G52" s="145"/>
      <c r="H52" s="145"/>
      <c r="I52" s="145"/>
      <c r="J52" s="146"/>
      <c r="K52" s="146"/>
    </row>
    <row r="53" spans="2:11" x14ac:dyDescent="0.3">
      <c r="B53" s="22" t="s">
        <v>908</v>
      </c>
      <c r="C53" s="3" t="s">
        <v>878</v>
      </c>
      <c r="D53" s="150">
        <v>95.3</v>
      </c>
      <c r="E53" s="145"/>
      <c r="F53" s="145"/>
      <c r="G53" s="145"/>
      <c r="H53" s="145"/>
      <c r="I53" s="145"/>
      <c r="J53" s="146"/>
      <c r="K53" s="146"/>
    </row>
    <row r="54" spans="2:11" x14ac:dyDescent="0.3">
      <c r="B54" s="22" t="s">
        <v>909</v>
      </c>
      <c r="C54" s="3" t="s">
        <v>878</v>
      </c>
      <c r="D54" s="151"/>
      <c r="E54" s="145"/>
      <c r="F54" s="145"/>
      <c r="G54" s="145"/>
      <c r="H54" s="145"/>
      <c r="I54" s="145"/>
      <c r="J54" s="146"/>
      <c r="K54" s="146"/>
    </row>
    <row r="55" spans="2:11" x14ac:dyDescent="0.3">
      <c r="B55" s="22" t="s">
        <v>910</v>
      </c>
      <c r="C55" s="3" t="s">
        <v>878</v>
      </c>
      <c r="D55" s="151"/>
      <c r="E55" s="145"/>
      <c r="F55" s="145"/>
      <c r="G55" s="145"/>
      <c r="H55" s="145"/>
      <c r="I55" s="145"/>
      <c r="J55" s="146"/>
      <c r="K55" s="146"/>
    </row>
    <row r="56" spans="2:11" x14ac:dyDescent="0.3">
      <c r="B56" s="22" t="s">
        <v>911</v>
      </c>
      <c r="C56" s="3" t="s">
        <v>878</v>
      </c>
      <c r="D56" s="150">
        <v>0</v>
      </c>
      <c r="E56" s="145"/>
      <c r="F56" s="145"/>
      <c r="G56" s="145"/>
      <c r="H56" s="145"/>
      <c r="I56" s="145"/>
      <c r="J56" s="146"/>
      <c r="K56" s="146"/>
    </row>
    <row r="57" spans="2:11" x14ac:dyDescent="0.3">
      <c r="B57" s="22" t="s">
        <v>912</v>
      </c>
      <c r="C57" s="3" t="s">
        <v>878</v>
      </c>
      <c r="D57" s="150">
        <v>1.32</v>
      </c>
      <c r="E57" s="145"/>
      <c r="F57" s="145"/>
      <c r="G57" s="145"/>
      <c r="H57" s="145"/>
      <c r="I57" s="145"/>
      <c r="J57" s="146"/>
      <c r="K57" s="146"/>
    </row>
    <row r="58" spans="2:11" x14ac:dyDescent="0.3">
      <c r="B58" s="22" t="s">
        <v>913</v>
      </c>
      <c r="C58" s="3" t="s">
        <v>878</v>
      </c>
      <c r="D58" s="151"/>
      <c r="E58" s="145"/>
      <c r="F58" s="145"/>
      <c r="G58" s="145"/>
      <c r="H58" s="145"/>
      <c r="I58" s="145"/>
      <c r="J58" s="146"/>
      <c r="K58" s="146"/>
    </row>
    <row r="59" spans="2:11" x14ac:dyDescent="0.3">
      <c r="B59" s="22" t="s">
        <v>914</v>
      </c>
      <c r="C59" s="3" t="s">
        <v>878</v>
      </c>
      <c r="D59" s="151"/>
      <c r="E59" s="145"/>
      <c r="F59" s="145"/>
      <c r="G59" s="145"/>
      <c r="H59" s="145"/>
      <c r="I59" s="145"/>
      <c r="J59" s="146"/>
      <c r="K59" s="146"/>
    </row>
    <row r="60" spans="2:11" x14ac:dyDescent="0.3">
      <c r="B60" s="17"/>
      <c r="C60" s="3"/>
      <c r="D60" s="151"/>
      <c r="E60" s="145"/>
      <c r="F60" s="145"/>
      <c r="G60" s="145"/>
      <c r="H60" s="145"/>
      <c r="I60" s="145"/>
      <c r="J60" s="146"/>
      <c r="K60" s="146"/>
    </row>
    <row r="61" spans="2:11" x14ac:dyDescent="0.3">
      <c r="B61" s="22" t="s">
        <v>915</v>
      </c>
      <c r="C61" s="3" t="s">
        <v>878</v>
      </c>
      <c r="D61" s="150">
        <v>0.77</v>
      </c>
      <c r="E61" s="145"/>
      <c r="F61" s="145"/>
      <c r="G61" s="145"/>
      <c r="H61" s="145"/>
      <c r="I61" s="145"/>
      <c r="J61" s="146"/>
      <c r="K61" s="146"/>
    </row>
    <row r="62" spans="2:11" x14ac:dyDescent="0.3">
      <c r="B62" s="22" t="s">
        <v>916</v>
      </c>
      <c r="C62" s="3" t="s">
        <v>878</v>
      </c>
      <c r="D62" s="150">
        <v>0.25</v>
      </c>
      <c r="E62" s="145"/>
      <c r="F62" s="145"/>
      <c r="G62" s="145"/>
      <c r="H62" s="145"/>
      <c r="I62" s="145"/>
      <c r="J62" s="146"/>
      <c r="K62" s="146"/>
    </row>
    <row r="63" spans="2:11" x14ac:dyDescent="0.3">
      <c r="B63" s="22" t="s">
        <v>917</v>
      </c>
      <c r="C63" s="3" t="s">
        <v>878</v>
      </c>
      <c r="D63" s="150">
        <v>0.09</v>
      </c>
      <c r="E63" s="145"/>
      <c r="F63" s="145"/>
      <c r="G63" s="145"/>
      <c r="H63" s="145"/>
      <c r="I63" s="145"/>
      <c r="J63" s="146"/>
      <c r="K63" s="146"/>
    </row>
    <row r="64" spans="2:11" x14ac:dyDescent="0.3">
      <c r="B64" s="22" t="s">
        <v>918</v>
      </c>
      <c r="C64" s="3" t="s">
        <v>878</v>
      </c>
      <c r="D64" s="152">
        <v>0.03</v>
      </c>
      <c r="E64" s="145"/>
      <c r="F64" s="145"/>
      <c r="G64" s="145"/>
      <c r="H64" s="145"/>
      <c r="I64" s="145"/>
      <c r="J64" s="146"/>
      <c r="K64" s="146"/>
    </row>
    <row r="65" spans="2:11" x14ac:dyDescent="0.3">
      <c r="B65" s="22" t="s">
        <v>919</v>
      </c>
      <c r="C65" s="3" t="s">
        <v>878</v>
      </c>
      <c r="D65" s="152">
        <v>0.06</v>
      </c>
      <c r="E65" s="145"/>
      <c r="F65" s="145"/>
      <c r="G65" s="145"/>
      <c r="H65" s="145"/>
      <c r="I65" s="145"/>
      <c r="J65" s="146"/>
      <c r="K65" s="146"/>
    </row>
    <row r="66" spans="2:11" x14ac:dyDescent="0.3">
      <c r="B66" s="22" t="s">
        <v>920</v>
      </c>
      <c r="C66" s="3" t="s">
        <v>878</v>
      </c>
      <c r="D66" s="151"/>
      <c r="E66" s="145"/>
      <c r="F66" s="145"/>
      <c r="G66" s="145"/>
      <c r="H66" s="145"/>
      <c r="I66" s="145"/>
      <c r="J66" s="146"/>
      <c r="K66" s="146"/>
    </row>
    <row r="67" spans="2:11" x14ac:dyDescent="0.3">
      <c r="B67" s="22" t="s">
        <v>921</v>
      </c>
      <c r="C67" s="3" t="s">
        <v>878</v>
      </c>
      <c r="D67" s="151"/>
      <c r="E67" s="145"/>
      <c r="F67" s="145"/>
      <c r="G67" s="145"/>
      <c r="H67" s="145"/>
      <c r="I67" s="145"/>
      <c r="J67" s="146"/>
      <c r="K67" s="146"/>
    </row>
    <row r="68" spans="2:11" x14ac:dyDescent="0.3">
      <c r="B68" s="22" t="s">
        <v>922</v>
      </c>
      <c r="C68" s="3" t="s">
        <v>878</v>
      </c>
      <c r="D68" s="151"/>
      <c r="E68" s="145"/>
      <c r="F68" s="145"/>
      <c r="G68" s="145"/>
      <c r="H68" s="145"/>
      <c r="I68" s="145"/>
      <c r="J68" s="146"/>
      <c r="K68" s="146"/>
    </row>
    <row r="69" spans="2:11" x14ac:dyDescent="0.3">
      <c r="B69" s="22" t="s">
        <v>923</v>
      </c>
      <c r="C69" s="3" t="s">
        <v>878</v>
      </c>
      <c r="D69" s="151"/>
      <c r="E69" s="145"/>
      <c r="F69" s="145"/>
      <c r="G69" s="145"/>
      <c r="H69" s="145"/>
      <c r="I69" s="145"/>
      <c r="J69" s="146"/>
      <c r="K69" s="146"/>
    </row>
    <row r="70" spans="2:11" x14ac:dyDescent="0.3">
      <c r="B70" s="22" t="s">
        <v>924</v>
      </c>
      <c r="C70" s="3" t="s">
        <v>878</v>
      </c>
      <c r="D70" s="151"/>
      <c r="E70" s="145"/>
      <c r="F70" s="145"/>
      <c r="G70" s="145"/>
      <c r="H70" s="145"/>
      <c r="I70" s="145"/>
      <c r="J70" s="146"/>
      <c r="K70" s="146"/>
    </row>
    <row r="71" spans="2:11" x14ac:dyDescent="0.3">
      <c r="B71" s="22" t="s">
        <v>925</v>
      </c>
      <c r="C71" s="3" t="s">
        <v>878</v>
      </c>
      <c r="D71" s="152">
        <v>2.1800000000000002</v>
      </c>
      <c r="E71" s="145"/>
      <c r="F71" s="145"/>
      <c r="G71" s="145"/>
      <c r="H71" s="145"/>
      <c r="I71" s="145"/>
      <c r="J71" s="146"/>
      <c r="K71" s="146"/>
    </row>
    <row r="72" spans="2:11" x14ac:dyDescent="0.3">
      <c r="B72" s="17"/>
      <c r="C72" s="3"/>
      <c r="D72" s="151"/>
      <c r="E72" s="145"/>
      <c r="F72" s="145"/>
      <c r="G72" s="145"/>
      <c r="H72" s="145"/>
      <c r="I72" s="145"/>
      <c r="J72" s="146"/>
      <c r="K72" s="146"/>
    </row>
    <row r="73" spans="2:11" ht="13.5" thickBot="1" x14ac:dyDescent="0.35">
      <c r="B73" s="32" t="s">
        <v>926</v>
      </c>
      <c r="C73" s="33" t="s">
        <v>878</v>
      </c>
      <c r="D73" s="153">
        <f>SUM(D53:D71)</f>
        <v>100</v>
      </c>
      <c r="E73" s="145"/>
      <c r="F73" s="145"/>
      <c r="G73" s="145"/>
      <c r="H73" s="145"/>
      <c r="I73" s="145"/>
      <c r="J73" s="146"/>
      <c r="K73" s="146"/>
    </row>
    <row r="74" spans="2:11" x14ac:dyDescent="0.3">
      <c r="B74" s="113"/>
      <c r="C74" s="3"/>
      <c r="D74" s="214"/>
      <c r="E74" s="145"/>
      <c r="F74" s="145"/>
      <c r="G74" s="145"/>
      <c r="H74" s="145"/>
      <c r="I74" s="145"/>
      <c r="J74" s="146"/>
      <c r="K74" s="146"/>
    </row>
    <row r="75" spans="2:11" ht="13.5" thickBot="1" x14ac:dyDescent="0.35">
      <c r="B75" s="113"/>
      <c r="C75" s="3"/>
      <c r="D75" s="214"/>
      <c r="E75" s="145"/>
      <c r="F75" s="145"/>
      <c r="G75" s="145"/>
      <c r="H75" s="145"/>
      <c r="I75" s="145"/>
      <c r="J75" s="146"/>
      <c r="K75" s="146"/>
    </row>
    <row r="76" spans="2:11" x14ac:dyDescent="0.3">
      <c r="B76" s="34" t="s">
        <v>927</v>
      </c>
      <c r="C76" s="147"/>
      <c r="D76" s="148"/>
      <c r="E76" s="145"/>
      <c r="F76" s="145"/>
      <c r="G76" s="145"/>
      <c r="H76" s="145"/>
      <c r="I76" s="145"/>
      <c r="J76" s="146"/>
      <c r="K76" s="146"/>
    </row>
    <row r="77" spans="2:11" x14ac:dyDescent="0.3">
      <c r="B77" s="22"/>
      <c r="C77" s="3"/>
      <c r="D77" s="149"/>
      <c r="E77" s="145"/>
      <c r="F77" s="145"/>
      <c r="G77" s="145"/>
      <c r="H77" s="145"/>
      <c r="I77" s="145"/>
      <c r="J77" s="146"/>
      <c r="K77" s="146"/>
    </row>
    <row r="78" spans="2:11" x14ac:dyDescent="0.3">
      <c r="B78" s="22" t="s">
        <v>908</v>
      </c>
      <c r="C78" s="3" t="s">
        <v>878</v>
      </c>
      <c r="D78" s="150">
        <v>0</v>
      </c>
      <c r="E78" s="145"/>
      <c r="F78" s="145"/>
      <c r="G78" s="145"/>
      <c r="H78" s="145"/>
      <c r="I78" s="145"/>
      <c r="J78" s="146"/>
      <c r="K78" s="146"/>
    </row>
    <row r="79" spans="2:11" x14ac:dyDescent="0.3">
      <c r="B79" s="22" t="s">
        <v>909</v>
      </c>
      <c r="C79" s="3" t="s">
        <v>878</v>
      </c>
      <c r="D79" s="150">
        <v>90</v>
      </c>
      <c r="E79" s="145"/>
      <c r="F79" s="145"/>
      <c r="G79" s="145"/>
      <c r="H79" s="145"/>
      <c r="I79" s="145"/>
      <c r="J79" s="146"/>
      <c r="K79" s="146"/>
    </row>
    <row r="80" spans="2:11" x14ac:dyDescent="0.3">
      <c r="B80" s="22" t="s">
        <v>910</v>
      </c>
      <c r="C80" s="3" t="s">
        <v>878</v>
      </c>
      <c r="D80" s="151"/>
      <c r="E80" s="145"/>
      <c r="F80" s="145"/>
      <c r="G80" s="145"/>
      <c r="H80" s="145"/>
      <c r="I80" s="145"/>
      <c r="J80" s="146"/>
      <c r="K80" s="146"/>
    </row>
    <row r="81" spans="2:11" x14ac:dyDescent="0.3">
      <c r="B81" s="22" t="s">
        <v>911</v>
      </c>
      <c r="C81" s="3" t="s">
        <v>878</v>
      </c>
      <c r="D81" s="150">
        <v>0</v>
      </c>
      <c r="E81" s="145"/>
      <c r="F81" s="145"/>
      <c r="G81" s="145"/>
      <c r="H81" s="145"/>
      <c r="I81" s="145"/>
      <c r="J81" s="146"/>
      <c r="K81" s="146"/>
    </row>
    <row r="82" spans="2:11" x14ac:dyDescent="0.3">
      <c r="B82" s="22" t="s">
        <v>912</v>
      </c>
      <c r="C82" s="3" t="s">
        <v>878</v>
      </c>
      <c r="D82" s="150">
        <v>0</v>
      </c>
      <c r="E82" s="145"/>
      <c r="F82" s="145"/>
      <c r="G82" s="145"/>
      <c r="H82" s="145"/>
      <c r="I82" s="145"/>
      <c r="J82" s="146"/>
      <c r="K82" s="146"/>
    </row>
    <row r="83" spans="2:11" x14ac:dyDescent="0.3">
      <c r="B83" s="22" t="s">
        <v>913</v>
      </c>
      <c r="C83" s="3" t="s">
        <v>878</v>
      </c>
      <c r="D83" s="150">
        <v>5</v>
      </c>
      <c r="E83" s="145"/>
      <c r="F83" s="145"/>
      <c r="G83" s="145"/>
      <c r="H83" s="145"/>
      <c r="I83" s="145"/>
      <c r="J83" s="146"/>
      <c r="K83" s="146"/>
    </row>
    <row r="84" spans="2:11" x14ac:dyDescent="0.3">
      <c r="B84" s="22" t="s">
        <v>914</v>
      </c>
      <c r="C84" s="3" t="s">
        <v>878</v>
      </c>
      <c r="D84" s="151"/>
      <c r="E84" s="145"/>
      <c r="F84" s="145"/>
      <c r="G84" s="145"/>
      <c r="H84" s="145"/>
      <c r="I84" s="145"/>
      <c r="J84" s="146"/>
      <c r="K84" s="146"/>
    </row>
    <row r="85" spans="2:11" x14ac:dyDescent="0.3">
      <c r="B85" s="17"/>
      <c r="C85" s="3"/>
      <c r="D85" s="151"/>
      <c r="E85" s="145"/>
      <c r="F85" s="145"/>
      <c r="G85" s="145"/>
      <c r="H85" s="145"/>
      <c r="I85" s="145"/>
      <c r="J85" s="146"/>
      <c r="K85" s="146"/>
    </row>
    <row r="86" spans="2:11" x14ac:dyDescent="0.3">
      <c r="B86" s="22" t="s">
        <v>915</v>
      </c>
      <c r="C86" s="3" t="s">
        <v>878</v>
      </c>
      <c r="D86" s="150">
        <v>1.26</v>
      </c>
      <c r="E86" s="145"/>
      <c r="F86" s="145"/>
      <c r="G86" s="145"/>
      <c r="H86" s="145"/>
      <c r="I86" s="145"/>
      <c r="J86" s="146"/>
      <c r="K86" s="146"/>
    </row>
    <row r="87" spans="2:11" x14ac:dyDescent="0.3">
      <c r="B87" s="22" t="s">
        <v>916</v>
      </c>
      <c r="C87" s="3" t="s">
        <v>878</v>
      </c>
      <c r="D87" s="150">
        <v>3</v>
      </c>
      <c r="E87" s="145"/>
      <c r="F87" s="145"/>
      <c r="G87" s="145"/>
      <c r="H87" s="145"/>
      <c r="I87" s="145"/>
      <c r="J87" s="146"/>
      <c r="K87" s="146"/>
    </row>
    <row r="88" spans="2:11" x14ac:dyDescent="0.3">
      <c r="B88" s="22" t="s">
        <v>917</v>
      </c>
      <c r="C88" s="3" t="s">
        <v>878</v>
      </c>
      <c r="D88" s="150">
        <v>0.2</v>
      </c>
      <c r="E88" s="145"/>
      <c r="F88" s="145"/>
      <c r="G88" s="145"/>
      <c r="H88" s="145"/>
      <c r="I88" s="145"/>
      <c r="J88" s="146"/>
      <c r="K88" s="146"/>
    </row>
    <row r="89" spans="2:11" x14ac:dyDescent="0.3">
      <c r="B89" s="22" t="s">
        <v>918</v>
      </c>
      <c r="C89" s="3" t="s">
        <v>878</v>
      </c>
      <c r="D89" s="152">
        <v>0.1</v>
      </c>
      <c r="E89" s="145"/>
      <c r="F89" s="145"/>
      <c r="G89" s="145"/>
      <c r="H89" s="145"/>
      <c r="I89" s="145"/>
      <c r="J89" s="146"/>
      <c r="K89" s="146"/>
    </row>
    <row r="90" spans="2:11" x14ac:dyDescent="0.3">
      <c r="B90" s="22" t="s">
        <v>919</v>
      </c>
      <c r="C90" s="3" t="s">
        <v>878</v>
      </c>
      <c r="D90" s="152">
        <v>0.02</v>
      </c>
      <c r="E90" s="145"/>
      <c r="F90" s="145"/>
      <c r="G90" s="145"/>
      <c r="H90" s="145"/>
      <c r="I90" s="145"/>
      <c r="J90" s="146"/>
      <c r="K90" s="146"/>
    </row>
    <row r="91" spans="2:11" x14ac:dyDescent="0.3">
      <c r="B91" s="22" t="s">
        <v>920</v>
      </c>
      <c r="C91" s="3" t="s">
        <v>878</v>
      </c>
      <c r="D91" s="151"/>
      <c r="E91" s="145"/>
      <c r="F91" s="145"/>
      <c r="G91" s="145"/>
      <c r="H91" s="145"/>
      <c r="I91" s="145"/>
      <c r="J91" s="146"/>
      <c r="K91" s="146"/>
    </row>
    <row r="92" spans="2:11" x14ac:dyDescent="0.3">
      <c r="B92" s="22" t="s">
        <v>921</v>
      </c>
      <c r="C92" s="3" t="s">
        <v>878</v>
      </c>
      <c r="D92" s="151"/>
      <c r="E92" s="145"/>
      <c r="F92" s="145"/>
      <c r="G92" s="145"/>
      <c r="H92" s="145"/>
      <c r="I92" s="145"/>
      <c r="J92" s="146"/>
      <c r="K92" s="146"/>
    </row>
    <row r="93" spans="2:11" x14ac:dyDescent="0.3">
      <c r="B93" s="22" t="s">
        <v>922</v>
      </c>
      <c r="C93" s="3" t="s">
        <v>878</v>
      </c>
      <c r="D93" s="151"/>
      <c r="E93" s="145"/>
      <c r="F93" s="145"/>
      <c r="G93" s="145"/>
      <c r="H93" s="145"/>
      <c r="I93" s="145"/>
      <c r="J93" s="146"/>
      <c r="K93" s="146"/>
    </row>
    <row r="94" spans="2:11" x14ac:dyDescent="0.3">
      <c r="B94" s="22" t="s">
        <v>923</v>
      </c>
      <c r="C94" s="3" t="s">
        <v>878</v>
      </c>
      <c r="D94" s="151"/>
      <c r="E94" s="145"/>
      <c r="F94" s="145"/>
      <c r="G94" s="145"/>
      <c r="H94" s="145"/>
      <c r="I94" s="145"/>
      <c r="J94" s="146"/>
      <c r="K94" s="146"/>
    </row>
    <row r="95" spans="2:11" x14ac:dyDescent="0.3">
      <c r="B95" s="22" t="s">
        <v>924</v>
      </c>
      <c r="C95" s="3" t="s">
        <v>878</v>
      </c>
      <c r="D95" s="151"/>
      <c r="E95" s="145"/>
      <c r="F95" s="145"/>
      <c r="G95" s="145"/>
      <c r="H95" s="145"/>
      <c r="I95" s="145"/>
      <c r="J95" s="146"/>
      <c r="K95" s="146"/>
    </row>
    <row r="96" spans="2:11" x14ac:dyDescent="0.3">
      <c r="B96" s="22" t="s">
        <v>925</v>
      </c>
      <c r="C96" s="3" t="s">
        <v>878</v>
      </c>
      <c r="D96" s="152">
        <v>0.42</v>
      </c>
      <c r="E96" s="145"/>
      <c r="F96" s="145"/>
      <c r="G96" s="145"/>
      <c r="H96" s="145"/>
      <c r="I96" s="145"/>
      <c r="J96" s="146"/>
      <c r="K96" s="146"/>
    </row>
    <row r="97" spans="2:11" x14ac:dyDescent="0.3">
      <c r="B97" s="17"/>
      <c r="C97" s="3"/>
      <c r="D97" s="151"/>
      <c r="E97" s="145"/>
      <c r="F97" s="145"/>
      <c r="G97" s="145"/>
      <c r="H97" s="145"/>
      <c r="I97" s="145"/>
      <c r="J97" s="146"/>
      <c r="K97" s="146"/>
    </row>
    <row r="98" spans="2:11" ht="13.5" thickBot="1" x14ac:dyDescent="0.35">
      <c r="B98" s="32" t="s">
        <v>926</v>
      </c>
      <c r="C98" s="33" t="s">
        <v>878</v>
      </c>
      <c r="D98" s="153">
        <f>SUM(D78:D96)</f>
        <v>100</v>
      </c>
      <c r="E98" s="145"/>
      <c r="F98" s="145"/>
      <c r="G98" s="145"/>
      <c r="H98" s="145"/>
      <c r="I98" s="145"/>
      <c r="J98" s="146"/>
      <c r="K98" s="146"/>
    </row>
    <row r="99" spans="2:11" x14ac:dyDescent="0.3">
      <c r="B99" s="113"/>
      <c r="C99" s="3"/>
      <c r="D99" s="214"/>
      <c r="E99" s="145"/>
      <c r="F99" s="145"/>
      <c r="G99" s="145"/>
      <c r="H99" s="145"/>
      <c r="I99" s="145"/>
      <c r="J99" s="146"/>
      <c r="K99" s="146"/>
    </row>
    <row r="100" spans="2:11" ht="13.5" thickBot="1" x14ac:dyDescent="0.35">
      <c r="B100" s="113"/>
      <c r="C100" s="3"/>
      <c r="D100" s="214"/>
      <c r="E100" s="145"/>
      <c r="F100" s="145"/>
      <c r="G100" s="145"/>
      <c r="H100" s="145"/>
      <c r="I100" s="145"/>
      <c r="J100" s="146"/>
      <c r="K100" s="146"/>
    </row>
    <row r="101" spans="2:11" x14ac:dyDescent="0.3">
      <c r="B101" s="34" t="s">
        <v>928</v>
      </c>
      <c r="C101" s="222" t="s">
        <v>929</v>
      </c>
      <c r="D101" s="225" t="s">
        <v>930</v>
      </c>
      <c r="E101" s="145"/>
      <c r="F101" s="145"/>
      <c r="G101" s="145"/>
      <c r="H101" s="145"/>
      <c r="I101" s="145"/>
      <c r="J101" s="146"/>
      <c r="K101" s="146"/>
    </row>
    <row r="102" spans="2:11" x14ac:dyDescent="0.3">
      <c r="B102" s="22"/>
      <c r="C102" s="221">
        <v>0</v>
      </c>
      <c r="D102" s="223">
        <v>30</v>
      </c>
      <c r="E102" s="145"/>
      <c r="F102" s="145"/>
      <c r="G102" s="145"/>
      <c r="H102" s="145"/>
      <c r="I102" s="145"/>
      <c r="J102" s="146"/>
      <c r="K102" s="146"/>
    </row>
    <row r="103" spans="2:11" x14ac:dyDescent="0.3">
      <c r="B103" s="22"/>
      <c r="C103" s="221">
        <v>0.48010000000000003</v>
      </c>
      <c r="D103" s="223">
        <v>28.5</v>
      </c>
      <c r="E103" s="145"/>
      <c r="F103" s="145"/>
      <c r="G103" s="145"/>
      <c r="H103" s="145"/>
      <c r="I103" s="145"/>
      <c r="J103" s="146"/>
      <c r="K103" s="146"/>
    </row>
    <row r="104" spans="2:11" x14ac:dyDescent="0.3">
      <c r="B104" s="22"/>
      <c r="C104" s="221">
        <v>0.50009999999999999</v>
      </c>
      <c r="D104" s="223">
        <v>23.5</v>
      </c>
      <c r="E104" s="145"/>
      <c r="F104" s="145"/>
      <c r="G104" s="145"/>
      <c r="H104" s="145"/>
      <c r="I104" s="145"/>
      <c r="J104" s="146"/>
      <c r="K104" s="146"/>
    </row>
    <row r="105" spans="2:11" x14ac:dyDescent="0.3">
      <c r="B105" s="22"/>
      <c r="C105" s="221">
        <v>0.55010000000000003</v>
      </c>
      <c r="D105" s="223">
        <v>19.5</v>
      </c>
      <c r="E105" s="145"/>
      <c r="F105" s="145"/>
      <c r="G105" s="145"/>
      <c r="H105" s="145"/>
      <c r="I105" s="145"/>
      <c r="J105" s="146"/>
      <c r="K105" s="146"/>
    </row>
    <row r="106" spans="2:11" x14ac:dyDescent="0.3">
      <c r="B106" s="22"/>
      <c r="C106" s="221">
        <v>0.60009999999999997</v>
      </c>
      <c r="D106" s="223">
        <v>16.5</v>
      </c>
      <c r="E106" s="145"/>
      <c r="F106" s="145"/>
      <c r="G106" s="145"/>
      <c r="H106" s="145"/>
      <c r="I106" s="145"/>
      <c r="J106" s="146"/>
      <c r="K106" s="146"/>
    </row>
    <row r="107" spans="2:11" x14ac:dyDescent="0.3">
      <c r="B107" s="22"/>
      <c r="C107" s="221">
        <v>0.65010000000000001</v>
      </c>
      <c r="D107" s="223">
        <v>14.5</v>
      </c>
      <c r="E107" s="145"/>
      <c r="F107" s="145"/>
      <c r="G107" s="145"/>
      <c r="H107" s="145"/>
      <c r="I107" s="145"/>
      <c r="J107" s="146"/>
      <c r="K107" s="146"/>
    </row>
    <row r="108" spans="2:11" x14ac:dyDescent="0.3">
      <c r="B108" s="22"/>
      <c r="C108" s="221">
        <v>0.70009999999999994</v>
      </c>
      <c r="D108" s="223">
        <v>12.5</v>
      </c>
      <c r="E108" s="145"/>
      <c r="F108" s="145"/>
      <c r="G108" s="145"/>
      <c r="H108" s="145"/>
      <c r="I108" s="145"/>
      <c r="J108" s="146"/>
      <c r="K108" s="146"/>
    </row>
    <row r="109" spans="2:11" x14ac:dyDescent="0.3">
      <c r="B109" s="22"/>
      <c r="C109" s="221">
        <v>0.75009999999999999</v>
      </c>
      <c r="D109" s="223">
        <v>11.25</v>
      </c>
      <c r="E109" s="145"/>
      <c r="F109" s="145"/>
      <c r="G109" s="145"/>
      <c r="H109" s="145"/>
      <c r="I109" s="145"/>
      <c r="J109" s="146"/>
      <c r="K109" s="146"/>
    </row>
    <row r="110" spans="2:11" x14ac:dyDescent="0.3">
      <c r="B110" s="22"/>
      <c r="C110" s="221">
        <v>0.80010000000000003</v>
      </c>
      <c r="D110" s="223">
        <v>10</v>
      </c>
      <c r="E110" s="145"/>
      <c r="F110" s="145"/>
      <c r="G110" s="145"/>
      <c r="H110" s="145"/>
      <c r="I110" s="145"/>
      <c r="J110" s="146"/>
      <c r="K110" s="146"/>
    </row>
    <row r="111" spans="2:11" x14ac:dyDescent="0.3">
      <c r="B111" s="22"/>
      <c r="C111" s="221">
        <v>0.85009999999999997</v>
      </c>
      <c r="D111" s="223">
        <v>9</v>
      </c>
      <c r="E111" s="145"/>
      <c r="F111" s="145"/>
      <c r="G111" s="145"/>
      <c r="H111" s="145"/>
      <c r="I111" s="145"/>
      <c r="J111" s="146"/>
      <c r="K111" s="146"/>
    </row>
    <row r="112" spans="2:11" x14ac:dyDescent="0.3">
      <c r="B112" s="22"/>
      <c r="C112" s="221">
        <v>0.90010000000000001</v>
      </c>
      <c r="D112" s="223">
        <v>8.25</v>
      </c>
      <c r="E112" s="145"/>
      <c r="F112" s="145"/>
      <c r="G112" s="145"/>
      <c r="H112" s="145"/>
      <c r="I112" s="145"/>
      <c r="J112" s="146"/>
      <c r="K112" s="146"/>
    </row>
    <row r="113" spans="2:11" x14ac:dyDescent="0.3">
      <c r="B113" s="22"/>
      <c r="C113" s="221">
        <v>0.95009999999999994</v>
      </c>
      <c r="D113" s="223">
        <v>7.5</v>
      </c>
      <c r="E113" s="145"/>
      <c r="F113" s="145"/>
      <c r="G113" s="145"/>
      <c r="H113" s="145"/>
      <c r="I113" s="145"/>
      <c r="J113" s="146"/>
      <c r="K113" s="146"/>
    </row>
    <row r="114" spans="2:11" x14ac:dyDescent="0.3">
      <c r="B114" s="17"/>
      <c r="C114" s="221">
        <v>1.0001</v>
      </c>
      <c r="D114" s="223">
        <v>5.5</v>
      </c>
      <c r="E114" s="145"/>
      <c r="F114" s="145"/>
      <c r="G114" s="145"/>
      <c r="H114" s="145"/>
      <c r="I114" s="145"/>
      <c r="J114" s="146"/>
      <c r="K114" s="146"/>
    </row>
    <row r="115" spans="2:11" x14ac:dyDescent="0.3">
      <c r="B115" s="22"/>
      <c r="C115" s="221">
        <v>1.2000999999999999</v>
      </c>
      <c r="D115" s="223">
        <v>4.25</v>
      </c>
      <c r="E115" s="145"/>
      <c r="F115" s="145"/>
      <c r="G115" s="145"/>
      <c r="H115" s="145"/>
      <c r="I115" s="145"/>
      <c r="J115" s="146"/>
      <c r="K115" s="146"/>
    </row>
    <row r="116" spans="2:11" x14ac:dyDescent="0.3">
      <c r="B116" s="22"/>
      <c r="C116" s="221">
        <v>1.4000999999999999</v>
      </c>
      <c r="D116" s="223">
        <v>3.3</v>
      </c>
      <c r="E116" s="145"/>
      <c r="F116" s="145"/>
      <c r="G116" s="145"/>
      <c r="H116" s="145"/>
      <c r="I116" s="145"/>
      <c r="J116" s="146"/>
      <c r="K116" s="146"/>
    </row>
    <row r="117" spans="2:11" x14ac:dyDescent="0.3">
      <c r="B117" s="22"/>
      <c r="C117" s="221">
        <v>1.6001000000000001</v>
      </c>
      <c r="D117" s="223">
        <v>2.75</v>
      </c>
      <c r="E117" s="145"/>
      <c r="F117" s="145"/>
      <c r="G117" s="145"/>
      <c r="H117" s="145"/>
      <c r="I117" s="145"/>
      <c r="J117" s="146"/>
      <c r="K117" s="146"/>
    </row>
    <row r="118" spans="2:11" x14ac:dyDescent="0.3">
      <c r="B118" s="22"/>
      <c r="C118" s="221">
        <v>1.8001</v>
      </c>
      <c r="D118" s="223">
        <v>2.25</v>
      </c>
      <c r="E118" s="145"/>
      <c r="F118" s="145"/>
      <c r="G118" s="145"/>
      <c r="H118" s="145"/>
      <c r="I118" s="145"/>
      <c r="J118" s="146"/>
      <c r="K118" s="146"/>
    </row>
    <row r="119" spans="2:11" x14ac:dyDescent="0.3">
      <c r="B119" s="22"/>
      <c r="C119" s="221">
        <v>2.0001000000000002</v>
      </c>
      <c r="D119" s="223">
        <v>1.85</v>
      </c>
      <c r="E119" s="145"/>
      <c r="F119" s="145"/>
      <c r="G119" s="145"/>
      <c r="H119" s="145"/>
      <c r="I119" s="145"/>
      <c r="J119" s="146"/>
      <c r="K119" s="146"/>
    </row>
    <row r="120" spans="2:11" x14ac:dyDescent="0.3">
      <c r="B120" s="22"/>
      <c r="C120" s="221">
        <v>2.2000999999999999</v>
      </c>
      <c r="D120" s="223">
        <v>1.6</v>
      </c>
      <c r="E120" s="145"/>
      <c r="F120" s="145"/>
      <c r="G120" s="145"/>
      <c r="H120" s="145"/>
      <c r="I120" s="145"/>
      <c r="J120" s="146"/>
      <c r="K120" s="146"/>
    </row>
    <row r="121" spans="2:11" x14ac:dyDescent="0.3">
      <c r="B121" s="22"/>
      <c r="C121" s="221">
        <v>2.4001000000000001</v>
      </c>
      <c r="D121" s="223">
        <v>1.4</v>
      </c>
      <c r="E121" s="145"/>
      <c r="F121" s="145"/>
      <c r="G121" s="145"/>
      <c r="H121" s="145"/>
      <c r="I121" s="145"/>
      <c r="J121" s="146"/>
      <c r="K121" s="146"/>
    </row>
    <row r="122" spans="2:11" x14ac:dyDescent="0.3">
      <c r="B122" s="22"/>
      <c r="C122" s="221">
        <v>2.6000999999999999</v>
      </c>
      <c r="D122" s="223">
        <v>1.2</v>
      </c>
      <c r="E122" s="145"/>
      <c r="F122" s="145"/>
      <c r="G122" s="145"/>
      <c r="H122" s="145"/>
      <c r="I122" s="145"/>
      <c r="J122" s="146"/>
      <c r="K122" s="146"/>
    </row>
    <row r="123" spans="2:11" x14ac:dyDescent="0.3">
      <c r="B123" s="22"/>
      <c r="C123" s="221">
        <v>2.8001</v>
      </c>
      <c r="D123" s="223">
        <v>1</v>
      </c>
      <c r="E123" s="145"/>
      <c r="F123" s="145"/>
      <c r="G123" s="145"/>
      <c r="H123" s="145"/>
      <c r="I123" s="145"/>
      <c r="J123" s="146"/>
      <c r="K123" s="146"/>
    </row>
    <row r="124" spans="2:11" x14ac:dyDescent="0.3">
      <c r="B124" s="22"/>
      <c r="C124" s="221">
        <v>3.0001000000000002</v>
      </c>
      <c r="D124" s="223">
        <v>0.66</v>
      </c>
      <c r="E124" s="145"/>
      <c r="F124" s="145"/>
      <c r="G124" s="145"/>
      <c r="H124" s="145"/>
      <c r="I124" s="145"/>
      <c r="J124" s="146"/>
      <c r="K124" s="146"/>
    </row>
    <row r="125" spans="2:11" x14ac:dyDescent="0.3">
      <c r="B125" s="22"/>
      <c r="C125" s="221">
        <v>3.5001000000000002</v>
      </c>
      <c r="D125" s="223">
        <v>0.49</v>
      </c>
      <c r="E125" s="145"/>
      <c r="F125" s="145"/>
      <c r="G125" s="145"/>
      <c r="H125" s="145"/>
      <c r="I125" s="145"/>
      <c r="J125" s="146"/>
      <c r="K125" s="146"/>
    </row>
    <row r="126" spans="2:11" x14ac:dyDescent="0.3">
      <c r="B126" s="17"/>
      <c r="C126" s="221">
        <v>4.0000999999999998</v>
      </c>
      <c r="D126" s="223">
        <v>0.34</v>
      </c>
      <c r="E126" s="145"/>
      <c r="F126" s="145"/>
      <c r="G126" s="145"/>
      <c r="H126" s="145"/>
      <c r="I126" s="145"/>
      <c r="J126" s="146"/>
      <c r="K126" s="146"/>
    </row>
    <row r="127" spans="2:11" ht="13.5" thickBot="1" x14ac:dyDescent="0.35">
      <c r="B127" s="32"/>
      <c r="C127" s="33">
        <v>4.5000999999999998</v>
      </c>
      <c r="D127" s="224">
        <v>0.3</v>
      </c>
      <c r="E127" s="145"/>
      <c r="F127" s="145"/>
      <c r="G127" s="145"/>
      <c r="H127" s="145"/>
      <c r="I127" s="145"/>
      <c r="J127" s="146"/>
      <c r="K127" s="146"/>
    </row>
    <row r="128" spans="2:11" x14ac:dyDescent="0.3">
      <c r="B128" s="113"/>
      <c r="C128" s="3"/>
      <c r="D128" s="214"/>
      <c r="E128" s="145"/>
      <c r="F128" s="145"/>
      <c r="G128" s="145"/>
      <c r="H128" s="145"/>
      <c r="I128" s="145"/>
      <c r="J128" s="146"/>
      <c r="K128" s="146"/>
    </row>
    <row r="129" spans="2:4" ht="13.5" thickBot="1" x14ac:dyDescent="0.35"/>
    <row r="130" spans="2:4" x14ac:dyDescent="0.3">
      <c r="B130" s="34" t="s">
        <v>931</v>
      </c>
      <c r="C130" s="15"/>
      <c r="D130" s="16"/>
    </row>
    <row r="131" spans="2:4" x14ac:dyDescent="0.3">
      <c r="B131" s="39"/>
      <c r="C131" s="40" t="s">
        <v>932</v>
      </c>
      <c r="D131" s="41" t="s">
        <v>933</v>
      </c>
    </row>
    <row r="132" spans="2:4" ht="13.5" thickBot="1" x14ac:dyDescent="0.35">
      <c r="B132" s="42" t="s">
        <v>14</v>
      </c>
      <c r="C132" s="35" t="s">
        <v>934</v>
      </c>
      <c r="D132" s="43" t="s">
        <v>935</v>
      </c>
    </row>
    <row r="133" spans="2:4" x14ac:dyDescent="0.3">
      <c r="B133" s="17"/>
      <c r="C133" s="2"/>
      <c r="D133" s="18"/>
    </row>
    <row r="134" spans="2:4" x14ac:dyDescent="0.3">
      <c r="B134" s="44" t="s">
        <v>936</v>
      </c>
      <c r="C134" s="36" t="s">
        <v>937</v>
      </c>
      <c r="D134" s="49">
        <v>28.855499999999999</v>
      </c>
    </row>
    <row r="135" spans="2:4" x14ac:dyDescent="0.3">
      <c r="B135" s="44" t="s">
        <v>756</v>
      </c>
      <c r="C135" s="36" t="s">
        <v>938</v>
      </c>
      <c r="D135" s="49">
        <v>18.015339999999998</v>
      </c>
    </row>
    <row r="136" spans="2:4" x14ac:dyDescent="0.3">
      <c r="B136" s="44" t="s">
        <v>939</v>
      </c>
      <c r="C136" s="36" t="s">
        <v>940</v>
      </c>
      <c r="D136" s="49">
        <v>12.011150000000001</v>
      </c>
    </row>
    <row r="137" spans="2:4" x14ac:dyDescent="0.3">
      <c r="B137" s="44" t="s">
        <v>941</v>
      </c>
      <c r="C137" s="36" t="s">
        <v>942</v>
      </c>
      <c r="D137" s="49">
        <v>2.0159400000000001</v>
      </c>
    </row>
    <row r="138" spans="2:4" x14ac:dyDescent="0.3">
      <c r="B138" s="44" t="s">
        <v>943</v>
      </c>
      <c r="C138" s="36" t="s">
        <v>944</v>
      </c>
      <c r="D138" s="49">
        <v>28.02</v>
      </c>
    </row>
    <row r="139" spans="2:4" x14ac:dyDescent="0.3">
      <c r="B139" s="44" t="s">
        <v>945</v>
      </c>
      <c r="C139" s="36" t="s">
        <v>946</v>
      </c>
      <c r="D139" s="49">
        <v>70.906000000000006</v>
      </c>
    </row>
    <row r="140" spans="2:4" x14ac:dyDescent="0.3">
      <c r="B140" s="44" t="s">
        <v>947</v>
      </c>
      <c r="C140" s="36" t="s">
        <v>948</v>
      </c>
      <c r="D140" s="49">
        <v>32.064</v>
      </c>
    </row>
    <row r="141" spans="2:4" x14ac:dyDescent="0.3">
      <c r="B141" s="44" t="s">
        <v>949</v>
      </c>
      <c r="C141" s="36" t="s">
        <v>950</v>
      </c>
      <c r="D141" s="49">
        <v>1</v>
      </c>
    </row>
    <row r="142" spans="2:4" x14ac:dyDescent="0.3">
      <c r="B142" s="44" t="s">
        <v>951</v>
      </c>
      <c r="C142" s="36" t="s">
        <v>952</v>
      </c>
      <c r="D142" s="49">
        <v>31.998799999999999</v>
      </c>
    </row>
    <row r="143" spans="2:4" x14ac:dyDescent="0.3">
      <c r="B143" s="44" t="s">
        <v>953</v>
      </c>
      <c r="C143" s="36" t="s">
        <v>954</v>
      </c>
      <c r="D143" s="49">
        <v>40.08</v>
      </c>
    </row>
    <row r="144" spans="2:4" x14ac:dyDescent="0.3">
      <c r="B144" s="44" t="s">
        <v>955</v>
      </c>
      <c r="C144" s="36" t="s">
        <v>956</v>
      </c>
      <c r="D144" s="49">
        <v>24.312000000000001</v>
      </c>
    </row>
    <row r="145" spans="2:4" x14ac:dyDescent="0.3">
      <c r="B145" s="44" t="s">
        <v>957</v>
      </c>
      <c r="C145" s="36" t="s">
        <v>958</v>
      </c>
      <c r="D145" s="50">
        <v>44.01</v>
      </c>
    </row>
    <row r="146" spans="2:4" x14ac:dyDescent="0.3">
      <c r="B146" s="44" t="s">
        <v>959</v>
      </c>
      <c r="C146" s="36" t="s">
        <v>960</v>
      </c>
      <c r="D146" s="50">
        <v>46.008800000000001</v>
      </c>
    </row>
    <row r="147" spans="2:4" x14ac:dyDescent="0.3">
      <c r="B147" s="45" t="s">
        <v>961</v>
      </c>
      <c r="C147" s="37" t="s">
        <v>962</v>
      </c>
      <c r="D147" s="51">
        <v>30.009399999999999</v>
      </c>
    </row>
    <row r="148" spans="2:4" x14ac:dyDescent="0.3">
      <c r="B148" s="44" t="s">
        <v>963</v>
      </c>
      <c r="C148" s="36" t="s">
        <v>964</v>
      </c>
      <c r="D148" s="50">
        <v>36.460999999999999</v>
      </c>
    </row>
    <row r="149" spans="2:4" x14ac:dyDescent="0.3">
      <c r="B149" s="44" t="s">
        <v>759</v>
      </c>
      <c r="C149" s="36" t="s">
        <v>965</v>
      </c>
      <c r="D149" s="50">
        <v>64.062799999999996</v>
      </c>
    </row>
    <row r="150" spans="2:4" x14ac:dyDescent="0.3">
      <c r="B150" s="44" t="s">
        <v>762</v>
      </c>
      <c r="C150" s="36" t="s">
        <v>966</v>
      </c>
      <c r="D150" s="50">
        <v>80.062200000000004</v>
      </c>
    </row>
    <row r="151" spans="2:4" x14ac:dyDescent="0.3">
      <c r="B151" s="44" t="s">
        <v>967</v>
      </c>
      <c r="C151" s="36" t="s">
        <v>968</v>
      </c>
      <c r="D151" s="50">
        <v>100.0894</v>
      </c>
    </row>
    <row r="152" spans="2:4" x14ac:dyDescent="0.3">
      <c r="B152" s="44" t="s">
        <v>969</v>
      </c>
      <c r="C152" s="36" t="s">
        <v>970</v>
      </c>
      <c r="D152" s="50">
        <v>136.14160000000001</v>
      </c>
    </row>
    <row r="153" spans="2:4" x14ac:dyDescent="0.3">
      <c r="B153" s="44" t="s">
        <v>753</v>
      </c>
      <c r="C153" s="36" t="s">
        <v>971</v>
      </c>
      <c r="D153" s="50">
        <v>56.0794</v>
      </c>
    </row>
    <row r="154" spans="2:4" x14ac:dyDescent="0.3">
      <c r="B154" s="44" t="s">
        <v>972</v>
      </c>
      <c r="C154" s="36" t="s">
        <v>973</v>
      </c>
      <c r="D154" s="50">
        <v>74.094700000000003</v>
      </c>
    </row>
    <row r="155" spans="2:4" x14ac:dyDescent="0.3">
      <c r="B155" s="46" t="s">
        <v>974</v>
      </c>
      <c r="C155" s="38" t="s">
        <v>975</v>
      </c>
      <c r="D155" s="52">
        <v>129.1499</v>
      </c>
    </row>
    <row r="156" spans="2:4" x14ac:dyDescent="0.3">
      <c r="B156" s="46" t="s">
        <v>976</v>
      </c>
      <c r="C156" s="38" t="s">
        <v>977</v>
      </c>
      <c r="D156" s="52">
        <v>172.17230000000001</v>
      </c>
    </row>
    <row r="157" spans="2:4" x14ac:dyDescent="0.3">
      <c r="B157" s="46" t="s">
        <v>978</v>
      </c>
      <c r="C157" s="38" t="s">
        <v>979</v>
      </c>
      <c r="D157" s="53">
        <v>22.99</v>
      </c>
    </row>
    <row r="158" spans="2:4" x14ac:dyDescent="0.3">
      <c r="B158" s="46" t="s">
        <v>980</v>
      </c>
      <c r="C158" s="38" t="s">
        <v>981</v>
      </c>
      <c r="D158" s="55">
        <v>105.9894</v>
      </c>
    </row>
    <row r="159" spans="2:4" x14ac:dyDescent="0.3">
      <c r="B159" s="46" t="s">
        <v>982</v>
      </c>
      <c r="C159" s="38" t="s">
        <v>983</v>
      </c>
      <c r="D159" s="55">
        <v>98.077500000000001</v>
      </c>
    </row>
    <row r="160" spans="2:4" x14ac:dyDescent="0.3">
      <c r="B160" s="46" t="s">
        <v>984</v>
      </c>
      <c r="C160" s="38" t="s">
        <v>985</v>
      </c>
      <c r="D160" s="55">
        <v>16.042999999999999</v>
      </c>
    </row>
    <row r="161" spans="2:9" ht="13.5" thickBot="1" x14ac:dyDescent="0.35">
      <c r="B161" s="47" t="s">
        <v>986</v>
      </c>
      <c r="C161" s="48" t="s">
        <v>987</v>
      </c>
      <c r="D161" s="54">
        <v>110.99</v>
      </c>
    </row>
    <row r="162" spans="2:9" x14ac:dyDescent="0.3">
      <c r="B162" s="57"/>
      <c r="C162" s="38"/>
      <c r="D162" s="58"/>
      <c r="G162" s="60"/>
    </row>
    <row r="163" spans="2:9" ht="13.5" thickBot="1" x14ac:dyDescent="0.35"/>
    <row r="164" spans="2:9" x14ac:dyDescent="0.3">
      <c r="B164" s="34" t="s">
        <v>988</v>
      </c>
      <c r="C164" s="15"/>
      <c r="D164" s="16"/>
    </row>
    <row r="165" spans="2:9" x14ac:dyDescent="0.3">
      <c r="B165" s="39"/>
      <c r="C165" s="40" t="s">
        <v>989</v>
      </c>
      <c r="D165" s="41" t="s">
        <v>989</v>
      </c>
    </row>
    <row r="166" spans="2:9" ht="13.5" thickBot="1" x14ac:dyDescent="0.35">
      <c r="B166" s="42" t="s">
        <v>990</v>
      </c>
      <c r="C166" s="35" t="s">
        <v>991</v>
      </c>
      <c r="D166" s="43" t="s">
        <v>992</v>
      </c>
      <c r="G166" s="59"/>
      <c r="H166" s="59"/>
      <c r="I166" s="59"/>
    </row>
    <row r="167" spans="2:9" x14ac:dyDescent="0.3">
      <c r="B167" s="61"/>
      <c r="C167" s="62"/>
      <c r="D167" s="63"/>
    </row>
    <row r="168" spans="2:9" x14ac:dyDescent="0.3">
      <c r="B168" s="64">
        <v>120</v>
      </c>
      <c r="C168" s="56">
        <f t="shared" ref="C168:C193" si="5">(D168/14.696)*29.92</f>
        <v>3.4456047904191616</v>
      </c>
      <c r="D168" s="65">
        <v>1.6923999999999999</v>
      </c>
    </row>
    <row r="169" spans="2:9" x14ac:dyDescent="0.3">
      <c r="B169" s="64">
        <f t="shared" ref="B169:B193" si="6">B168+1</f>
        <v>121</v>
      </c>
      <c r="C169" s="56">
        <f t="shared" si="5"/>
        <v>3.5425149700598806</v>
      </c>
      <c r="D169" s="65">
        <v>1.74</v>
      </c>
    </row>
    <row r="170" spans="2:9" x14ac:dyDescent="0.3">
      <c r="B170" s="64">
        <f t="shared" si="6"/>
        <v>122</v>
      </c>
      <c r="C170" s="56">
        <f t="shared" si="5"/>
        <v>3.6418682634730541</v>
      </c>
      <c r="D170" s="65">
        <v>1.7887999999999999</v>
      </c>
    </row>
    <row r="171" spans="2:9" x14ac:dyDescent="0.3">
      <c r="B171" s="64">
        <f t="shared" si="6"/>
        <v>123</v>
      </c>
      <c r="C171" s="56">
        <f t="shared" si="5"/>
        <v>3.7434610778443118</v>
      </c>
      <c r="D171" s="65">
        <v>1.8387</v>
      </c>
    </row>
    <row r="172" spans="2:9" x14ac:dyDescent="0.3">
      <c r="B172" s="64">
        <f t="shared" si="6"/>
        <v>124</v>
      </c>
      <c r="C172" s="56">
        <f t="shared" si="5"/>
        <v>3.8472934131736527</v>
      </c>
      <c r="D172" s="65">
        <v>1.8896999999999999</v>
      </c>
    </row>
    <row r="173" spans="2:9" x14ac:dyDescent="0.3">
      <c r="B173" s="64">
        <f t="shared" si="6"/>
        <v>125</v>
      </c>
      <c r="C173" s="56">
        <f t="shared" si="5"/>
        <v>3.9537724550898208</v>
      </c>
      <c r="D173" s="65">
        <v>1.9419999999999999</v>
      </c>
    </row>
    <row r="174" spans="2:9" x14ac:dyDescent="0.3">
      <c r="B174" s="64">
        <f t="shared" si="6"/>
        <v>126</v>
      </c>
      <c r="C174" s="56">
        <f t="shared" si="5"/>
        <v>4.0626946107784434</v>
      </c>
      <c r="D174" s="65">
        <v>1.9955000000000001</v>
      </c>
    </row>
    <row r="175" spans="2:9" x14ac:dyDescent="0.3">
      <c r="B175" s="64">
        <f t="shared" si="6"/>
        <v>127</v>
      </c>
      <c r="C175" s="56">
        <f t="shared" si="5"/>
        <v>4.1742634730538928</v>
      </c>
      <c r="D175" s="65">
        <v>2.0503</v>
      </c>
    </row>
    <row r="176" spans="2:9" x14ac:dyDescent="0.3">
      <c r="B176" s="64">
        <f t="shared" si="6"/>
        <v>128</v>
      </c>
      <c r="C176" s="56">
        <f t="shared" si="5"/>
        <v>4.2884790419161671</v>
      </c>
      <c r="D176" s="65">
        <v>2.1063999999999998</v>
      </c>
    </row>
    <row r="177" spans="2:4" x14ac:dyDescent="0.3">
      <c r="B177" s="64">
        <f t="shared" si="6"/>
        <v>129</v>
      </c>
      <c r="C177" s="56">
        <f t="shared" si="5"/>
        <v>4.40534131736527</v>
      </c>
      <c r="D177" s="65">
        <v>2.1638000000000002</v>
      </c>
    </row>
    <row r="178" spans="2:4" x14ac:dyDescent="0.3">
      <c r="B178" s="64">
        <f t="shared" si="6"/>
        <v>130</v>
      </c>
      <c r="C178" s="56">
        <f t="shared" si="5"/>
        <v>4.525868263473054</v>
      </c>
      <c r="D178" s="65">
        <v>2.2229999999999999</v>
      </c>
    </row>
    <row r="179" spans="2:4" x14ac:dyDescent="0.3">
      <c r="B179" s="64">
        <f t="shared" si="6"/>
        <v>131</v>
      </c>
      <c r="C179" s="56">
        <f t="shared" si="5"/>
        <v>4.6480239520958087</v>
      </c>
      <c r="D179" s="65">
        <v>2.2829999999999999</v>
      </c>
    </row>
    <row r="180" spans="2:4" x14ac:dyDescent="0.3">
      <c r="B180" s="64">
        <f t="shared" si="6"/>
        <v>132</v>
      </c>
      <c r="C180" s="56">
        <f t="shared" si="5"/>
        <v>4.7732335329341318</v>
      </c>
      <c r="D180" s="65">
        <v>2.3445</v>
      </c>
    </row>
    <row r="181" spans="2:4" x14ac:dyDescent="0.3">
      <c r="B181" s="64">
        <f t="shared" si="6"/>
        <v>133</v>
      </c>
      <c r="C181" s="56">
        <f t="shared" si="5"/>
        <v>4.9012934131736534</v>
      </c>
      <c r="D181" s="65">
        <v>2.4074</v>
      </c>
    </row>
    <row r="182" spans="2:4" x14ac:dyDescent="0.3">
      <c r="B182" s="64">
        <f t="shared" si="6"/>
        <v>134</v>
      </c>
      <c r="C182" s="56">
        <f t="shared" si="5"/>
        <v>5.0322035928143709</v>
      </c>
      <c r="D182" s="65">
        <v>2.4716999999999998</v>
      </c>
    </row>
    <row r="183" spans="2:4" x14ac:dyDescent="0.3">
      <c r="B183" s="64">
        <f t="shared" si="6"/>
        <v>135</v>
      </c>
      <c r="C183" s="56">
        <f t="shared" si="5"/>
        <v>5.1661676646706596</v>
      </c>
      <c r="D183" s="65">
        <v>2.5375000000000001</v>
      </c>
    </row>
    <row r="184" spans="2:4" x14ac:dyDescent="0.3">
      <c r="B184" s="64">
        <f t="shared" si="6"/>
        <v>136</v>
      </c>
      <c r="C184" s="56">
        <f t="shared" si="5"/>
        <v>5.3029820359281432</v>
      </c>
      <c r="D184" s="66">
        <v>2.6046999999999998</v>
      </c>
    </row>
    <row r="185" spans="2:4" x14ac:dyDescent="0.3">
      <c r="B185" s="64">
        <f t="shared" si="6"/>
        <v>137</v>
      </c>
      <c r="C185" s="56">
        <f t="shared" si="5"/>
        <v>5.4430538922155689</v>
      </c>
      <c r="D185" s="66">
        <v>2.6735000000000002</v>
      </c>
    </row>
    <row r="186" spans="2:4" x14ac:dyDescent="0.3">
      <c r="B186" s="64">
        <f t="shared" si="6"/>
        <v>138</v>
      </c>
      <c r="C186" s="56">
        <f t="shared" si="5"/>
        <v>5.5861796407185631</v>
      </c>
      <c r="D186" s="66">
        <v>2.7437999999999998</v>
      </c>
    </row>
    <row r="187" spans="2:4" x14ac:dyDescent="0.3">
      <c r="B187" s="64">
        <f t="shared" si="6"/>
        <v>139</v>
      </c>
      <c r="C187" s="56">
        <f t="shared" si="5"/>
        <v>5.7325628742514976</v>
      </c>
      <c r="D187" s="66">
        <v>2.8157000000000001</v>
      </c>
    </row>
    <row r="188" spans="2:4" x14ac:dyDescent="0.3">
      <c r="B188" s="64">
        <f t="shared" si="6"/>
        <v>140</v>
      </c>
      <c r="C188" s="56">
        <f t="shared" si="5"/>
        <v>5.8822035928143723</v>
      </c>
      <c r="D188" s="66">
        <v>2.8892000000000002</v>
      </c>
    </row>
    <row r="189" spans="2:4" x14ac:dyDescent="0.3">
      <c r="B189" s="64">
        <f t="shared" si="6"/>
        <v>141</v>
      </c>
      <c r="C189" s="56">
        <f t="shared" si="5"/>
        <v>6.0351017964071865</v>
      </c>
      <c r="D189" s="66">
        <v>2.9643000000000002</v>
      </c>
    </row>
    <row r="190" spans="2:4" x14ac:dyDescent="0.3">
      <c r="B190" s="64">
        <f t="shared" si="6"/>
        <v>142</v>
      </c>
      <c r="C190" s="56">
        <f t="shared" si="5"/>
        <v>6.1914610778443118</v>
      </c>
      <c r="D190" s="66">
        <v>3.0411000000000001</v>
      </c>
    </row>
    <row r="191" spans="2:4" x14ac:dyDescent="0.3">
      <c r="B191" s="64">
        <f t="shared" si="6"/>
        <v>143</v>
      </c>
      <c r="C191" s="56">
        <f t="shared" si="5"/>
        <v>6.3510778443113782</v>
      </c>
      <c r="D191" s="66">
        <v>3.1194999999999999</v>
      </c>
    </row>
    <row r="192" spans="2:4" x14ac:dyDescent="0.3">
      <c r="B192" s="64">
        <f t="shared" si="6"/>
        <v>144</v>
      </c>
      <c r="C192" s="56">
        <f t="shared" si="5"/>
        <v>6.5143592814371267</v>
      </c>
      <c r="D192" s="66">
        <v>3.1997</v>
      </c>
    </row>
    <row r="193" spans="2:6" ht="13.5" thickBot="1" x14ac:dyDescent="0.35">
      <c r="B193" s="67">
        <f t="shared" si="6"/>
        <v>145</v>
      </c>
      <c r="C193" s="68">
        <f t="shared" si="5"/>
        <v>6.6811017964071855</v>
      </c>
      <c r="D193" s="69">
        <v>3.2816000000000001</v>
      </c>
    </row>
    <row r="195" spans="2:6" ht="13.5" thickBot="1" x14ac:dyDescent="0.35"/>
    <row r="196" spans="2:6" x14ac:dyDescent="0.3">
      <c r="B196" s="34" t="s">
        <v>993</v>
      </c>
      <c r="C196" s="15"/>
      <c r="D196" s="15"/>
      <c r="E196" s="15"/>
      <c r="F196" s="16"/>
    </row>
    <row r="197" spans="2:6" x14ac:dyDescent="0.3">
      <c r="B197" s="17"/>
      <c r="C197" s="40" t="s">
        <v>994</v>
      </c>
      <c r="D197" s="40" t="s">
        <v>995</v>
      </c>
      <c r="E197" s="40" t="s">
        <v>996</v>
      </c>
      <c r="F197" s="72"/>
    </row>
    <row r="198" spans="2:6" ht="13.5" thickBot="1" x14ac:dyDescent="0.35">
      <c r="B198" s="17"/>
      <c r="C198" s="40" t="s">
        <v>997</v>
      </c>
      <c r="D198" s="70" t="s">
        <v>998</v>
      </c>
      <c r="E198" s="70" t="s">
        <v>998</v>
      </c>
      <c r="F198" s="72"/>
    </row>
    <row r="199" spans="2:6" ht="14" thickTop="1" thickBot="1" x14ac:dyDescent="0.35">
      <c r="B199" s="42" t="s">
        <v>999</v>
      </c>
      <c r="C199" s="35" t="s">
        <v>1000</v>
      </c>
      <c r="D199" s="71" t="s">
        <v>1001</v>
      </c>
      <c r="E199" s="71"/>
      <c r="F199" s="43" t="s">
        <v>1002</v>
      </c>
    </row>
    <row r="200" spans="2:6" x14ac:dyDescent="0.3">
      <c r="B200" s="17"/>
      <c r="C200" s="2"/>
      <c r="D200" s="2"/>
      <c r="E200" s="2"/>
      <c r="F200" s="18"/>
    </row>
    <row r="201" spans="2:6" x14ac:dyDescent="0.3">
      <c r="B201" s="75">
        <v>300</v>
      </c>
      <c r="C201" s="76">
        <v>417.35</v>
      </c>
      <c r="D201" s="77">
        <v>393.99</v>
      </c>
      <c r="E201" s="78">
        <v>1202.9000000000001</v>
      </c>
      <c r="F201" s="73">
        <v>0</v>
      </c>
    </row>
    <row r="202" spans="2:6" x14ac:dyDescent="0.3">
      <c r="B202" s="75">
        <v>400</v>
      </c>
      <c r="C202" s="76">
        <v>444.6</v>
      </c>
      <c r="D202" s="77">
        <v>424.18</v>
      </c>
      <c r="E202" s="78">
        <v>1204.5999999999999</v>
      </c>
      <c r="F202" s="73">
        <v>1</v>
      </c>
    </row>
    <row r="203" spans="2:6" x14ac:dyDescent="0.3">
      <c r="B203" s="75">
        <v>500</v>
      </c>
      <c r="C203" s="76">
        <v>467.01</v>
      </c>
      <c r="D203" s="77">
        <v>449.52</v>
      </c>
      <c r="E203" s="78">
        <v>1204.7</v>
      </c>
      <c r="F203" s="73">
        <v>2</v>
      </c>
    </row>
    <row r="204" spans="2:6" x14ac:dyDescent="0.3">
      <c r="B204" s="75">
        <v>600</v>
      </c>
      <c r="C204" s="76">
        <v>486.2</v>
      </c>
      <c r="D204" s="77">
        <v>471.7</v>
      </c>
      <c r="E204" s="78">
        <v>1203.7</v>
      </c>
      <c r="F204" s="73">
        <v>3</v>
      </c>
    </row>
    <row r="205" spans="2:6" x14ac:dyDescent="0.3">
      <c r="B205" s="75">
        <v>1500</v>
      </c>
      <c r="C205" s="76">
        <v>596.20000000000005</v>
      </c>
      <c r="D205" s="77">
        <v>611.67999999999995</v>
      </c>
      <c r="E205" s="78">
        <v>1170.0999999999999</v>
      </c>
      <c r="F205" s="73">
        <v>4</v>
      </c>
    </row>
    <row r="206" spans="2:6" x14ac:dyDescent="0.3">
      <c r="B206" s="75">
        <v>1600</v>
      </c>
      <c r="C206" s="76">
        <v>604.87</v>
      </c>
      <c r="D206" s="77">
        <v>624.20000000000005</v>
      </c>
      <c r="E206" s="78">
        <v>1164.5</v>
      </c>
      <c r="F206" s="73">
        <v>5</v>
      </c>
    </row>
    <row r="207" spans="2:6" x14ac:dyDescent="0.3">
      <c r="B207" s="75">
        <v>1700</v>
      </c>
      <c r="C207" s="76">
        <v>613.13</v>
      </c>
      <c r="D207" s="77">
        <v>636.45000000000005</v>
      </c>
      <c r="E207" s="78">
        <v>1158.5999999999999</v>
      </c>
      <c r="F207" s="73">
        <v>6</v>
      </c>
    </row>
    <row r="208" spans="2:6" x14ac:dyDescent="0.3">
      <c r="B208" s="75">
        <v>1800</v>
      </c>
      <c r="C208" s="76">
        <v>621.02</v>
      </c>
      <c r="D208" s="77">
        <v>648.49</v>
      </c>
      <c r="E208" s="78">
        <v>1152.3</v>
      </c>
      <c r="F208" s="73">
        <v>7</v>
      </c>
    </row>
    <row r="209" spans="2:6" x14ac:dyDescent="0.3">
      <c r="B209" s="75">
        <v>1900</v>
      </c>
      <c r="C209" s="76">
        <v>628.55999999999995</v>
      </c>
      <c r="D209" s="77">
        <v>660.36</v>
      </c>
      <c r="E209" s="78">
        <v>1145.5999999999999</v>
      </c>
      <c r="F209" s="73">
        <v>8</v>
      </c>
    </row>
    <row r="210" spans="2:6" x14ac:dyDescent="0.3">
      <c r="B210" s="75">
        <v>2400</v>
      </c>
      <c r="C210" s="76">
        <v>662.11</v>
      </c>
      <c r="D210" s="77">
        <v>718.95</v>
      </c>
      <c r="E210" s="78">
        <v>1103.7</v>
      </c>
      <c r="F210" s="73">
        <v>9</v>
      </c>
    </row>
    <row r="211" spans="2:6" x14ac:dyDescent="0.3">
      <c r="B211" s="75">
        <v>2500</v>
      </c>
      <c r="C211" s="76">
        <v>668.11</v>
      </c>
      <c r="D211" s="77">
        <v>731.71</v>
      </c>
      <c r="E211" s="78">
        <v>1093.3</v>
      </c>
      <c r="F211" s="73">
        <v>10</v>
      </c>
    </row>
    <row r="212" spans="2:6" x14ac:dyDescent="0.3">
      <c r="B212" s="75">
        <v>2600</v>
      </c>
      <c r="C212" s="76">
        <v>673.91</v>
      </c>
      <c r="D212" s="77">
        <v>744.5</v>
      </c>
      <c r="E212" s="78">
        <v>1082</v>
      </c>
      <c r="F212" s="73">
        <v>11</v>
      </c>
    </row>
    <row r="213" spans="2:6" x14ac:dyDescent="0.3">
      <c r="B213" s="75">
        <v>2700</v>
      </c>
      <c r="C213" s="76">
        <v>679.53</v>
      </c>
      <c r="D213" s="77">
        <v>757.3</v>
      </c>
      <c r="E213" s="78">
        <v>1069.7</v>
      </c>
      <c r="F213" s="73">
        <v>12</v>
      </c>
    </row>
    <row r="214" spans="2:6" x14ac:dyDescent="0.3">
      <c r="B214" s="75">
        <v>2800</v>
      </c>
      <c r="C214" s="76">
        <v>684.96</v>
      </c>
      <c r="D214" s="77">
        <v>770.7</v>
      </c>
      <c r="E214" s="78">
        <v>1055.8</v>
      </c>
      <c r="F214" s="73">
        <v>13</v>
      </c>
    </row>
    <row r="215" spans="2:6" x14ac:dyDescent="0.3">
      <c r="B215" s="75">
        <v>2900</v>
      </c>
      <c r="C215" s="76">
        <v>690.22</v>
      </c>
      <c r="D215" s="77">
        <v>785.1</v>
      </c>
      <c r="E215" s="78">
        <v>1039.8</v>
      </c>
      <c r="F215" s="73">
        <v>14</v>
      </c>
    </row>
    <row r="216" spans="2:6" x14ac:dyDescent="0.3">
      <c r="B216" s="75">
        <v>3000</v>
      </c>
      <c r="C216" s="76">
        <v>695.33</v>
      </c>
      <c r="D216" s="77">
        <v>801.84</v>
      </c>
      <c r="E216" s="78">
        <v>1020.3</v>
      </c>
      <c r="F216" s="73">
        <v>15</v>
      </c>
    </row>
    <row r="217" spans="2:6" x14ac:dyDescent="0.3">
      <c r="B217" s="75">
        <v>3100</v>
      </c>
      <c r="C217" s="76">
        <v>700.28</v>
      </c>
      <c r="D217" s="77">
        <v>824</v>
      </c>
      <c r="E217" s="78">
        <v>993.3</v>
      </c>
      <c r="F217" s="73">
        <v>16</v>
      </c>
    </row>
    <row r="218" spans="2:6" x14ac:dyDescent="0.3">
      <c r="B218" s="75">
        <v>3200</v>
      </c>
      <c r="C218" s="76">
        <v>705.08</v>
      </c>
      <c r="D218" s="77">
        <v>875.5</v>
      </c>
      <c r="E218" s="78">
        <v>931.6</v>
      </c>
      <c r="F218" s="73">
        <v>17</v>
      </c>
    </row>
    <row r="219" spans="2:6" x14ac:dyDescent="0.3">
      <c r="B219" s="75">
        <v>3208.2</v>
      </c>
      <c r="C219" s="76">
        <v>705.47</v>
      </c>
      <c r="D219" s="77">
        <v>906</v>
      </c>
      <c r="E219" s="78">
        <v>906</v>
      </c>
      <c r="F219" s="73">
        <v>18</v>
      </c>
    </row>
    <row r="220" spans="2:6" x14ac:dyDescent="0.3">
      <c r="B220" s="75">
        <v>3300</v>
      </c>
      <c r="C220" s="76">
        <v>730</v>
      </c>
      <c r="D220" s="77">
        <v>1104.0999999999999</v>
      </c>
      <c r="E220" s="78">
        <v>1104.0999999999999</v>
      </c>
      <c r="F220" s="73">
        <v>19</v>
      </c>
    </row>
    <row r="221" spans="2:6" x14ac:dyDescent="0.3">
      <c r="B221" s="75">
        <v>3400</v>
      </c>
      <c r="C221" s="76">
        <v>730</v>
      </c>
      <c r="D221" s="77">
        <v>1079.3</v>
      </c>
      <c r="E221" s="78">
        <v>1079.3</v>
      </c>
      <c r="F221" s="73">
        <v>20</v>
      </c>
    </row>
    <row r="222" spans="2:6" x14ac:dyDescent="0.3">
      <c r="B222" s="75">
        <v>3500</v>
      </c>
      <c r="C222" s="76">
        <v>730</v>
      </c>
      <c r="D222" s="77">
        <v>1048.5999999999999</v>
      </c>
      <c r="E222" s="77">
        <v>1048.5999999999999</v>
      </c>
      <c r="F222" s="73">
        <v>21</v>
      </c>
    </row>
    <row r="223" spans="2:6" ht="13.5" thickBot="1" x14ac:dyDescent="0.35">
      <c r="B223" s="79">
        <v>4000</v>
      </c>
      <c r="C223" s="80">
        <v>770</v>
      </c>
      <c r="D223" s="81">
        <v>1099.9000000000001</v>
      </c>
      <c r="E223" s="81">
        <v>1099.9000000000001</v>
      </c>
      <c r="F223" s="74">
        <v>22</v>
      </c>
    </row>
    <row r="225" spans="2:7" ht="13.5" thickBot="1" x14ac:dyDescent="0.35"/>
    <row r="226" spans="2:7" x14ac:dyDescent="0.3">
      <c r="B226" s="126" t="s">
        <v>1003</v>
      </c>
      <c r="C226" s="15"/>
      <c r="D226" s="15"/>
      <c r="E226" s="15"/>
      <c r="F226" s="15"/>
      <c r="G226" s="16"/>
    </row>
    <row r="227" spans="2:7" x14ac:dyDescent="0.3">
      <c r="B227" s="17"/>
      <c r="C227" s="127" t="s">
        <v>1004</v>
      </c>
      <c r="D227" s="127" t="s">
        <v>518</v>
      </c>
      <c r="E227" s="127" t="s">
        <v>519</v>
      </c>
      <c r="F227" s="127" t="s">
        <v>520</v>
      </c>
      <c r="G227" s="128" t="s">
        <v>521</v>
      </c>
    </row>
    <row r="228" spans="2:7" x14ac:dyDescent="0.3">
      <c r="B228" s="129" t="s">
        <v>1005</v>
      </c>
      <c r="C228" s="130">
        <f>6.732+((0.001505*(C236^2-C238^2))/(2*(C236-C238)))-((0.0000001791*(C236^3-C238^3))/(3*(C236-C238)))</f>
        <v>7.2514358375074082</v>
      </c>
      <c r="D228" s="130">
        <f>6.732+((0.001505*(D236^2-D238^2))/(2*(D236-D238)))-((0.0000001791*(D236^3-D238^3))/(3*(D236-D238)))</f>
        <v>7.2514358375074082</v>
      </c>
      <c r="E228" s="130">
        <f>6.732+((0.001505*(E236^2-E238^2))/(2*(E236-E238)))-((0.0000001791*(E236^3-E238^3))/(3*(E236-E238)))</f>
        <v>7.2514358375074082</v>
      </c>
      <c r="F228" s="130">
        <f>6.732+((0.001505*(F236^2-F238^2))/(2*(F236-F238)))-((0.0000001791*(F236^3-F238^3))/(3*(F236-F238)))</f>
        <v>7.2514358375074082</v>
      </c>
      <c r="G228" s="131">
        <f>6.732+((0.001505*(G236^2-G238^2))/(2*(G236-G238)))-((0.0000001791*(G236^3-G238^3))/(3*(G236-G238)))</f>
        <v>7.2514358375074082</v>
      </c>
    </row>
    <row r="229" spans="2:7" x14ac:dyDescent="0.3">
      <c r="B229" s="129" t="s">
        <v>1006</v>
      </c>
      <c r="C229" s="130">
        <f>18.036-((0.00004474*(C236^2-C238^2))/(2*(C236-C238)))-((158.08*(C236^0.5-C238^0.5))/(0.5*(C236-C238)))</f>
        <v>9.6670668181398902</v>
      </c>
      <c r="D229" s="130">
        <f>18.036-((0.00004474*(D236^2-D238^2))/(2*(D236-D238)))-((158.08*(D236^0.5-D238^0.5))/(0.5*(D236-D238)))</f>
        <v>9.6670668181398902</v>
      </c>
      <c r="E229" s="130">
        <f>18.036-((0.00004474*(E236^2-E238^2))/(2*(E236-E238)))-((158.08*(E236^0.5-E238^0.5))/(0.5*(E236-E238)))</f>
        <v>9.6670668181398902</v>
      </c>
      <c r="F229" s="130">
        <f>18.036-((0.00004474*(F236^2-F238^2))/(2*(F236-F238)))-((158.08*(F236^0.5-F238^0.5))/(0.5*(F236-F238)))</f>
        <v>9.6670668181398902</v>
      </c>
      <c r="G229" s="131">
        <f>18.036-((0.00004474*(G236^2-G238^2))/(2*(G236-G238)))-((158.08*(G236^0.5-G238^0.5))/(0.5*(G236-G238)))</f>
        <v>9.6670668181398902</v>
      </c>
    </row>
    <row r="230" spans="2:7" x14ac:dyDescent="0.3">
      <c r="B230" s="129" t="s">
        <v>1007</v>
      </c>
      <c r="C230" s="130">
        <f>6.529+((0.001488*(C236^2-C238^2))/(2*(C236-C238)))-((0.0000002271*(C236^3-C238^3))/(3*(C236-C238)))</f>
        <v>7.0359951531617284</v>
      </c>
      <c r="D230" s="130">
        <f>6.529+((0.001488*(D236^2-D238^2))/(2*(D236-D238)))-((0.0000002271*(D236^3-D238^3))/(3*(D236-D238)))</f>
        <v>7.0359951531617284</v>
      </c>
      <c r="E230" s="130">
        <f>6.529+((0.001488*(E236^2-E238^2))/(2*(E236-E238)))-((0.0000002271*(E236^3-E238^3))/(3*(E236-E238)))</f>
        <v>7.0359951531617284</v>
      </c>
      <c r="F230" s="130">
        <f>6.529+((0.001488*(F236^2-F238^2))/(2*(F236-F238)))-((0.0000002271*(F236^3-F238^3))/(3*(F236-F238)))</f>
        <v>7.0359951531617284</v>
      </c>
      <c r="G230" s="131">
        <f>6.529+((0.001488*(G236^2-G238^2))/(2*(G236-G238)))-((0.0000002271*(G236^3-G238^3))/(3*(G236-G238)))</f>
        <v>7.0359951531617284</v>
      </c>
    </row>
    <row r="231" spans="2:7" x14ac:dyDescent="0.3">
      <c r="B231" s="129" t="s">
        <v>1008</v>
      </c>
      <c r="C231" s="130">
        <f>7.88+((0.0032*(C235^2-C237^2))/(2*(C235-C237)))-((0.0000004833*(C235^3-C237^3))/(3*(C235-C237)))</f>
        <v>8.1565634533333338</v>
      </c>
      <c r="D231" s="130">
        <f>7.88+((0.0032*(D235^2-D237^2))/(2*(D235-D237)))-((0.0000004833*(D235^3-D237^3))/(3*(D235-D237)))</f>
        <v>8.1565634533333338</v>
      </c>
      <c r="E231" s="130">
        <f>7.88+((0.0032*(E235^2-E237^2))/(2*(E235-E237)))-((0.0000004833*(E235^3-E237^3))/(3*(E235-E237)))</f>
        <v>8.1565634533333338</v>
      </c>
      <c r="F231" s="130">
        <f>7.88+((0.0032*(F235^2-F237^2))/(2*(F235-F237)))-((0.0000004833*(F235^3-F237^3))/(3*(F235-F237)))</f>
        <v>8.1565634533333338</v>
      </c>
      <c r="G231" s="131">
        <f>7.88+((0.0032*(G235^2-G237^2))/(2*(G235-G237)))-((0.0000004833*(G235^3-G237^3))/(3*(G235-G237)))</f>
        <v>8.1565634533333338</v>
      </c>
    </row>
    <row r="232" spans="2:7" x14ac:dyDescent="0.3">
      <c r="B232" s="129" t="s">
        <v>1009</v>
      </c>
      <c r="C232" s="130">
        <f>7.05+((0.001957*(C235^2-C237^2))/(2*(C235-C237)))-((0.000000699*(C235^3-C237^3))/(3*(C235-C237)))+((0.00000000008729*(C235^4-C237^4))/(4*(C235-C237)))</f>
        <v>7.2156128558327293</v>
      </c>
      <c r="D232" s="130">
        <f>7.05+((0.001957*(D235^2-D237^2))/(2*(D235-D237)))-((0.000000699*(D235^3-D237^3))/(3*(D235-D237)))+((0.00000000008729*(D235^4-D237^4))/(4*(D235-D237)))</f>
        <v>7.2156128558327293</v>
      </c>
      <c r="E232" s="130">
        <f>7.05+((0.001957*(E235^2-E237^2))/(2*(E235-E237)))-((0.000000699*(E235^3-E237^3))/(3*(E235-E237)))+((0.00000000008729*(E235^4-E237^4))/(4*(E235-E237)))</f>
        <v>7.2156128558327293</v>
      </c>
      <c r="F232" s="130">
        <f>7.05+((0.001957*(F235^2-F237^2))/(2*(F235-F237)))-((0.000000699*(F235^3-F237^3))/(3*(F235-F237)))+((0.00000000008729*(F235^4-F237^4))/(4*(F235-F237)))</f>
        <v>7.2156128558327293</v>
      </c>
      <c r="G232" s="131">
        <f>7.05+((0.001957*(G235^2-G237^2))/(2*(G235-G237)))-((0.000000699*(G235^3-G237^3))/(3*(G235-G237)))+((0.00000000008729*(G235^4-G237^4))/(4*(G235-G237)))</f>
        <v>7.2156128558327293</v>
      </c>
    </row>
    <row r="233" spans="2:7" x14ac:dyDescent="0.3">
      <c r="B233" s="129" t="s">
        <v>1010</v>
      </c>
      <c r="C233" s="130">
        <f>9.299+((0.00933*(C235^2-C237^2))/(2*(C235-C237)))-((0.000007418*(C235^3-C237^3))/(3*(C235-C237)))+((0.000000002057*(C235^4-C237^4))/(4*(C235-C237)))</f>
        <v>10.053642597528119</v>
      </c>
      <c r="D233" s="130">
        <f>9.299+((0.00933*(D235^2-D237^2))/(2*(D235-D237)))-((0.000007418*(D235^3-D237^3))/(3*(D235-D237)))+((0.000000002057*(D235^4-D237^4))/(4*(D235-D237)))</f>
        <v>10.053642597528119</v>
      </c>
      <c r="E233" s="130">
        <f>9.299+((0.00933*(E235^2-E237^2))/(2*(E235-E237)))-((0.000007418*(E235^3-E237^3))/(3*(E235-E237)))+((0.000000002057*(E235^4-E237^4))/(4*(E235-E237)))</f>
        <v>10.053642597528119</v>
      </c>
      <c r="F233" s="130">
        <f>9.299+((0.00933*(F235^2-F237^2))/(2*(F235-F237)))-((0.000007418*(F235^3-F237^3))/(3*(F235-F237)))+((0.000000002057*(F235^4-F237^4))/(4*(F235-F237)))</f>
        <v>10.053642597528119</v>
      </c>
      <c r="G233" s="131">
        <f>9.299+((0.00933*(G235^2-G237^2))/(2*(G235-G237)))-((0.000007418*(G235^3-G237^3))/(3*(G235-G237)))+((0.000000002057*(G235^4-G237^4))/(4*(G235-G237)))</f>
        <v>10.053642597528119</v>
      </c>
    </row>
    <row r="234" spans="2:7" x14ac:dyDescent="0.3">
      <c r="B234" s="129" t="s">
        <v>1011</v>
      </c>
      <c r="C234" s="130">
        <f>6.962-((0.0003206*(C235^2-C237^2))/(2*(C235-C237)))+((0.000002322*(C235^3-C237^3))/(3*(C235-C237)))-((0.000000001036*(C235^4-C237^4))/(4*(C235-C237)))</f>
        <v>6.953599583396433</v>
      </c>
      <c r="D234" s="130">
        <f>6.962-((0.0003206*(D235^2-D237^2))/(2*(D235-D237)))+((0.000002322*(D235^3-D237^3))/(3*(D235-D237)))-((0.000000001036*(D235^4-D237^4))/(4*(D235-D237)))</f>
        <v>6.953599583396433</v>
      </c>
      <c r="E234" s="130">
        <f>6.962-((0.0003206*(E235^2-E237^2))/(2*(E235-E237)))+((0.000002322*(E235^3-E237^3))/(3*(E235-E237)))-((0.000000001036*(E235^4-E237^4))/(4*(E235-E237)))</f>
        <v>6.953599583396433</v>
      </c>
      <c r="F234" s="130">
        <f>6.962-((0.0003206*(F235^2-F237^2))/(2*(F235-F237)))+((0.000002322*(F235^3-F237^3))/(3*(F235-F237)))-((0.000000001036*(F235^4-F237^4))/(4*(F235-F237)))</f>
        <v>6.953599583396433</v>
      </c>
      <c r="G234" s="131">
        <f>6.962-((0.0003206*(G235^2-G237^2))/(2*(G235-G237)))+((0.000002322*(G235^3-G237^3))/(3*(G235-G237)))-((0.000000001036*(G235^4-G237^4))/(4*(G235-G237)))</f>
        <v>6.953599583396433</v>
      </c>
    </row>
    <row r="235" spans="2:7" x14ac:dyDescent="0.3">
      <c r="B235" s="132" t="s">
        <v>1012</v>
      </c>
      <c r="C235" s="133">
        <f>('Input &amp; Calculation Summary'!C30-32)/1.8</f>
        <v>148.88888888888889</v>
      </c>
      <c r="D235" s="133">
        <f>('Input &amp; Calculation Summary'!D30-32)/1.8</f>
        <v>148.88888888888889</v>
      </c>
      <c r="E235" s="133">
        <f>('Input &amp; Calculation Summary'!E30-32)/1.8</f>
        <v>148.88888888888889</v>
      </c>
      <c r="F235" s="133">
        <f>('Input &amp; Calculation Summary'!F30-32)/1.8</f>
        <v>148.88888888888889</v>
      </c>
      <c r="G235" s="134">
        <f>('Input &amp; Calculation Summary'!G30-32)/1.8</f>
        <v>148.88888888888889</v>
      </c>
    </row>
    <row r="236" spans="2:7" x14ac:dyDescent="0.3">
      <c r="B236" s="132" t="s">
        <v>1013</v>
      </c>
      <c r="C236" s="133">
        <f>C235+273</f>
        <v>421.88888888888891</v>
      </c>
      <c r="D236" s="133">
        <f>D235+273</f>
        <v>421.88888888888891</v>
      </c>
      <c r="E236" s="133">
        <f>E235+273</f>
        <v>421.88888888888891</v>
      </c>
      <c r="F236" s="133">
        <f>F235+273</f>
        <v>421.88888888888891</v>
      </c>
      <c r="G236" s="134">
        <f>G235+273</f>
        <v>421.88888888888891</v>
      </c>
    </row>
    <row r="237" spans="2:7" x14ac:dyDescent="0.3">
      <c r="B237" s="132" t="s">
        <v>1014</v>
      </c>
      <c r="C237" s="133">
        <f>(80-32)/1.8</f>
        <v>26.666666666666664</v>
      </c>
      <c r="D237" s="133">
        <f>(80-32)/1.8</f>
        <v>26.666666666666664</v>
      </c>
      <c r="E237" s="133">
        <f>(80-32)/1.8</f>
        <v>26.666666666666664</v>
      </c>
      <c r="F237" s="133">
        <f>(80-32)/1.8</f>
        <v>26.666666666666664</v>
      </c>
      <c r="G237" s="134">
        <f>(80-32)/1.8</f>
        <v>26.666666666666664</v>
      </c>
    </row>
    <row r="238" spans="2:7" x14ac:dyDescent="0.3">
      <c r="B238" s="132" t="s">
        <v>1015</v>
      </c>
      <c r="C238" s="133">
        <f>C237+273</f>
        <v>299.66666666666669</v>
      </c>
      <c r="D238" s="133">
        <f>D237+273</f>
        <v>299.66666666666669</v>
      </c>
      <c r="E238" s="133">
        <f>E237+273</f>
        <v>299.66666666666669</v>
      </c>
      <c r="F238" s="133">
        <f>F237+273</f>
        <v>299.66666666666669</v>
      </c>
      <c r="G238" s="134">
        <f>G237+273</f>
        <v>299.66666666666669</v>
      </c>
    </row>
    <row r="239" spans="2:7" ht="13.5" thickBot="1" x14ac:dyDescent="0.35">
      <c r="B239" s="135"/>
      <c r="C239" s="136"/>
      <c r="D239" s="136"/>
      <c r="E239" s="136"/>
      <c r="F239" s="136"/>
      <c r="G239" s="137"/>
    </row>
    <row r="240" spans="2:7" ht="13.5" thickBot="1" x14ac:dyDescent="0.35"/>
    <row r="241" spans="2:4" x14ac:dyDescent="0.3">
      <c r="B241" s="34" t="s">
        <v>1016</v>
      </c>
      <c r="C241" s="16"/>
      <c r="D241"/>
    </row>
    <row r="242" spans="2:4" ht="13.5" thickBot="1" x14ac:dyDescent="0.35">
      <c r="B242" s="42" t="s">
        <v>1017</v>
      </c>
      <c r="C242" s="43" t="s">
        <v>1018</v>
      </c>
      <c r="D242"/>
    </row>
    <row r="243" spans="2:4" x14ac:dyDescent="0.3">
      <c r="B243" s="129">
        <v>0</v>
      </c>
      <c r="C243" s="246">
        <v>2</v>
      </c>
    </row>
    <row r="244" spans="2:4" x14ac:dyDescent="0.3">
      <c r="B244" s="129">
        <v>0.96499999999999997</v>
      </c>
      <c r="C244" s="246">
        <v>3</v>
      </c>
    </row>
    <row r="245" spans="2:4" x14ac:dyDescent="0.3">
      <c r="B245" s="129">
        <v>0.99</v>
      </c>
      <c r="C245" s="246">
        <v>4</v>
      </c>
    </row>
    <row r="246" spans="2:4" x14ac:dyDescent="0.3">
      <c r="B246" s="129">
        <v>0.998</v>
      </c>
      <c r="C246" s="246">
        <v>5</v>
      </c>
    </row>
    <row r="247" spans="2:4" ht="13.5" thickBot="1" x14ac:dyDescent="0.35">
      <c r="B247" s="251">
        <v>0.999</v>
      </c>
      <c r="C247" s="247">
        <v>6</v>
      </c>
    </row>
    <row r="248" spans="2:4" ht="13.5" thickBot="1" x14ac:dyDescent="0.35">
      <c r="B248" s="248"/>
      <c r="C248" s="5"/>
    </row>
    <row r="249" spans="2:4" x14ac:dyDescent="0.3">
      <c r="B249" s="34" t="s">
        <v>1019</v>
      </c>
      <c r="C249" s="16"/>
    </row>
    <row r="250" spans="2:4" ht="13.5" thickBot="1" x14ac:dyDescent="0.35">
      <c r="B250" s="42" t="s">
        <v>1018</v>
      </c>
      <c r="C250" s="43" t="s">
        <v>1020</v>
      </c>
    </row>
    <row r="251" spans="2:4" x14ac:dyDescent="0.3">
      <c r="B251" s="129">
        <v>2</v>
      </c>
      <c r="C251" s="249">
        <v>2.6</v>
      </c>
    </row>
    <row r="252" spans="2:4" x14ac:dyDescent="0.3">
      <c r="B252" s="129">
        <v>3</v>
      </c>
      <c r="C252" s="249">
        <v>2.65</v>
      </c>
    </row>
    <row r="253" spans="2:4" x14ac:dyDescent="0.3">
      <c r="B253" s="129">
        <v>4</v>
      </c>
      <c r="C253" s="249">
        <v>2.89</v>
      </c>
    </row>
    <row r="254" spans="2:4" x14ac:dyDescent="0.3">
      <c r="B254" s="129">
        <v>5</v>
      </c>
      <c r="C254" s="249">
        <v>2.96</v>
      </c>
    </row>
    <row r="255" spans="2:4" ht="13.5" thickBot="1" x14ac:dyDescent="0.35">
      <c r="B255" s="251">
        <v>6</v>
      </c>
      <c r="C255" s="250">
        <v>3.09</v>
      </c>
    </row>
    <row r="256" spans="2:4" ht="13.5" thickBot="1" x14ac:dyDescent="0.35">
      <c r="B256" s="3"/>
      <c r="C256" s="287"/>
    </row>
    <row r="257" spans="2:8" x14ac:dyDescent="0.3">
      <c r="B257" s="34" t="s">
        <v>1021</v>
      </c>
      <c r="C257" s="292"/>
      <c r="D257" s="15"/>
      <c r="E257" s="16"/>
    </row>
    <row r="258" spans="2:8" x14ac:dyDescent="0.3">
      <c r="B258" s="17"/>
      <c r="D258" s="1" t="s">
        <v>1022</v>
      </c>
      <c r="E258" s="18"/>
    </row>
    <row r="259" spans="2:8" x14ac:dyDescent="0.3">
      <c r="B259" s="288" t="s">
        <v>1023</v>
      </c>
      <c r="C259" s="276">
        <v>1</v>
      </c>
      <c r="D259" s="277">
        <v>2</v>
      </c>
      <c r="E259" s="293">
        <v>3</v>
      </c>
    </row>
    <row r="260" spans="2:8" x14ac:dyDescent="0.3">
      <c r="B260" s="288">
        <v>1</v>
      </c>
      <c r="C260" s="276">
        <v>-4.74</v>
      </c>
      <c r="D260" s="277">
        <v>-4.8499999999999996</v>
      </c>
      <c r="E260" s="293">
        <v>-4.8499999999999996</v>
      </c>
    </row>
    <row r="261" spans="2:8" x14ac:dyDescent="0.3">
      <c r="B261" s="288">
        <v>2</v>
      </c>
      <c r="C261" s="278">
        <v>-28.39</v>
      </c>
      <c r="D261" s="19">
        <v>-28.39</v>
      </c>
      <c r="E261" s="20">
        <v>-28.39</v>
      </c>
    </row>
    <row r="262" spans="2:8" ht="13.5" thickBot="1" x14ac:dyDescent="0.35">
      <c r="B262" s="289">
        <v>3</v>
      </c>
      <c r="C262" s="290">
        <v>-8.67</v>
      </c>
      <c r="D262" s="291">
        <v>-9.7100000000000009</v>
      </c>
      <c r="E262" s="294">
        <v>-10.59</v>
      </c>
    </row>
    <row r="263" spans="2:8" ht="13.5" thickBot="1" x14ac:dyDescent="0.35"/>
    <row r="264" spans="2:8" x14ac:dyDescent="0.3">
      <c r="B264" s="34" t="s">
        <v>1024</v>
      </c>
      <c r="C264" s="15"/>
      <c r="D264" s="16"/>
    </row>
    <row r="265" spans="2:8" x14ac:dyDescent="0.3">
      <c r="B265" s="39"/>
      <c r="C265" s="40" t="s">
        <v>932</v>
      </c>
      <c r="D265" s="41"/>
    </row>
    <row r="266" spans="2:8" ht="13.5" thickBot="1" x14ac:dyDescent="0.35">
      <c r="B266" s="42" t="s">
        <v>14</v>
      </c>
      <c r="C266" s="35" t="s">
        <v>934</v>
      </c>
      <c r="D266" s="43" t="s">
        <v>1025</v>
      </c>
    </row>
    <row r="267" spans="2:8" x14ac:dyDescent="0.3">
      <c r="B267" s="17"/>
      <c r="C267" s="2"/>
      <c r="D267" s="18"/>
    </row>
    <row r="268" spans="2:8" x14ac:dyDescent="0.3">
      <c r="B268" s="44" t="s">
        <v>1026</v>
      </c>
      <c r="C268" s="36" t="s">
        <v>1027</v>
      </c>
      <c r="D268" s="85">
        <v>460</v>
      </c>
    </row>
    <row r="269" spans="2:8" x14ac:dyDescent="0.3">
      <c r="B269" s="44" t="s">
        <v>1028</v>
      </c>
      <c r="C269" s="36" t="s">
        <v>1029</v>
      </c>
      <c r="D269" s="83">
        <v>13.615</v>
      </c>
    </row>
    <row r="270" spans="2:8" x14ac:dyDescent="0.3">
      <c r="B270" s="44" t="s">
        <v>1030</v>
      </c>
      <c r="C270" s="36" t="s">
        <v>1031</v>
      </c>
      <c r="D270" s="84">
        <v>29.92</v>
      </c>
      <c r="F270" s="2"/>
      <c r="G270" s="2"/>
      <c r="H270" s="2"/>
    </row>
    <row r="271" spans="2:8" x14ac:dyDescent="0.3">
      <c r="B271" s="44" t="s">
        <v>1032</v>
      </c>
      <c r="C271" s="36" t="s">
        <v>1033</v>
      </c>
      <c r="D271" s="85">
        <v>70</v>
      </c>
      <c r="F271" s="2"/>
      <c r="G271" s="2"/>
      <c r="H271" s="2"/>
    </row>
    <row r="272" spans="2:8" x14ac:dyDescent="0.3">
      <c r="B272" s="44" t="s">
        <v>1034</v>
      </c>
      <c r="C272" s="36" t="s">
        <v>1035</v>
      </c>
      <c r="D272" s="83">
        <v>379.63</v>
      </c>
      <c r="F272" s="2"/>
      <c r="G272" s="2"/>
      <c r="H272" s="2"/>
    </row>
    <row r="273" spans="2:8" x14ac:dyDescent="0.3">
      <c r="B273" s="44" t="s">
        <v>1036</v>
      </c>
      <c r="C273" s="36" t="s">
        <v>1037</v>
      </c>
      <c r="D273" s="83">
        <v>386</v>
      </c>
      <c r="F273" s="2"/>
      <c r="G273" s="2"/>
      <c r="H273" s="2"/>
    </row>
    <row r="274" spans="2:8" x14ac:dyDescent="0.3">
      <c r="B274" s="44" t="s">
        <v>1038</v>
      </c>
      <c r="C274" s="36" t="s">
        <v>1039</v>
      </c>
      <c r="D274" s="83">
        <v>386.70400000000001</v>
      </c>
      <c r="F274" s="2"/>
      <c r="G274" s="82"/>
      <c r="H274" s="2"/>
    </row>
    <row r="275" spans="2:8" x14ac:dyDescent="0.3">
      <c r="B275" s="44" t="s">
        <v>1040</v>
      </c>
      <c r="C275" s="36" t="s">
        <v>1041</v>
      </c>
      <c r="D275" s="83">
        <v>0.746</v>
      </c>
      <c r="F275" s="2"/>
      <c r="G275" s="82"/>
      <c r="H275" s="2"/>
    </row>
    <row r="276" spans="2:8" x14ac:dyDescent="0.3">
      <c r="B276" s="44"/>
      <c r="C276" s="36"/>
      <c r="D276" s="85"/>
      <c r="F276" s="2"/>
      <c r="G276" s="2"/>
      <c r="H276" s="2"/>
    </row>
    <row r="277" spans="2:8" x14ac:dyDescent="0.3">
      <c r="B277" s="44"/>
      <c r="C277" s="36"/>
      <c r="D277" s="85"/>
      <c r="G277" s="82"/>
    </row>
    <row r="278" spans="2:8" x14ac:dyDescent="0.3">
      <c r="B278" s="44"/>
      <c r="C278" s="36"/>
      <c r="D278" s="85"/>
    </row>
    <row r="279" spans="2:8" x14ac:dyDescent="0.3">
      <c r="B279" s="44"/>
      <c r="C279" s="36"/>
      <c r="D279" s="86"/>
    </row>
    <row r="280" spans="2:8" x14ac:dyDescent="0.3">
      <c r="B280" s="46"/>
      <c r="C280" s="38"/>
      <c r="D280" s="55"/>
    </row>
    <row r="281" spans="2:8" ht="13.5" thickBot="1" x14ac:dyDescent="0.35">
      <c r="B281" s="47"/>
      <c r="C281" s="48"/>
      <c r="D281" s="54"/>
    </row>
    <row r="282" spans="2:8" ht="13.5" thickBot="1" x14ac:dyDescent="0.35">
      <c r="B282" s="57"/>
      <c r="C282" s="38"/>
      <c r="D282" s="58"/>
    </row>
    <row r="283" spans="2:8" x14ac:dyDescent="0.3">
      <c r="B283" s="34" t="s">
        <v>1042</v>
      </c>
      <c r="C283" s="16"/>
      <c r="D283" s="58"/>
    </row>
    <row r="284" spans="2:8" ht="13.5" thickBot="1" x14ac:dyDescent="0.35">
      <c r="B284" s="42" t="s">
        <v>79</v>
      </c>
      <c r="C284" s="43" t="s">
        <v>1002</v>
      </c>
      <c r="D284" s="58"/>
    </row>
    <row r="285" spans="2:8" x14ac:dyDescent="0.3">
      <c r="B285" s="129">
        <v>1979</v>
      </c>
      <c r="C285" s="296">
        <v>238.7</v>
      </c>
      <c r="D285" s="58"/>
    </row>
    <row r="286" spans="2:8" x14ac:dyDescent="0.3">
      <c r="B286" s="129">
        <v>1980</v>
      </c>
      <c r="C286" s="296">
        <v>261.2</v>
      </c>
      <c r="D286" s="58"/>
    </row>
    <row r="287" spans="2:8" x14ac:dyDescent="0.3">
      <c r="B287" s="129">
        <v>1981</v>
      </c>
      <c r="C287" s="296">
        <v>297</v>
      </c>
      <c r="D287" s="58"/>
    </row>
    <row r="288" spans="2:8" x14ac:dyDescent="0.3">
      <c r="B288" s="129">
        <v>1982</v>
      </c>
      <c r="C288" s="296">
        <v>314</v>
      </c>
      <c r="D288" s="58"/>
    </row>
    <row r="289" spans="2:4" x14ac:dyDescent="0.3">
      <c r="B289" s="129">
        <v>1983</v>
      </c>
      <c r="C289" s="296">
        <v>317</v>
      </c>
      <c r="D289" s="58"/>
    </row>
    <row r="290" spans="2:4" x14ac:dyDescent="0.3">
      <c r="B290" s="129">
        <v>1984</v>
      </c>
      <c r="C290" s="296">
        <v>322.7</v>
      </c>
      <c r="D290" s="58"/>
    </row>
    <row r="291" spans="2:4" x14ac:dyDescent="0.3">
      <c r="B291" s="129">
        <v>1985</v>
      </c>
      <c r="C291" s="296">
        <v>325.3</v>
      </c>
      <c r="D291" s="58"/>
    </row>
    <row r="292" spans="2:4" x14ac:dyDescent="0.3">
      <c r="B292" s="129">
        <v>1986</v>
      </c>
      <c r="C292" s="296">
        <v>318.39999999999998</v>
      </c>
      <c r="D292" s="58"/>
    </row>
    <row r="293" spans="2:4" x14ac:dyDescent="0.3">
      <c r="B293" s="129">
        <v>1987</v>
      </c>
      <c r="C293" s="296">
        <v>323.8</v>
      </c>
      <c r="D293" s="58"/>
    </row>
    <row r="294" spans="2:4" x14ac:dyDescent="0.3">
      <c r="B294" s="129">
        <v>1988</v>
      </c>
      <c r="C294" s="296">
        <v>342.5</v>
      </c>
      <c r="D294" s="58"/>
    </row>
    <row r="295" spans="2:4" x14ac:dyDescent="0.3">
      <c r="B295" s="129">
        <v>1989</v>
      </c>
      <c r="C295" s="296">
        <v>355.4</v>
      </c>
      <c r="D295" s="58"/>
    </row>
    <row r="296" spans="2:4" x14ac:dyDescent="0.3">
      <c r="B296" s="129">
        <v>1990</v>
      </c>
      <c r="C296" s="296">
        <v>357.6</v>
      </c>
      <c r="D296" s="58"/>
    </row>
    <row r="297" spans="2:4" x14ac:dyDescent="0.3">
      <c r="B297" s="129">
        <v>1991</v>
      </c>
      <c r="C297" s="296">
        <v>361.3</v>
      </c>
      <c r="D297" s="58"/>
    </row>
    <row r="298" spans="2:4" x14ac:dyDescent="0.3">
      <c r="B298" s="129">
        <v>1992</v>
      </c>
      <c r="C298" s="296">
        <v>358.2</v>
      </c>
      <c r="D298" s="58"/>
    </row>
    <row r="299" spans="2:4" x14ac:dyDescent="0.3">
      <c r="B299" s="129">
        <v>1993</v>
      </c>
      <c r="C299" s="296">
        <v>359.2</v>
      </c>
      <c r="D299" s="58"/>
    </row>
    <row r="300" spans="2:4" x14ac:dyDescent="0.3">
      <c r="B300" s="129">
        <v>1994</v>
      </c>
      <c r="C300" s="296">
        <v>368.1</v>
      </c>
      <c r="D300" s="58"/>
    </row>
    <row r="301" spans="2:4" x14ac:dyDescent="0.3">
      <c r="B301" s="129">
        <v>1995</v>
      </c>
      <c r="C301" s="296">
        <v>381.1</v>
      </c>
      <c r="D301" s="58"/>
    </row>
    <row r="302" spans="2:4" x14ac:dyDescent="0.3">
      <c r="B302" s="129">
        <v>1996</v>
      </c>
      <c r="C302" s="296">
        <v>381.7</v>
      </c>
      <c r="D302" s="58"/>
    </row>
    <row r="303" spans="2:4" ht="13.5" thickBot="1" x14ac:dyDescent="0.35">
      <c r="B303" s="251">
        <v>1997</v>
      </c>
      <c r="C303" s="297">
        <v>386.5</v>
      </c>
      <c r="D303" s="58"/>
    </row>
    <row r="304" spans="2:4" x14ac:dyDescent="0.3">
      <c r="B304" s="57"/>
      <c r="C304" s="38"/>
      <c r="D304" s="58"/>
    </row>
    <row r="306" spans="2:11" x14ac:dyDescent="0.3">
      <c r="B306" s="111"/>
      <c r="C306" s="111"/>
      <c r="D306" s="112"/>
      <c r="E306" s="112"/>
      <c r="F306" s="112"/>
      <c r="G306" s="112"/>
      <c r="H306" s="112"/>
      <c r="I306" s="112"/>
    </row>
    <row r="307" spans="2:11" ht="20.5" thickBot="1" x14ac:dyDescent="0.45">
      <c r="B307" s="109" t="s">
        <v>1043</v>
      </c>
      <c r="D307" s="90"/>
      <c r="E307" s="116" t="s">
        <v>320</v>
      </c>
      <c r="F307" s="116" t="s">
        <v>518</v>
      </c>
      <c r="G307" s="116" t="s">
        <v>519</v>
      </c>
      <c r="H307" s="116" t="s">
        <v>520</v>
      </c>
      <c r="I307" s="116" t="s">
        <v>521</v>
      </c>
    </row>
    <row r="308" spans="2:11" x14ac:dyDescent="0.3">
      <c r="D308" s="90"/>
      <c r="E308" s="90"/>
      <c r="F308" s="90"/>
      <c r="G308" s="90"/>
      <c r="H308" s="90"/>
    </row>
    <row r="309" spans="2:11" ht="15.5" x14ac:dyDescent="0.35">
      <c r="B309" s="110" t="s">
        <v>1044</v>
      </c>
      <c r="D309" s="90"/>
      <c r="E309" s="90"/>
      <c r="F309" s="90"/>
      <c r="G309" s="90"/>
      <c r="H309" s="90"/>
    </row>
    <row r="310" spans="2:11" x14ac:dyDescent="0.3">
      <c r="D310" s="90"/>
      <c r="E310" s="90"/>
      <c r="F310" s="90"/>
      <c r="G310" s="90"/>
      <c r="H310" s="90"/>
    </row>
    <row r="311" spans="2:11" x14ac:dyDescent="0.3">
      <c r="B311" s="1" t="s">
        <v>1045</v>
      </c>
      <c r="C311" s="90"/>
      <c r="D311" s="90"/>
      <c r="E311" s="90"/>
      <c r="F311" s="90"/>
      <c r="G311" s="90"/>
      <c r="H311" s="90"/>
      <c r="I311" s="90"/>
      <c r="J311" s="90"/>
      <c r="K311" s="90"/>
    </row>
    <row r="312" spans="2:11" x14ac:dyDescent="0.3">
      <c r="B312" s="113" t="s">
        <v>885</v>
      </c>
      <c r="C312" s="3" t="s">
        <v>878</v>
      </c>
      <c r="D312" s="90"/>
      <c r="E312" s="90">
        <f>INDEX(LibraryCoal,$A23,'Input &amp; Calculation Summary'!C$41)</f>
        <v>29</v>
      </c>
      <c r="F312" s="90">
        <f>INDEX(LibraryCoal,$A23,'Input &amp; Calculation Summary'!D$41)</f>
        <v>29</v>
      </c>
      <c r="G312" s="90">
        <f>INDEX(LibraryCoal,$A23,'Input &amp; Calculation Summary'!E$41)</f>
        <v>29</v>
      </c>
      <c r="H312" s="90">
        <f>INDEX(LibraryCoal,$A23,'Input &amp; Calculation Summary'!F$41)</f>
        <v>29</v>
      </c>
      <c r="I312" s="90">
        <f>INDEX(LibraryCoal,$A23,'Input &amp; Calculation Summary'!G$41)</f>
        <v>29</v>
      </c>
      <c r="J312" s="90"/>
      <c r="K312" s="90"/>
    </row>
    <row r="313" spans="2:11" x14ac:dyDescent="0.3">
      <c r="B313" s="113" t="s">
        <v>877</v>
      </c>
      <c r="C313" s="3" t="s">
        <v>878</v>
      </c>
      <c r="D313" s="90"/>
      <c r="E313" s="90">
        <f>INDEX(LibraryCoal,$A17,'Input &amp; Calculation Summary'!C$41)</f>
        <v>36</v>
      </c>
      <c r="F313" s="90">
        <f>INDEX(LibraryCoal,$A17,'Input &amp; Calculation Summary'!D$41)</f>
        <v>36</v>
      </c>
      <c r="G313" s="90">
        <f>INDEX(LibraryCoal,$A17,'Input &amp; Calculation Summary'!E$41)</f>
        <v>36</v>
      </c>
      <c r="H313" s="90">
        <f>INDEX(LibraryCoal,$A17,'Input &amp; Calculation Summary'!F$41)</f>
        <v>36</v>
      </c>
      <c r="I313" s="90">
        <f>INDEX(LibraryCoal,$A17,'Input &amp; Calculation Summary'!G$41)</f>
        <v>36</v>
      </c>
      <c r="J313" s="90"/>
      <c r="K313" s="90"/>
    </row>
    <row r="314" spans="2:11" x14ac:dyDescent="0.3">
      <c r="B314" s="113" t="s">
        <v>879</v>
      </c>
      <c r="C314" s="3" t="s">
        <v>878</v>
      </c>
      <c r="D314" s="90"/>
      <c r="E314" s="90">
        <f>INDEX(LibraryCoal,$A18,'Input &amp; Calculation Summary'!C$41)</f>
        <v>26.5</v>
      </c>
      <c r="F314" s="90">
        <f>INDEX(LibraryCoal,$A18,'Input &amp; Calculation Summary'!D$41)</f>
        <v>26.5</v>
      </c>
      <c r="G314" s="90">
        <f>INDEX(LibraryCoal,$A18,'Input &amp; Calculation Summary'!E$41)</f>
        <v>26.5</v>
      </c>
      <c r="H314" s="90">
        <f>INDEX(LibraryCoal,$A18,'Input &amp; Calculation Summary'!F$41)</f>
        <v>26.5</v>
      </c>
      <c r="I314" s="90">
        <f>INDEX(LibraryCoal,$A18,'Input &amp; Calculation Summary'!G$41)</f>
        <v>26.5</v>
      </c>
      <c r="J314" s="90"/>
      <c r="K314" s="90"/>
    </row>
    <row r="315" spans="2:11" x14ac:dyDescent="0.3">
      <c r="B315" s="113" t="s">
        <v>891</v>
      </c>
      <c r="C315" s="3" t="s">
        <v>878</v>
      </c>
      <c r="D315" s="90"/>
      <c r="E315" s="115">
        <f>INDEX(LibraryCoal,$A29,'Input &amp; Calculation Summary'!C$41)</f>
        <v>7</v>
      </c>
      <c r="F315" s="115">
        <f>INDEX(LibraryCoal,$A29,'Input &amp; Calculation Summary'!D$41)</f>
        <v>7</v>
      </c>
      <c r="G315" s="115">
        <f>INDEX(LibraryCoal,$A29,'Input &amp; Calculation Summary'!E$41)</f>
        <v>7</v>
      </c>
      <c r="H315" s="115">
        <f>INDEX(LibraryCoal,$A29,'Input &amp; Calculation Summary'!F$41)</f>
        <v>7</v>
      </c>
      <c r="I315" s="115">
        <f>INDEX(LibraryCoal,$A29,'Input &amp; Calculation Summary'!G$41)</f>
        <v>7</v>
      </c>
      <c r="J315" s="90"/>
      <c r="K315" s="90"/>
    </row>
    <row r="316" spans="2:11" x14ac:dyDescent="0.3">
      <c r="B316" s="113" t="s">
        <v>626</v>
      </c>
      <c r="C316" s="90"/>
      <c r="D316" s="90"/>
      <c r="E316" s="90">
        <f>SUM(E312:E315)</f>
        <v>98.5</v>
      </c>
      <c r="F316" s="90">
        <f>SUM(F312:F315)</f>
        <v>98.5</v>
      </c>
      <c r="G316" s="90">
        <f>SUM(G312:G315)</f>
        <v>98.5</v>
      </c>
      <c r="H316" s="90">
        <f>SUM(H312:H315)</f>
        <v>98.5</v>
      </c>
      <c r="I316" s="90">
        <f>SUM(I312:I315)</f>
        <v>98.5</v>
      </c>
      <c r="J316" s="90"/>
      <c r="K316" s="90"/>
    </row>
    <row r="317" spans="2:11" x14ac:dyDescent="0.3">
      <c r="C317" s="90"/>
      <c r="D317" s="90"/>
      <c r="E317" s="90"/>
      <c r="F317" s="90"/>
      <c r="G317" s="90"/>
      <c r="H317" s="90"/>
      <c r="I317" s="90"/>
      <c r="J317" s="90"/>
      <c r="K317" s="90"/>
    </row>
    <row r="318" spans="2:11" x14ac:dyDescent="0.3">
      <c r="B318" s="1" t="s">
        <v>1046</v>
      </c>
      <c r="C318" s="90"/>
      <c r="D318" s="90"/>
      <c r="E318" s="90"/>
      <c r="F318" s="90"/>
      <c r="G318" s="90"/>
      <c r="H318" s="90"/>
      <c r="I318" s="90"/>
      <c r="J318" s="90"/>
      <c r="K318" s="90"/>
    </row>
    <row r="319" spans="2:11" x14ac:dyDescent="0.3">
      <c r="B319" s="114" t="s">
        <v>885</v>
      </c>
      <c r="C319" s="3" t="s">
        <v>878</v>
      </c>
      <c r="D319" s="90"/>
      <c r="E319" s="90">
        <f>INDEX(LibraryCoal,$A23,'Input &amp; Calculation Summary'!C$41)</f>
        <v>29</v>
      </c>
      <c r="F319" s="90">
        <f>INDEX(LibraryCoal,$A23,'Input &amp; Calculation Summary'!D$41)</f>
        <v>29</v>
      </c>
      <c r="G319" s="90">
        <f>INDEX(LibraryCoal,$A23,'Input &amp; Calculation Summary'!E$41)</f>
        <v>29</v>
      </c>
      <c r="H319" s="90">
        <f>INDEX(LibraryCoal,$A23,'Input &amp; Calculation Summary'!F$41)</f>
        <v>29</v>
      </c>
      <c r="I319" s="90">
        <f>INDEX(LibraryCoal,$A23,'Input &amp; Calculation Summary'!G$41)</f>
        <v>29</v>
      </c>
      <c r="J319" s="90"/>
      <c r="K319" s="90"/>
    </row>
    <row r="320" spans="2:11" x14ac:dyDescent="0.3">
      <c r="B320" s="114" t="s">
        <v>886</v>
      </c>
      <c r="C320" s="3" t="s">
        <v>878</v>
      </c>
      <c r="D320" s="90"/>
      <c r="E320" s="90">
        <f>INDEX(LibraryCoal,$A24,'Input &amp; Calculation Summary'!C$41)</f>
        <v>70</v>
      </c>
      <c r="F320" s="90">
        <f>INDEX(LibraryCoal,$A24,'Input &amp; Calculation Summary'!D$41)</f>
        <v>70</v>
      </c>
      <c r="G320" s="90">
        <f>INDEX(LibraryCoal,$A24,'Input &amp; Calculation Summary'!E$41)</f>
        <v>70</v>
      </c>
      <c r="H320" s="90">
        <f>INDEX(LibraryCoal,$A24,'Input &amp; Calculation Summary'!F$41)</f>
        <v>70</v>
      </c>
      <c r="I320" s="90">
        <f>INDEX(LibraryCoal,$A24,'Input &amp; Calculation Summary'!G$41)</f>
        <v>70</v>
      </c>
      <c r="J320" s="90"/>
      <c r="K320" s="90"/>
    </row>
    <row r="321" spans="2:11" x14ac:dyDescent="0.3">
      <c r="B321" s="114" t="s">
        <v>887</v>
      </c>
      <c r="C321" s="3" t="s">
        <v>878</v>
      </c>
      <c r="D321" s="90"/>
      <c r="E321" s="90">
        <f>INDEX(LibraryCoal,$A25,'Input &amp; Calculation Summary'!C$41)</f>
        <v>5</v>
      </c>
      <c r="F321" s="90">
        <f>INDEX(LibraryCoal,$A25,'Input &amp; Calculation Summary'!D$41)</f>
        <v>5</v>
      </c>
      <c r="G321" s="90">
        <f>INDEX(LibraryCoal,$A25,'Input &amp; Calculation Summary'!E$41)</f>
        <v>5</v>
      </c>
      <c r="H321" s="90">
        <f>INDEX(LibraryCoal,$A25,'Input &amp; Calculation Summary'!F$41)</f>
        <v>5</v>
      </c>
      <c r="I321" s="90">
        <f>INDEX(LibraryCoal,$A25,'Input &amp; Calculation Summary'!G$41)</f>
        <v>5</v>
      </c>
      <c r="J321" s="90"/>
      <c r="K321" s="90"/>
    </row>
    <row r="322" spans="2:11" x14ac:dyDescent="0.3">
      <c r="B322" s="114" t="s">
        <v>888</v>
      </c>
      <c r="C322" s="3" t="s">
        <v>878</v>
      </c>
      <c r="D322" s="90"/>
      <c r="E322" s="90">
        <f>INDEX(LibraryCoal,$A26,'Input &amp; Calculation Summary'!C$41)</f>
        <v>0.8</v>
      </c>
      <c r="F322" s="90">
        <f>INDEX(LibraryCoal,$A26,'Input &amp; Calculation Summary'!D$41)</f>
        <v>0.8</v>
      </c>
      <c r="G322" s="90">
        <f>INDEX(LibraryCoal,$A26,'Input &amp; Calculation Summary'!E$41)</f>
        <v>0.8</v>
      </c>
      <c r="H322" s="90">
        <f>INDEX(LibraryCoal,$A26,'Input &amp; Calculation Summary'!F$41)</f>
        <v>0.8</v>
      </c>
      <c r="I322" s="90">
        <f>INDEX(LibraryCoal,$A26,'Input &amp; Calculation Summary'!G$41)</f>
        <v>0.8</v>
      </c>
      <c r="J322" s="90"/>
      <c r="K322" s="90"/>
    </row>
    <row r="323" spans="2:11" x14ac:dyDescent="0.3">
      <c r="B323" s="114" t="s">
        <v>889</v>
      </c>
      <c r="C323" s="3" t="s">
        <v>878</v>
      </c>
      <c r="D323" s="90"/>
      <c r="E323" s="90">
        <f>INDEX(LibraryCoal,$A27,'Input &amp; Calculation Summary'!C$41)</f>
        <v>0</v>
      </c>
      <c r="F323" s="90">
        <f>INDEX(LibraryCoal,$A27,'Input &amp; Calculation Summary'!D$41)</f>
        <v>0</v>
      </c>
      <c r="G323" s="90">
        <f>INDEX(LibraryCoal,$A27,'Input &amp; Calculation Summary'!E$41)</f>
        <v>0</v>
      </c>
      <c r="H323" s="90">
        <f>INDEX(LibraryCoal,$A27,'Input &amp; Calculation Summary'!F$41)</f>
        <v>0</v>
      </c>
      <c r="I323" s="90">
        <f>INDEX(LibraryCoal,$A27,'Input &amp; Calculation Summary'!G$41)</f>
        <v>0</v>
      </c>
      <c r="J323" s="90"/>
      <c r="K323" s="90"/>
    </row>
    <row r="324" spans="2:11" x14ac:dyDescent="0.3">
      <c r="B324" s="114" t="s">
        <v>890</v>
      </c>
      <c r="C324" s="3" t="s">
        <v>878</v>
      </c>
      <c r="D324" s="90"/>
      <c r="E324" s="90">
        <f>INDEX(LibraryCoal,$A28,'Input &amp; Calculation Summary'!C$41)</f>
        <v>0.3</v>
      </c>
      <c r="F324" s="90">
        <f>INDEX(LibraryCoal,$A28,'Input &amp; Calculation Summary'!D$41)</f>
        <v>0.3</v>
      </c>
      <c r="G324" s="90">
        <f>INDEX(LibraryCoal,$A28,'Input &amp; Calculation Summary'!E$41)</f>
        <v>0.3</v>
      </c>
      <c r="H324" s="90">
        <f>INDEX(LibraryCoal,$A28,'Input &amp; Calculation Summary'!F$41)</f>
        <v>0.3</v>
      </c>
      <c r="I324" s="90">
        <f>INDEX(LibraryCoal,$A28,'Input &amp; Calculation Summary'!G$41)</f>
        <v>0.3</v>
      </c>
      <c r="J324" s="90"/>
      <c r="K324" s="90"/>
    </row>
    <row r="325" spans="2:11" x14ac:dyDescent="0.3">
      <c r="B325" s="114" t="s">
        <v>891</v>
      </c>
      <c r="C325" s="3" t="s">
        <v>878</v>
      </c>
      <c r="D325" s="90"/>
      <c r="E325" s="90">
        <f>INDEX(LibraryCoal,$A29,'Input &amp; Calculation Summary'!C$41)</f>
        <v>7</v>
      </c>
      <c r="F325" s="90">
        <f>INDEX(LibraryCoal,$A29,'Input &amp; Calculation Summary'!D$41)</f>
        <v>7</v>
      </c>
      <c r="G325" s="90">
        <f>INDEX(LibraryCoal,$A29,'Input &amp; Calculation Summary'!E$41)</f>
        <v>7</v>
      </c>
      <c r="H325" s="90">
        <f>INDEX(LibraryCoal,$A29,'Input &amp; Calculation Summary'!F$41)</f>
        <v>7</v>
      </c>
      <c r="I325" s="90">
        <f>INDEX(LibraryCoal,$A29,'Input &amp; Calculation Summary'!G$41)</f>
        <v>7</v>
      </c>
      <c r="J325" s="90"/>
      <c r="K325" s="90"/>
    </row>
    <row r="326" spans="2:11" x14ac:dyDescent="0.3">
      <c r="B326" s="114" t="s">
        <v>892</v>
      </c>
      <c r="C326" s="3" t="s">
        <v>878</v>
      </c>
      <c r="D326" s="90"/>
      <c r="E326" s="115">
        <f>INDEX(LibraryCoal,$A30,'Input &amp; Calculation Summary'!C$41)</f>
        <v>0</v>
      </c>
      <c r="F326" s="115">
        <f>INDEX(LibraryCoal,$A30,'Input &amp; Calculation Summary'!D$41)</f>
        <v>0</v>
      </c>
      <c r="G326" s="115">
        <f>INDEX(LibraryCoal,$A30,'Input &amp; Calculation Summary'!E$41)</f>
        <v>0</v>
      </c>
      <c r="H326" s="115">
        <f>INDEX(LibraryCoal,$A30,'Input &amp; Calculation Summary'!F$41)</f>
        <v>0</v>
      </c>
      <c r="I326" s="115">
        <f>INDEX(LibraryCoal,$A30,'Input &amp; Calculation Summary'!G$41)</f>
        <v>0</v>
      </c>
      <c r="J326" s="90"/>
      <c r="K326" s="90"/>
    </row>
    <row r="327" spans="2:11" x14ac:dyDescent="0.3">
      <c r="B327" s="113" t="s">
        <v>626</v>
      </c>
      <c r="C327" s="90"/>
      <c r="D327" s="90"/>
      <c r="E327" s="90">
        <f>SUM(E319:E326)</f>
        <v>112.1</v>
      </c>
      <c r="F327" s="90">
        <f>SUM(F319:F326)</f>
        <v>112.1</v>
      </c>
      <c r="G327" s="90">
        <f>SUM(G319:G326)</f>
        <v>112.1</v>
      </c>
      <c r="H327" s="90">
        <f>SUM(H319:H326)</f>
        <v>112.1</v>
      </c>
      <c r="I327" s="90">
        <f>SUM(I319:I326)</f>
        <v>112.1</v>
      </c>
      <c r="J327" s="90"/>
      <c r="K327" s="90"/>
    </row>
    <row r="328" spans="2:11" x14ac:dyDescent="0.3">
      <c r="C328" s="90"/>
      <c r="D328" s="90"/>
      <c r="E328" s="90"/>
      <c r="F328" s="90"/>
      <c r="G328" s="90"/>
      <c r="H328" s="90"/>
      <c r="I328" s="90"/>
      <c r="J328" s="90"/>
      <c r="K328" s="90"/>
    </row>
    <row r="329" spans="2:11" x14ac:dyDescent="0.3">
      <c r="B329" s="1" t="s">
        <v>1047</v>
      </c>
      <c r="C329" s="90"/>
      <c r="D329" s="90"/>
      <c r="E329" s="90"/>
      <c r="F329" s="90"/>
      <c r="G329" s="90"/>
      <c r="H329" s="90"/>
      <c r="I329" s="90"/>
      <c r="J329" s="90"/>
      <c r="K329" s="90"/>
    </row>
    <row r="330" spans="2:11" x14ac:dyDescent="0.3">
      <c r="B330" s="113" t="s">
        <v>1048</v>
      </c>
      <c r="C330" s="5" t="s">
        <v>894</v>
      </c>
      <c r="D330" s="90"/>
      <c r="E330" s="90">
        <f>INDEX(LibraryCoal,$A33,'Input &amp; Calculation Summary'!C$41)</f>
        <v>7560</v>
      </c>
      <c r="F330" s="90">
        <f>INDEX(LibraryCoal,$A33,'Input &amp; Calculation Summary'!D$41)</f>
        <v>7560</v>
      </c>
      <c r="G330" s="90">
        <f>INDEX(LibraryCoal,$A33,'Input &amp; Calculation Summary'!E$41)</f>
        <v>7560</v>
      </c>
      <c r="H330" s="90">
        <f>INDEX(LibraryCoal,$A33,'Input &amp; Calculation Summary'!F$41)</f>
        <v>7560</v>
      </c>
      <c r="I330" s="90">
        <f>INDEX(LibraryCoal,$A33,'Input &amp; Calculation Summary'!G$41)</f>
        <v>7560</v>
      </c>
      <c r="J330" s="90"/>
      <c r="K330" s="90"/>
    </row>
    <row r="331" spans="2:11" x14ac:dyDescent="0.3">
      <c r="B331" s="1" t="s">
        <v>1049</v>
      </c>
      <c r="C331" s="5" t="s">
        <v>292</v>
      </c>
      <c r="D331" s="90"/>
      <c r="E331" s="100">
        <f>INDEX(LibraryCoal,$A14,'Input &amp; Calculation Summary'!C$41)</f>
        <v>1.5</v>
      </c>
      <c r="F331" s="100">
        <f>INDEX(LibraryCoal,$A14,'Input &amp; Calculation Summary'!D$41)</f>
        <v>1.5</v>
      </c>
      <c r="G331" s="100">
        <f>INDEX(LibraryCoal,$A14,'Input &amp; Calculation Summary'!E$41)</f>
        <v>1.5</v>
      </c>
      <c r="H331" s="100">
        <f>INDEX(LibraryCoal,$A14,'Input &amp; Calculation Summary'!F$41)</f>
        <v>1.5</v>
      </c>
      <c r="I331" s="100">
        <f>INDEX(LibraryCoal,$A14,'Input &amp; Calculation Summary'!G$41)</f>
        <v>1.5</v>
      </c>
      <c r="J331" s="90"/>
      <c r="K331" s="90"/>
    </row>
    <row r="332" spans="2:11" x14ac:dyDescent="0.3">
      <c r="B332" s="114" t="s">
        <v>895</v>
      </c>
      <c r="C332" s="4"/>
      <c r="D332" s="90"/>
      <c r="E332" s="90"/>
      <c r="F332" s="90"/>
      <c r="G332" s="90"/>
      <c r="H332" s="90"/>
      <c r="I332" s="90"/>
      <c r="J332" s="90"/>
      <c r="K332" s="90"/>
    </row>
    <row r="333" spans="2:11" x14ac:dyDescent="0.3">
      <c r="B333" s="114" t="s">
        <v>896</v>
      </c>
      <c r="C333" s="3" t="s">
        <v>878</v>
      </c>
      <c r="D333" s="90"/>
      <c r="E333" s="100">
        <f>INDEX(LibraryCoal,$A36,'Input &amp; Calculation Summary'!C$41)</f>
        <v>44.4</v>
      </c>
      <c r="F333" s="100">
        <f>INDEX(LibraryCoal,$A36,'Input &amp; Calculation Summary'!D$41)</f>
        <v>44.4</v>
      </c>
      <c r="G333" s="100">
        <f>INDEX(LibraryCoal,$A36,'Input &amp; Calculation Summary'!E$41)</f>
        <v>44.4</v>
      </c>
      <c r="H333" s="100">
        <f>INDEX(LibraryCoal,$A36,'Input &amp; Calculation Summary'!F$41)</f>
        <v>44.4</v>
      </c>
      <c r="I333" s="100">
        <f>INDEX(LibraryCoal,$A36,'Input &amp; Calculation Summary'!G$41)</f>
        <v>44.4</v>
      </c>
      <c r="J333" s="90"/>
      <c r="K333" s="90"/>
    </row>
    <row r="334" spans="2:11" x14ac:dyDescent="0.3">
      <c r="B334" s="114" t="s">
        <v>897</v>
      </c>
      <c r="C334" s="3" t="s">
        <v>878</v>
      </c>
      <c r="D334" s="90"/>
      <c r="E334" s="100">
        <f>INDEX(LibraryCoal,$A37,'Input &amp; Calculation Summary'!C$41)</f>
        <v>18</v>
      </c>
      <c r="F334" s="100">
        <f>INDEX(LibraryCoal,$A37,'Input &amp; Calculation Summary'!D$41)</f>
        <v>18</v>
      </c>
      <c r="G334" s="100">
        <f>INDEX(LibraryCoal,$A37,'Input &amp; Calculation Summary'!E$41)</f>
        <v>18</v>
      </c>
      <c r="H334" s="100">
        <f>INDEX(LibraryCoal,$A37,'Input &amp; Calculation Summary'!F$41)</f>
        <v>18</v>
      </c>
      <c r="I334" s="100">
        <f>INDEX(LibraryCoal,$A37,'Input &amp; Calculation Summary'!G$41)</f>
        <v>18</v>
      </c>
      <c r="J334" s="90"/>
      <c r="K334" s="90"/>
    </row>
    <row r="335" spans="2:11" x14ac:dyDescent="0.3">
      <c r="B335" s="114" t="s">
        <v>898</v>
      </c>
      <c r="C335" s="3" t="s">
        <v>878</v>
      </c>
      <c r="D335" s="90"/>
      <c r="E335" s="100">
        <f>INDEX(LibraryCoal,$A38,'Input &amp; Calculation Summary'!C$41)</f>
        <v>0.8</v>
      </c>
      <c r="F335" s="100">
        <f>INDEX(LibraryCoal,$A38,'Input &amp; Calculation Summary'!D$41)</f>
        <v>0.8</v>
      </c>
      <c r="G335" s="100">
        <f>INDEX(LibraryCoal,$A38,'Input &amp; Calculation Summary'!E$41)</f>
        <v>0.8</v>
      </c>
      <c r="H335" s="100">
        <f>INDEX(LibraryCoal,$A38,'Input &amp; Calculation Summary'!F$41)</f>
        <v>0.8</v>
      </c>
      <c r="I335" s="100">
        <f>INDEX(LibraryCoal,$A38,'Input &amp; Calculation Summary'!G$41)</f>
        <v>0.8</v>
      </c>
      <c r="J335" s="90"/>
      <c r="K335" s="90"/>
    </row>
    <row r="336" spans="2:11" x14ac:dyDescent="0.3">
      <c r="B336" s="114" t="s">
        <v>899</v>
      </c>
      <c r="C336" s="3" t="s">
        <v>878</v>
      </c>
      <c r="D336" s="90"/>
      <c r="E336" s="100">
        <f>INDEX(LibraryCoal,$A39,'Input &amp; Calculation Summary'!C$41)</f>
        <v>7</v>
      </c>
      <c r="F336" s="100">
        <f>INDEX(LibraryCoal,$A39,'Input &amp; Calculation Summary'!D$41)</f>
        <v>7</v>
      </c>
      <c r="G336" s="100">
        <f>INDEX(LibraryCoal,$A39,'Input &amp; Calculation Summary'!E$41)</f>
        <v>7</v>
      </c>
      <c r="H336" s="100">
        <f>INDEX(LibraryCoal,$A39,'Input &amp; Calculation Summary'!F$41)</f>
        <v>7</v>
      </c>
      <c r="I336" s="100">
        <f>INDEX(LibraryCoal,$A39,'Input &amp; Calculation Summary'!G$41)</f>
        <v>7</v>
      </c>
      <c r="J336" s="90"/>
      <c r="K336" s="90"/>
    </row>
    <row r="337" spans="2:11" x14ac:dyDescent="0.3">
      <c r="B337" s="114" t="s">
        <v>900</v>
      </c>
      <c r="C337" s="3" t="s">
        <v>878</v>
      </c>
      <c r="D337" s="90"/>
      <c r="E337" s="100">
        <f>INDEX(LibraryCoal,$A40,'Input &amp; Calculation Summary'!C$41)</f>
        <v>19.100000000000001</v>
      </c>
      <c r="F337" s="100">
        <f>INDEX(LibraryCoal,$A40,'Input &amp; Calculation Summary'!D$41)</f>
        <v>19.100000000000001</v>
      </c>
      <c r="G337" s="100">
        <f>INDEX(LibraryCoal,$A40,'Input &amp; Calculation Summary'!E$41)</f>
        <v>19.100000000000001</v>
      </c>
      <c r="H337" s="100">
        <f>INDEX(LibraryCoal,$A40,'Input &amp; Calculation Summary'!F$41)</f>
        <v>19.100000000000001</v>
      </c>
      <c r="I337" s="100">
        <f>INDEX(LibraryCoal,$A40,'Input &amp; Calculation Summary'!G$41)</f>
        <v>19.100000000000001</v>
      </c>
      <c r="J337" s="90"/>
      <c r="K337" s="90"/>
    </row>
    <row r="338" spans="2:11" x14ac:dyDescent="0.3">
      <c r="B338" s="114" t="s">
        <v>901</v>
      </c>
      <c r="C338" s="3" t="s">
        <v>878</v>
      </c>
      <c r="D338" s="90"/>
      <c r="E338" s="100">
        <f>INDEX(LibraryCoal,$A41,'Input &amp; Calculation Summary'!C$41)</f>
        <v>3.1</v>
      </c>
      <c r="F338" s="100">
        <f>INDEX(LibraryCoal,$A41,'Input &amp; Calculation Summary'!D$41)</f>
        <v>3.1</v>
      </c>
      <c r="G338" s="100">
        <f>INDEX(LibraryCoal,$A41,'Input &amp; Calculation Summary'!E$41)</f>
        <v>3.1</v>
      </c>
      <c r="H338" s="100">
        <f>INDEX(LibraryCoal,$A41,'Input &amp; Calculation Summary'!F$41)</f>
        <v>3.1</v>
      </c>
      <c r="I338" s="100">
        <f>INDEX(LibraryCoal,$A41,'Input &amp; Calculation Summary'!G$41)</f>
        <v>3.1</v>
      </c>
      <c r="J338" s="90"/>
      <c r="K338" s="90"/>
    </row>
    <row r="339" spans="2:11" x14ac:dyDescent="0.3">
      <c r="B339" s="114" t="s">
        <v>902</v>
      </c>
      <c r="C339" s="3" t="s">
        <v>878</v>
      </c>
      <c r="D339" s="90"/>
      <c r="E339" s="100">
        <f>INDEX(LibraryCoal,$A42,'Input &amp; Calculation Summary'!C$41)</f>
        <v>0.3</v>
      </c>
      <c r="F339" s="100">
        <f>INDEX(LibraryCoal,$A42,'Input &amp; Calculation Summary'!D$41)</f>
        <v>0.3</v>
      </c>
      <c r="G339" s="100">
        <f>INDEX(LibraryCoal,$A42,'Input &amp; Calculation Summary'!E$41)</f>
        <v>0.3</v>
      </c>
      <c r="H339" s="100">
        <f>INDEX(LibraryCoal,$A42,'Input &amp; Calculation Summary'!F$41)</f>
        <v>0.3</v>
      </c>
      <c r="I339" s="100">
        <f>INDEX(LibraryCoal,$A42,'Input &amp; Calculation Summary'!G$41)</f>
        <v>0.3</v>
      </c>
      <c r="J339" s="90"/>
      <c r="K339" s="90"/>
    </row>
    <row r="340" spans="2:11" x14ac:dyDescent="0.3">
      <c r="B340" s="114" t="s">
        <v>903</v>
      </c>
      <c r="C340" s="3" t="s">
        <v>878</v>
      </c>
      <c r="D340" s="90"/>
      <c r="E340" s="100">
        <f>INDEX(LibraryCoal,$A43,'Input &amp; Calculation Summary'!C$41)</f>
        <v>1.2</v>
      </c>
      <c r="F340" s="100">
        <f>INDEX(LibraryCoal,$A43,'Input &amp; Calculation Summary'!D$41)</f>
        <v>1.2</v>
      </c>
      <c r="G340" s="100">
        <f>INDEX(LibraryCoal,$A43,'Input &amp; Calculation Summary'!E$41)</f>
        <v>1.2</v>
      </c>
      <c r="H340" s="100">
        <f>INDEX(LibraryCoal,$A43,'Input &amp; Calculation Summary'!F$41)</f>
        <v>1.2</v>
      </c>
      <c r="I340" s="100">
        <f>INDEX(LibraryCoal,$A43,'Input &amp; Calculation Summary'!G$41)</f>
        <v>1.2</v>
      </c>
      <c r="J340" s="90"/>
      <c r="K340" s="90"/>
    </row>
    <row r="341" spans="2:11" x14ac:dyDescent="0.3">
      <c r="B341" s="114" t="s">
        <v>904</v>
      </c>
      <c r="C341" s="3" t="s">
        <v>878</v>
      </c>
      <c r="D341" s="90"/>
      <c r="E341" s="100">
        <f>INDEX(LibraryCoal,$A44,'Input &amp; Calculation Summary'!C$41)</f>
        <v>7.0000000000000007E-2</v>
      </c>
      <c r="F341" s="100">
        <f>INDEX(LibraryCoal,$A44,'Input &amp; Calculation Summary'!D$41)</f>
        <v>7.0000000000000007E-2</v>
      </c>
      <c r="G341" s="100">
        <f>INDEX(LibraryCoal,$A44,'Input &amp; Calculation Summary'!E$41)</f>
        <v>7.0000000000000007E-2</v>
      </c>
      <c r="H341" s="100">
        <f>INDEX(LibraryCoal,$A44,'Input &amp; Calculation Summary'!F$41)</f>
        <v>7.0000000000000007E-2</v>
      </c>
      <c r="I341" s="100">
        <f>INDEX(LibraryCoal,$A44,'Input &amp; Calculation Summary'!G$41)</f>
        <v>7.0000000000000007E-2</v>
      </c>
      <c r="J341" s="90"/>
      <c r="K341" s="90"/>
    </row>
    <row r="342" spans="2:11" x14ac:dyDescent="0.3">
      <c r="B342" s="114" t="s">
        <v>905</v>
      </c>
      <c r="C342" s="3" t="s">
        <v>878</v>
      </c>
      <c r="D342" s="90"/>
      <c r="E342" s="100">
        <f>INDEX(LibraryCoal,$A45,'Input &amp; Calculation Summary'!C$41)</f>
        <v>5.0999999999999996</v>
      </c>
      <c r="F342" s="100">
        <f>INDEX(LibraryCoal,$A45,'Input &amp; Calculation Summary'!D$41)</f>
        <v>5.0999999999999996</v>
      </c>
      <c r="G342" s="100">
        <f>INDEX(LibraryCoal,$A45,'Input &amp; Calculation Summary'!E$41)</f>
        <v>5.0999999999999996</v>
      </c>
      <c r="H342" s="100">
        <f>INDEX(LibraryCoal,$A45,'Input &amp; Calculation Summary'!F$41)</f>
        <v>5.0999999999999996</v>
      </c>
      <c r="I342" s="100">
        <f>INDEX(LibraryCoal,$A45,'Input &amp; Calculation Summary'!G$41)</f>
        <v>5.0999999999999996</v>
      </c>
      <c r="J342" s="90"/>
      <c r="K342" s="90"/>
    </row>
    <row r="343" spans="2:11" x14ac:dyDescent="0.3">
      <c r="B343" s="114" t="s">
        <v>906</v>
      </c>
      <c r="C343" s="3" t="s">
        <v>878</v>
      </c>
      <c r="D343" s="90"/>
      <c r="E343" s="119">
        <f>INDEX(LibraryCoal,$A46,'Input &amp; Calculation Summary'!C$41)</f>
        <v>0.93</v>
      </c>
      <c r="F343" s="119">
        <f>INDEX(LibraryCoal,$A46,'Input &amp; Calculation Summary'!D$41)</f>
        <v>0.93</v>
      </c>
      <c r="G343" s="119">
        <f>INDEX(LibraryCoal,$A46,'Input &amp; Calculation Summary'!E$41)</f>
        <v>0.93</v>
      </c>
      <c r="H343" s="119">
        <f>INDEX(LibraryCoal,$A46,'Input &amp; Calculation Summary'!F$41)</f>
        <v>0.93</v>
      </c>
      <c r="I343" s="119">
        <f>INDEX(LibraryCoal,$A46,'Input &amp; Calculation Summary'!G$41)</f>
        <v>0.93</v>
      </c>
      <c r="J343" s="90"/>
      <c r="K343" s="90"/>
    </row>
    <row r="344" spans="2:11" x14ac:dyDescent="0.3">
      <c r="B344" s="113" t="s">
        <v>626</v>
      </c>
      <c r="C344" s="3" t="s">
        <v>878</v>
      </c>
      <c r="D344" s="90"/>
      <c r="E344" s="100">
        <f>SUM(E333:E343)</f>
        <v>99.999999999999972</v>
      </c>
      <c r="F344" s="100">
        <f>SUM(F333:F343)</f>
        <v>99.999999999999972</v>
      </c>
      <c r="G344" s="100">
        <f>SUM(G333:G343)</f>
        <v>99.999999999999972</v>
      </c>
      <c r="H344" s="100">
        <f>SUM(H333:H343)</f>
        <v>99.999999999999972</v>
      </c>
      <c r="I344" s="100">
        <f>SUM(I333:I343)</f>
        <v>99.999999999999972</v>
      </c>
      <c r="J344" s="90"/>
      <c r="K344" s="90"/>
    </row>
    <row r="345" spans="2:11" x14ac:dyDescent="0.3">
      <c r="B345" s="113"/>
      <c r="C345" s="5"/>
      <c r="D345" s="90"/>
      <c r="E345" s="90"/>
      <c r="F345" s="90"/>
      <c r="G345" s="90"/>
      <c r="H345" s="90"/>
      <c r="I345" s="90"/>
      <c r="J345" s="90"/>
      <c r="K345" s="90"/>
    </row>
    <row r="346" spans="2:11" x14ac:dyDescent="0.3">
      <c r="B346" s="1" t="s">
        <v>1050</v>
      </c>
      <c r="C346" s="90"/>
      <c r="D346" s="90"/>
      <c r="E346" s="90"/>
      <c r="F346" s="90"/>
      <c r="G346" s="90"/>
      <c r="H346" s="90"/>
      <c r="I346" s="90"/>
      <c r="J346" s="90"/>
      <c r="K346" s="90"/>
    </row>
    <row r="347" spans="2:11" x14ac:dyDescent="0.3">
      <c r="B347" s="113" t="s">
        <v>885</v>
      </c>
      <c r="C347" s="90" t="s">
        <v>171</v>
      </c>
      <c r="D347" s="90"/>
      <c r="E347" s="100">
        <f>E312*10000/E$330</f>
        <v>38.359788359788361</v>
      </c>
      <c r="F347" s="100">
        <f>F312*10000/F$330</f>
        <v>38.359788359788361</v>
      </c>
      <c r="G347" s="100">
        <f>G312*10000/G$330</f>
        <v>38.359788359788361</v>
      </c>
      <c r="H347" s="100">
        <f>H312*10000/H$330</f>
        <v>38.359788359788361</v>
      </c>
      <c r="I347" s="100">
        <f>I312*10000/I$330</f>
        <v>38.359788359788361</v>
      </c>
      <c r="J347" s="90"/>
      <c r="K347" s="90"/>
    </row>
    <row r="348" spans="2:11" x14ac:dyDescent="0.3">
      <c r="B348" s="113" t="s">
        <v>877</v>
      </c>
      <c r="C348" s="90" t="s">
        <v>171</v>
      </c>
      <c r="D348" s="90"/>
      <c r="E348" s="100">
        <f t="shared" ref="E348:F350" si="7">E313*10000/E$330</f>
        <v>47.61904761904762</v>
      </c>
      <c r="F348" s="100">
        <f t="shared" si="7"/>
        <v>47.61904761904762</v>
      </c>
      <c r="G348" s="100">
        <f t="shared" ref="G348:I350" si="8">G313*10000/G$330</f>
        <v>47.61904761904762</v>
      </c>
      <c r="H348" s="100">
        <f t="shared" si="8"/>
        <v>47.61904761904762</v>
      </c>
      <c r="I348" s="100">
        <f t="shared" si="8"/>
        <v>47.61904761904762</v>
      </c>
      <c r="J348" s="90"/>
      <c r="K348" s="90"/>
    </row>
    <row r="349" spans="2:11" x14ac:dyDescent="0.3">
      <c r="B349" s="113" t="s">
        <v>879</v>
      </c>
      <c r="C349" s="90" t="s">
        <v>171</v>
      </c>
      <c r="D349" s="90"/>
      <c r="E349" s="100">
        <f t="shared" si="7"/>
        <v>35.05291005291005</v>
      </c>
      <c r="F349" s="100">
        <f t="shared" si="7"/>
        <v>35.05291005291005</v>
      </c>
      <c r="G349" s="100">
        <f t="shared" si="8"/>
        <v>35.05291005291005</v>
      </c>
      <c r="H349" s="100">
        <f t="shared" si="8"/>
        <v>35.05291005291005</v>
      </c>
      <c r="I349" s="100">
        <f t="shared" si="8"/>
        <v>35.05291005291005</v>
      </c>
      <c r="J349" s="90"/>
      <c r="K349" s="90"/>
    </row>
    <row r="350" spans="2:11" x14ac:dyDescent="0.3">
      <c r="B350" s="113" t="s">
        <v>891</v>
      </c>
      <c r="C350" s="90" t="s">
        <v>171</v>
      </c>
      <c r="D350" s="90"/>
      <c r="E350" s="119">
        <f t="shared" si="7"/>
        <v>9.2592592592592595</v>
      </c>
      <c r="F350" s="119">
        <f t="shared" si="7"/>
        <v>9.2592592592592595</v>
      </c>
      <c r="G350" s="119">
        <f t="shared" si="8"/>
        <v>9.2592592592592595</v>
      </c>
      <c r="H350" s="119">
        <f t="shared" si="8"/>
        <v>9.2592592592592595</v>
      </c>
      <c r="I350" s="119">
        <f t="shared" si="8"/>
        <v>9.2592592592592595</v>
      </c>
      <c r="J350" s="90"/>
      <c r="K350" s="90"/>
    </row>
    <row r="351" spans="2:11" x14ac:dyDescent="0.3">
      <c r="B351" s="113" t="s">
        <v>626</v>
      </c>
      <c r="C351" s="90" t="s">
        <v>171</v>
      </c>
      <c r="D351" s="90"/>
      <c r="E351" s="100">
        <f>SUM(E347:E350)</f>
        <v>130.29100529100529</v>
      </c>
      <c r="F351" s="100">
        <f>SUM(F347:F350)</f>
        <v>130.29100529100529</v>
      </c>
      <c r="G351" s="100">
        <f>SUM(G347:G350)</f>
        <v>130.29100529100529</v>
      </c>
      <c r="H351" s="100">
        <f>SUM(H347:H350)</f>
        <v>130.29100529100529</v>
      </c>
      <c r="I351" s="100">
        <f>SUM(I347:I350)</f>
        <v>130.29100529100529</v>
      </c>
      <c r="J351" s="90"/>
      <c r="K351" s="90"/>
    </row>
    <row r="352" spans="2:11" x14ac:dyDescent="0.3">
      <c r="C352" s="90"/>
      <c r="D352" s="90"/>
      <c r="E352" s="90"/>
      <c r="F352" s="90"/>
      <c r="G352" s="90"/>
      <c r="H352" s="90"/>
      <c r="I352" s="90"/>
      <c r="J352" s="90"/>
      <c r="K352" s="90"/>
    </row>
    <row r="353" spans="2:11" x14ac:dyDescent="0.3">
      <c r="B353" s="1" t="s">
        <v>1051</v>
      </c>
      <c r="C353" s="90"/>
      <c r="D353" s="90"/>
      <c r="E353" s="90"/>
      <c r="F353" s="90"/>
      <c r="G353" s="90"/>
      <c r="H353" s="90"/>
      <c r="I353" s="90"/>
      <c r="J353" s="90"/>
      <c r="K353" s="90"/>
    </row>
    <row r="354" spans="2:11" x14ac:dyDescent="0.3">
      <c r="B354" s="114" t="s">
        <v>885</v>
      </c>
      <c r="C354" s="90" t="s">
        <v>171</v>
      </c>
      <c r="D354" s="90"/>
      <c r="E354" s="100">
        <f>E319*10000/E$330</f>
        <v>38.359788359788361</v>
      </c>
      <c r="F354" s="100">
        <f>F319*10000/F$330</f>
        <v>38.359788359788361</v>
      </c>
      <c r="G354" s="100">
        <f>G319*10000/G$330</f>
        <v>38.359788359788361</v>
      </c>
      <c r="H354" s="100">
        <f>H319*10000/H$330</f>
        <v>38.359788359788361</v>
      </c>
      <c r="I354" s="100">
        <f>I319*10000/I$330</f>
        <v>38.359788359788361</v>
      </c>
      <c r="J354" s="90"/>
      <c r="K354" s="90"/>
    </row>
    <row r="355" spans="2:11" x14ac:dyDescent="0.3">
      <c r="B355" s="114" t="s">
        <v>886</v>
      </c>
      <c r="C355" s="90" t="s">
        <v>171</v>
      </c>
      <c r="D355" s="90"/>
      <c r="E355" s="100">
        <f t="shared" ref="E355:F361" si="9">E320*10000/E$330</f>
        <v>92.592592592592595</v>
      </c>
      <c r="F355" s="100">
        <f t="shared" si="9"/>
        <v>92.592592592592595</v>
      </c>
      <c r="G355" s="100">
        <f t="shared" ref="G355:I361" si="10">G320*10000/G$330</f>
        <v>92.592592592592595</v>
      </c>
      <c r="H355" s="100">
        <f t="shared" si="10"/>
        <v>92.592592592592595</v>
      </c>
      <c r="I355" s="100">
        <f t="shared" si="10"/>
        <v>92.592592592592595</v>
      </c>
      <c r="J355" s="90"/>
      <c r="K355" s="90"/>
    </row>
    <row r="356" spans="2:11" x14ac:dyDescent="0.3">
      <c r="B356" s="114" t="s">
        <v>887</v>
      </c>
      <c r="C356" s="90" t="s">
        <v>171</v>
      </c>
      <c r="D356" s="90"/>
      <c r="E356" s="100">
        <f t="shared" si="9"/>
        <v>6.6137566137566139</v>
      </c>
      <c r="F356" s="100">
        <f t="shared" si="9"/>
        <v>6.6137566137566139</v>
      </c>
      <c r="G356" s="100">
        <f t="shared" si="10"/>
        <v>6.6137566137566139</v>
      </c>
      <c r="H356" s="100">
        <f t="shared" si="10"/>
        <v>6.6137566137566139</v>
      </c>
      <c r="I356" s="100">
        <f t="shared" si="10"/>
        <v>6.6137566137566139</v>
      </c>
      <c r="J356" s="90"/>
      <c r="K356" s="90"/>
    </row>
    <row r="357" spans="2:11" x14ac:dyDescent="0.3">
      <c r="B357" s="114" t="s">
        <v>888</v>
      </c>
      <c r="C357" s="90" t="s">
        <v>171</v>
      </c>
      <c r="D357" s="90"/>
      <c r="E357" s="100">
        <f t="shared" si="9"/>
        <v>1.0582010582010581</v>
      </c>
      <c r="F357" s="100">
        <f t="shared" si="9"/>
        <v>1.0582010582010581</v>
      </c>
      <c r="G357" s="100">
        <f t="shared" si="10"/>
        <v>1.0582010582010581</v>
      </c>
      <c r="H357" s="100">
        <f t="shared" si="10"/>
        <v>1.0582010582010581</v>
      </c>
      <c r="I357" s="100">
        <f t="shared" si="10"/>
        <v>1.0582010582010581</v>
      </c>
      <c r="J357" s="90"/>
      <c r="K357" s="90"/>
    </row>
    <row r="358" spans="2:11" x14ac:dyDescent="0.3">
      <c r="B358" s="114" t="s">
        <v>889</v>
      </c>
      <c r="C358" s="90" t="s">
        <v>171</v>
      </c>
      <c r="D358" s="90"/>
      <c r="E358" s="100">
        <f t="shared" si="9"/>
        <v>0</v>
      </c>
      <c r="F358" s="100">
        <f t="shared" si="9"/>
        <v>0</v>
      </c>
      <c r="G358" s="100">
        <f t="shared" si="10"/>
        <v>0</v>
      </c>
      <c r="H358" s="100">
        <f t="shared" si="10"/>
        <v>0</v>
      </c>
      <c r="I358" s="100">
        <f t="shared" si="10"/>
        <v>0</v>
      </c>
      <c r="J358" s="90"/>
      <c r="K358" s="90"/>
    </row>
    <row r="359" spans="2:11" x14ac:dyDescent="0.3">
      <c r="B359" s="114" t="s">
        <v>890</v>
      </c>
      <c r="C359" s="90" t="s">
        <v>171</v>
      </c>
      <c r="D359" s="90"/>
      <c r="E359" s="100">
        <f t="shared" si="9"/>
        <v>0.3968253968253968</v>
      </c>
      <c r="F359" s="100">
        <f t="shared" si="9"/>
        <v>0.3968253968253968</v>
      </c>
      <c r="G359" s="100">
        <f t="shared" si="10"/>
        <v>0.3968253968253968</v>
      </c>
      <c r="H359" s="100">
        <f t="shared" si="10"/>
        <v>0.3968253968253968</v>
      </c>
      <c r="I359" s="100">
        <f t="shared" si="10"/>
        <v>0.3968253968253968</v>
      </c>
      <c r="J359" s="90"/>
      <c r="K359" s="90"/>
    </row>
    <row r="360" spans="2:11" x14ac:dyDescent="0.3">
      <c r="B360" s="114" t="s">
        <v>891</v>
      </c>
      <c r="C360" s="90" t="s">
        <v>171</v>
      </c>
      <c r="D360" s="90"/>
      <c r="E360" s="100">
        <f t="shared" si="9"/>
        <v>9.2592592592592595</v>
      </c>
      <c r="F360" s="100">
        <f t="shared" si="9"/>
        <v>9.2592592592592595</v>
      </c>
      <c r="G360" s="100">
        <f t="shared" si="10"/>
        <v>9.2592592592592595</v>
      </c>
      <c r="H360" s="100">
        <f t="shared" si="10"/>
        <v>9.2592592592592595</v>
      </c>
      <c r="I360" s="100">
        <f t="shared" si="10"/>
        <v>9.2592592592592595</v>
      </c>
      <c r="J360" s="90"/>
      <c r="K360" s="90"/>
    </row>
    <row r="361" spans="2:11" x14ac:dyDescent="0.3">
      <c r="B361" s="114" t="s">
        <v>892</v>
      </c>
      <c r="C361" s="90" t="s">
        <v>171</v>
      </c>
      <c r="D361" s="90"/>
      <c r="E361" s="119">
        <f t="shared" si="9"/>
        <v>0</v>
      </c>
      <c r="F361" s="119">
        <f t="shared" si="9"/>
        <v>0</v>
      </c>
      <c r="G361" s="119">
        <f t="shared" si="10"/>
        <v>0</v>
      </c>
      <c r="H361" s="119">
        <f t="shared" si="10"/>
        <v>0</v>
      </c>
      <c r="I361" s="119">
        <f t="shared" si="10"/>
        <v>0</v>
      </c>
      <c r="J361" s="90"/>
      <c r="K361" s="90"/>
    </row>
    <row r="362" spans="2:11" x14ac:dyDescent="0.3">
      <c r="B362" s="113" t="s">
        <v>626</v>
      </c>
      <c r="C362" s="90" t="s">
        <v>171</v>
      </c>
      <c r="D362" s="90"/>
      <c r="E362" s="100">
        <f>SUM(E354:E361)</f>
        <v>148.28042328042329</v>
      </c>
      <c r="F362" s="100">
        <f>SUM(F354:F361)</f>
        <v>148.28042328042329</v>
      </c>
      <c r="G362" s="100">
        <f>SUM(G354:G361)</f>
        <v>148.28042328042329</v>
      </c>
      <c r="H362" s="100">
        <f>SUM(H354:H361)</f>
        <v>148.28042328042329</v>
      </c>
      <c r="I362" s="100">
        <f>SUM(I354:I361)</f>
        <v>148.28042328042329</v>
      </c>
      <c r="J362" s="90"/>
      <c r="K362" s="90"/>
    </row>
    <row r="363" spans="2:11" x14ac:dyDescent="0.3">
      <c r="C363" s="90"/>
      <c r="D363" s="90"/>
      <c r="E363" s="90"/>
      <c r="F363" s="90"/>
      <c r="G363" s="90"/>
      <c r="H363" s="90"/>
      <c r="I363" s="90"/>
      <c r="J363" s="90"/>
      <c r="K363" s="90"/>
    </row>
    <row r="364" spans="2:11" x14ac:dyDescent="0.3">
      <c r="B364" s="1" t="s">
        <v>1052</v>
      </c>
      <c r="C364" s="90"/>
      <c r="D364" s="90"/>
      <c r="E364" s="90"/>
      <c r="F364" s="90"/>
      <c r="G364" s="90"/>
      <c r="H364" s="90"/>
      <c r="I364" s="90"/>
      <c r="J364" s="90"/>
      <c r="K364" s="90"/>
    </row>
    <row r="365" spans="2:11" x14ac:dyDescent="0.3">
      <c r="B365" s="114" t="s">
        <v>885</v>
      </c>
      <c r="C365" s="90" t="s">
        <v>1053</v>
      </c>
      <c r="D365" s="90"/>
      <c r="E365" s="117">
        <f>E354/H2O_MolWt</f>
        <v>2.1292847295576083</v>
      </c>
      <c r="F365" s="117">
        <f>F354/H2O_MolWt</f>
        <v>2.1292847295576083</v>
      </c>
      <c r="G365" s="117">
        <f>G354/H2O_MolWt</f>
        <v>2.1292847295576083</v>
      </c>
      <c r="H365" s="117">
        <f>H354/H2O_MolWt</f>
        <v>2.1292847295576083</v>
      </c>
      <c r="I365" s="117">
        <f>I354/H2O_MolWt</f>
        <v>2.1292847295576083</v>
      </c>
      <c r="J365" s="90"/>
      <c r="K365" s="90"/>
    </row>
    <row r="366" spans="2:11" x14ac:dyDescent="0.3">
      <c r="B366" s="114" t="s">
        <v>886</v>
      </c>
      <c r="C366" s="90" t="s">
        <v>1053</v>
      </c>
      <c r="D366" s="90"/>
      <c r="E366" s="117">
        <f>E355/C_MolWt</f>
        <v>7.7088865423038255</v>
      </c>
      <c r="F366" s="117">
        <f>F355/C_MolWt</f>
        <v>7.7088865423038255</v>
      </c>
      <c r="G366" s="117">
        <f>G355/C_MolWt</f>
        <v>7.7088865423038255</v>
      </c>
      <c r="H366" s="117">
        <f>H355/C_MolWt</f>
        <v>7.7088865423038255</v>
      </c>
      <c r="I366" s="117">
        <f>I355/C_MolWt</f>
        <v>7.7088865423038255</v>
      </c>
      <c r="J366" s="90"/>
      <c r="K366" s="90"/>
    </row>
    <row r="367" spans="2:11" x14ac:dyDescent="0.3">
      <c r="B367" s="114" t="s">
        <v>887</v>
      </c>
      <c r="C367" s="90" t="s">
        <v>1053</v>
      </c>
      <c r="D367" s="90"/>
      <c r="E367" s="117">
        <f>E356/H2_MolWt</f>
        <v>3.2807308817507534</v>
      </c>
      <c r="F367" s="117">
        <f>F356/H2_MolWt</f>
        <v>3.2807308817507534</v>
      </c>
      <c r="G367" s="117">
        <f>G356/H2_MolWt</f>
        <v>3.2807308817507534</v>
      </c>
      <c r="H367" s="117">
        <f>H356/H2_MolWt</f>
        <v>3.2807308817507534</v>
      </c>
      <c r="I367" s="117">
        <f>I356/H2_MolWt</f>
        <v>3.2807308817507534</v>
      </c>
      <c r="J367" s="90"/>
      <c r="K367" s="90"/>
    </row>
    <row r="368" spans="2:11" x14ac:dyDescent="0.3">
      <c r="B368" s="114" t="s">
        <v>888</v>
      </c>
      <c r="C368" s="90" t="s">
        <v>1053</v>
      </c>
      <c r="D368" s="90"/>
      <c r="E368" s="117">
        <f>E357/N2_MolWt</f>
        <v>3.7765919279124129E-2</v>
      </c>
      <c r="F368" s="117">
        <f>F357/N2_MolWt</f>
        <v>3.7765919279124129E-2</v>
      </c>
      <c r="G368" s="117">
        <f>G357/N2_MolWt</f>
        <v>3.7765919279124129E-2</v>
      </c>
      <c r="H368" s="117">
        <f>H357/N2_MolWt</f>
        <v>3.7765919279124129E-2</v>
      </c>
      <c r="I368" s="117">
        <f>I357/N2_MolWt</f>
        <v>3.7765919279124129E-2</v>
      </c>
      <c r="J368" s="90"/>
      <c r="K368" s="90"/>
    </row>
    <row r="369" spans="2:11" x14ac:dyDescent="0.3">
      <c r="B369" s="114" t="s">
        <v>889</v>
      </c>
      <c r="C369" s="90" t="s">
        <v>1053</v>
      </c>
      <c r="D369" s="90"/>
      <c r="E369" s="117">
        <f>E358/Cl2_MolWt</f>
        <v>0</v>
      </c>
      <c r="F369" s="117">
        <f>F358/Cl2_MolWt</f>
        <v>0</v>
      </c>
      <c r="G369" s="117">
        <f>G358/Cl2_MolWt</f>
        <v>0</v>
      </c>
      <c r="H369" s="117">
        <f>H358/Cl2_MolWt</f>
        <v>0</v>
      </c>
      <c r="I369" s="117">
        <f>I358/Cl2_MolWt</f>
        <v>0</v>
      </c>
      <c r="J369" s="90"/>
      <c r="K369" s="90"/>
    </row>
    <row r="370" spans="2:11" x14ac:dyDescent="0.3">
      <c r="B370" s="114" t="s">
        <v>890</v>
      </c>
      <c r="C370" s="90" t="s">
        <v>1053</v>
      </c>
      <c r="D370" s="90"/>
      <c r="E370" s="117">
        <f>E359/S_MolWt</f>
        <v>1.2376041567658333E-2</v>
      </c>
      <c r="F370" s="117">
        <f>F359/S_MolWt</f>
        <v>1.2376041567658333E-2</v>
      </c>
      <c r="G370" s="117">
        <f>G359/S_MolWt</f>
        <v>1.2376041567658333E-2</v>
      </c>
      <c r="H370" s="117">
        <f>H359/S_MolWt</f>
        <v>1.2376041567658333E-2</v>
      </c>
      <c r="I370" s="117">
        <f>I359/S_MolWt</f>
        <v>1.2376041567658333E-2</v>
      </c>
      <c r="J370" s="90"/>
      <c r="K370" s="90"/>
    </row>
    <row r="371" spans="2:11" x14ac:dyDescent="0.3">
      <c r="B371" s="114" t="s">
        <v>891</v>
      </c>
      <c r="C371" s="90" t="s">
        <v>1053</v>
      </c>
      <c r="D371" s="90"/>
      <c r="E371" s="117">
        <f>E360/Ash_MolWt</f>
        <v>9.2592592592592595</v>
      </c>
      <c r="F371" s="117">
        <f>F360/Ash_MolWt</f>
        <v>9.2592592592592595</v>
      </c>
      <c r="G371" s="117">
        <f>G360/Ash_MolWt</f>
        <v>9.2592592592592595</v>
      </c>
      <c r="H371" s="117">
        <f>H360/Ash_MolWt</f>
        <v>9.2592592592592595</v>
      </c>
      <c r="I371" s="117">
        <f>I360/Ash_MolWt</f>
        <v>9.2592592592592595</v>
      </c>
      <c r="J371" s="90"/>
      <c r="K371" s="90"/>
    </row>
    <row r="372" spans="2:11" x14ac:dyDescent="0.3">
      <c r="B372" s="114" t="s">
        <v>892</v>
      </c>
      <c r="C372" s="90" t="s">
        <v>1053</v>
      </c>
      <c r="D372" s="90"/>
      <c r="E372" s="117">
        <f>E361/O2_MolWt</f>
        <v>0</v>
      </c>
      <c r="F372" s="117">
        <f>F361/O2_MolWt</f>
        <v>0</v>
      </c>
      <c r="G372" s="117">
        <f>G361/O2_MolWt</f>
        <v>0</v>
      </c>
      <c r="H372" s="117">
        <f>H361/O2_MolWt</f>
        <v>0</v>
      </c>
      <c r="I372" s="117">
        <f>I361/O2_MolWt</f>
        <v>0</v>
      </c>
      <c r="J372" s="90"/>
      <c r="K372" s="90"/>
    </row>
    <row r="373" spans="2:11" x14ac:dyDescent="0.3">
      <c r="B373" s="113"/>
      <c r="C373" s="90"/>
      <c r="D373" s="90"/>
      <c r="E373" s="118"/>
      <c r="F373" s="90"/>
      <c r="G373" s="90"/>
      <c r="H373" s="90"/>
      <c r="I373" s="90"/>
      <c r="J373" s="90"/>
      <c r="K373" s="90"/>
    </row>
    <row r="374" spans="2:11" ht="15.5" x14ac:dyDescent="0.35">
      <c r="B374" s="123" t="s">
        <v>1054</v>
      </c>
      <c r="C374" s="90"/>
      <c r="D374" s="90"/>
      <c r="E374" s="90"/>
      <c r="F374" s="90"/>
      <c r="G374" s="90"/>
      <c r="H374" s="90"/>
      <c r="I374" s="90"/>
      <c r="J374" s="90"/>
      <c r="K374" s="90"/>
    </row>
    <row r="375" spans="2:11" x14ac:dyDescent="0.3">
      <c r="B375" s="121" t="s">
        <v>1055</v>
      </c>
      <c r="C375" s="90"/>
      <c r="D375" s="90"/>
      <c r="E375" s="90"/>
      <c r="F375" s="90"/>
      <c r="G375" s="90"/>
      <c r="H375" s="90"/>
      <c r="I375" s="90"/>
      <c r="J375" s="90"/>
      <c r="K375" s="90"/>
    </row>
    <row r="376" spans="2:11" x14ac:dyDescent="0.3">
      <c r="B376" s="113" t="s">
        <v>528</v>
      </c>
      <c r="C376" s="90" t="s">
        <v>1053</v>
      </c>
      <c r="D376" s="90"/>
      <c r="E376" s="118">
        <f>E366-E426</f>
        <v>7.6703421095923066</v>
      </c>
      <c r="F376" s="118">
        <f>F366-F426</f>
        <v>7.6703421095923066</v>
      </c>
      <c r="G376" s="118">
        <f>G366-G426</f>
        <v>7.6703421095923066</v>
      </c>
      <c r="H376" s="118">
        <f>H366-H426</f>
        <v>7.6703421095923066</v>
      </c>
      <c r="I376" s="118">
        <f>I366-I426</f>
        <v>7.6703421095923066</v>
      </c>
      <c r="J376" s="90"/>
      <c r="K376" s="90"/>
    </row>
    <row r="377" spans="2:11" x14ac:dyDescent="0.3">
      <c r="B377" s="113" t="s">
        <v>1056</v>
      </c>
      <c r="C377" s="90" t="s">
        <v>1053</v>
      </c>
      <c r="D377" s="90"/>
      <c r="E377" s="118">
        <f>E425/NO_MolWt</f>
        <v>1.005205813683273E-2</v>
      </c>
      <c r="F377" s="118">
        <f>F425/NO_MolWt</f>
        <v>1.005205813683273E-2</v>
      </c>
      <c r="G377" s="118">
        <f>G425/NO_MolWt</f>
        <v>1.005205813683273E-2</v>
      </c>
      <c r="H377" s="118">
        <f>H425/NO_MolWt</f>
        <v>1.005205813683273E-2</v>
      </c>
      <c r="I377" s="118">
        <f>I425/NO_MolWt</f>
        <v>1.005205813683273E-2</v>
      </c>
      <c r="J377" s="90"/>
      <c r="K377" s="90"/>
    </row>
    <row r="378" spans="2:11" x14ac:dyDescent="0.3">
      <c r="B378" s="113" t="s">
        <v>532</v>
      </c>
      <c r="C378" s="90" t="s">
        <v>1053</v>
      </c>
      <c r="D378" s="90"/>
      <c r="E378" s="118">
        <f>E369*2</f>
        <v>0</v>
      </c>
      <c r="F378" s="118">
        <f>F369*2</f>
        <v>0</v>
      </c>
      <c r="G378" s="118">
        <f>G369*2</f>
        <v>0</v>
      </c>
      <c r="H378" s="118">
        <f>H369*2</f>
        <v>0</v>
      </c>
      <c r="I378" s="118">
        <f>I369*2</f>
        <v>0</v>
      </c>
      <c r="J378" s="90"/>
      <c r="K378" s="90"/>
    </row>
    <row r="379" spans="2:11" x14ac:dyDescent="0.3">
      <c r="B379" s="113" t="s">
        <v>530</v>
      </c>
      <c r="C379" s="90" t="s">
        <v>1053</v>
      </c>
      <c r="D379" s="90"/>
      <c r="E379" s="118">
        <f>E370</f>
        <v>1.2376041567658333E-2</v>
      </c>
      <c r="F379" s="118">
        <f>F370</f>
        <v>1.2376041567658333E-2</v>
      </c>
      <c r="G379" s="118">
        <f>G370</f>
        <v>1.2376041567658333E-2</v>
      </c>
      <c r="H379" s="118">
        <f>H370</f>
        <v>1.2376041567658333E-2</v>
      </c>
      <c r="I379" s="118">
        <f>I370</f>
        <v>1.2376041567658333E-2</v>
      </c>
      <c r="J379" s="90"/>
      <c r="K379" s="90"/>
    </row>
    <row r="380" spans="2:11" x14ac:dyDescent="0.3">
      <c r="B380" s="113" t="s">
        <v>1057</v>
      </c>
      <c r="C380" s="90" t="s">
        <v>1053</v>
      </c>
      <c r="D380" s="90"/>
      <c r="E380" s="118">
        <f>(E376+E377+E379+E367*0.5-E372)*'Input &amp; Calculation Summary'!C28</f>
        <v>11.199762780206608</v>
      </c>
      <c r="F380" s="118">
        <f>(F376+F377+F379+F367*0.5-F372)*'Input &amp; Calculation Summary'!D28</f>
        <v>11.199762780206608</v>
      </c>
      <c r="G380" s="118">
        <f>(G376+G377+G379+G367*0.5-G372)*'Input &amp; Calculation Summary'!E28</f>
        <v>11.199762780206608</v>
      </c>
      <c r="H380" s="118">
        <f>(H376+H377+H379+H367*0.5-H372)*'Input &amp; Calculation Summary'!F28</f>
        <v>11.199762780206608</v>
      </c>
      <c r="I380" s="118">
        <f>(I376+I377+I379+I367*0.5-I372)*'Input &amp; Calculation Summary'!G28</f>
        <v>11.199762780206608</v>
      </c>
      <c r="J380" s="90"/>
      <c r="K380" s="90"/>
    </row>
    <row r="381" spans="2:11" x14ac:dyDescent="0.3">
      <c r="B381" s="113" t="s">
        <v>529</v>
      </c>
      <c r="C381" s="90" t="s">
        <v>1053</v>
      </c>
      <c r="D381" s="90"/>
      <c r="E381" s="118">
        <f>E380*3.7619+E368-(E377*0.5)</f>
        <v>42.165127493069946</v>
      </c>
      <c r="F381" s="118">
        <f>F380*3.7619+F368-(F377*0.5)</f>
        <v>42.165127493069946</v>
      </c>
      <c r="G381" s="118">
        <f>G380*3.7619+G368-(G377*0.5)</f>
        <v>42.165127493069946</v>
      </c>
      <c r="H381" s="118">
        <f>H380*3.7619+H368-(H377*0.5)</f>
        <v>42.165127493069946</v>
      </c>
      <c r="I381" s="118">
        <f>I380*3.7619+I368-(I377*0.5)</f>
        <v>42.165127493069946</v>
      </c>
      <c r="J381" s="90"/>
      <c r="K381" s="90"/>
    </row>
    <row r="382" spans="2:11" x14ac:dyDescent="0.3">
      <c r="B382" s="113" t="s">
        <v>531</v>
      </c>
      <c r="C382" s="90" t="s">
        <v>1053</v>
      </c>
      <c r="D382" s="90"/>
      <c r="E382" s="118">
        <f>E380-(E380/'Input &amp; Calculation Summary'!C28)</f>
        <v>1.8666271300344341</v>
      </c>
      <c r="F382" s="118">
        <f>F380-(F380/'Input &amp; Calculation Summary'!D28)</f>
        <v>1.8666271300344341</v>
      </c>
      <c r="G382" s="118">
        <f>G380-(G380/'Input &amp; Calculation Summary'!E28)</f>
        <v>1.8666271300344341</v>
      </c>
      <c r="H382" s="118">
        <f>H380-(H380/'Input &amp; Calculation Summary'!F28)</f>
        <v>1.8666271300344341</v>
      </c>
      <c r="I382" s="118">
        <f>I380-(I380/'Input &amp; Calculation Summary'!G28)</f>
        <v>1.8666271300344341</v>
      </c>
      <c r="J382" s="90"/>
      <c r="K382" s="90"/>
    </row>
    <row r="383" spans="2:11" x14ac:dyDescent="0.3">
      <c r="B383" s="113" t="s">
        <v>1058</v>
      </c>
      <c r="C383" s="90" t="s">
        <v>1053</v>
      </c>
      <c r="D383" s="90"/>
      <c r="E383" s="118">
        <f>E365+E367+((E380+(E380*3.7619))*'Input &amp; Calculation Summary'!C34*(Air_MolWt/H2O_MolWt))</f>
        <v>6.5205156768037247</v>
      </c>
      <c r="F383" s="118">
        <f>F365+F367+((F380+(F380*3.7619))*'Input &amp; Calculation Summary'!D34*(Air_MolWt/H2O_MolWt))</f>
        <v>6.5205156768037247</v>
      </c>
      <c r="G383" s="118">
        <f>G365+G367+((G380+(G380*3.7619))*'Input &amp; Calculation Summary'!E34*(Air_MolWt/H2O_MolWt))</f>
        <v>6.5205156768037247</v>
      </c>
      <c r="H383" s="118">
        <f>H365+H367+((H380+(H380*3.7619))*'Input &amp; Calculation Summary'!F34*(Air_MolWt/H2O_MolWt))</f>
        <v>6.5205156768037247</v>
      </c>
      <c r="I383" s="118">
        <f>I365+I367+((I380+(I380*3.7619))*'Input &amp; Calculation Summary'!G34*(Air_MolWt/H2O_MolWt))</f>
        <v>6.5205156768037247</v>
      </c>
      <c r="J383" s="90"/>
      <c r="K383" s="90"/>
    </row>
    <row r="384" spans="2:11" x14ac:dyDescent="0.3">
      <c r="B384" s="113" t="s">
        <v>1059</v>
      </c>
      <c r="C384" s="90" t="s">
        <v>1053</v>
      </c>
      <c r="D384" s="90"/>
      <c r="E384" s="118">
        <f>SUM(E376:E379)+E381+E382</f>
        <v>51.724524832401173</v>
      </c>
      <c r="F384" s="118">
        <f>SUM(F376:F379)+F381+F382</f>
        <v>51.724524832401173</v>
      </c>
      <c r="G384" s="118">
        <f>SUM(G376:G379)+G381+G382</f>
        <v>51.724524832401173</v>
      </c>
      <c r="H384" s="118">
        <f>SUM(H376:H379)+H381+H382</f>
        <v>51.724524832401173</v>
      </c>
      <c r="I384" s="118">
        <f>SUM(I376:I379)+I381+I382</f>
        <v>51.724524832401173</v>
      </c>
      <c r="J384" s="90"/>
      <c r="K384" s="90"/>
    </row>
    <row r="385" spans="2:11" x14ac:dyDescent="0.3">
      <c r="B385" s="113" t="s">
        <v>1060</v>
      </c>
      <c r="C385" s="90" t="s">
        <v>1053</v>
      </c>
      <c r="D385" s="90"/>
      <c r="E385" s="118">
        <f>E384+E383</f>
        <v>58.245040509204898</v>
      </c>
      <c r="F385" s="118">
        <f>F384+F383</f>
        <v>58.245040509204898</v>
      </c>
      <c r="G385" s="118">
        <f>G384+G383</f>
        <v>58.245040509204898</v>
      </c>
      <c r="H385" s="118">
        <f>H384+H383</f>
        <v>58.245040509204898</v>
      </c>
      <c r="I385" s="118">
        <f>I384+I383</f>
        <v>58.245040509204898</v>
      </c>
      <c r="J385" s="90"/>
      <c r="K385" s="90"/>
    </row>
    <row r="386" spans="2:11" x14ac:dyDescent="0.3">
      <c r="B386" s="113"/>
      <c r="C386" s="90"/>
      <c r="D386" s="90"/>
      <c r="E386" s="90"/>
      <c r="F386" s="90"/>
      <c r="G386" s="90"/>
      <c r="H386" s="90"/>
      <c r="I386" s="90"/>
      <c r="J386" s="90"/>
      <c r="K386" s="90"/>
    </row>
    <row r="387" spans="2:11" x14ac:dyDescent="0.3">
      <c r="B387" s="121" t="s">
        <v>1061</v>
      </c>
      <c r="C387" s="90"/>
      <c r="D387" s="90"/>
      <c r="E387" s="90"/>
      <c r="F387" s="90"/>
      <c r="G387" s="90"/>
      <c r="H387" s="90"/>
      <c r="I387" s="90"/>
      <c r="J387" s="90"/>
      <c r="K387" s="90"/>
    </row>
    <row r="388" spans="2:11" x14ac:dyDescent="0.3">
      <c r="B388" s="113" t="s">
        <v>1062</v>
      </c>
      <c r="C388" s="90" t="s">
        <v>1063</v>
      </c>
      <c r="D388" s="90"/>
      <c r="E388" s="118">
        <f>E382*100/E385</f>
        <v>3.2047829544207063</v>
      </c>
      <c r="F388" s="118">
        <f>F382*100/F385</f>
        <v>3.2047829544207063</v>
      </c>
      <c r="G388" s="118">
        <f>G382*100/G385</f>
        <v>3.2047829544207063</v>
      </c>
      <c r="H388" s="118">
        <f>H382*100/H385</f>
        <v>3.2047829544207063</v>
      </c>
      <c r="I388" s="118">
        <f>I382*100/I385</f>
        <v>3.2047829544207063</v>
      </c>
      <c r="J388" s="90"/>
      <c r="K388" s="90"/>
    </row>
    <row r="389" spans="2:11" x14ac:dyDescent="0.3">
      <c r="B389" s="113" t="s">
        <v>1064</v>
      </c>
      <c r="C389" s="90" t="s">
        <v>1063</v>
      </c>
      <c r="D389" s="90"/>
      <c r="E389" s="118">
        <f>E376*100/E385</f>
        <v>13.169090522617296</v>
      </c>
      <c r="F389" s="118">
        <f>F376*100/F385</f>
        <v>13.169090522617296</v>
      </c>
      <c r="G389" s="118">
        <f>G376*100/G385</f>
        <v>13.169090522617296</v>
      </c>
      <c r="H389" s="118">
        <f>H376*100/H385</f>
        <v>13.169090522617296</v>
      </c>
      <c r="I389" s="118">
        <f>I376*100/I385</f>
        <v>13.169090522617296</v>
      </c>
      <c r="J389" s="90"/>
      <c r="K389" s="90"/>
    </row>
    <row r="390" spans="2:11" x14ac:dyDescent="0.3">
      <c r="B390" s="113" t="s">
        <v>1065</v>
      </c>
      <c r="C390" s="90" t="s">
        <v>1063</v>
      </c>
      <c r="D390" s="90"/>
      <c r="E390" s="118">
        <f>E381*100/E385</f>
        <v>72.392648583369564</v>
      </c>
      <c r="F390" s="118">
        <f>F381*100/F385</f>
        <v>72.392648583369564</v>
      </c>
      <c r="G390" s="118">
        <f>G381*100/G385</f>
        <v>72.392648583369564</v>
      </c>
      <c r="H390" s="118">
        <f>H381*100/H385</f>
        <v>72.392648583369564</v>
      </c>
      <c r="I390" s="118">
        <f>I381*100/I385</f>
        <v>72.392648583369564</v>
      </c>
      <c r="J390" s="90"/>
      <c r="K390" s="90"/>
    </row>
    <row r="391" spans="2:11" x14ac:dyDescent="0.3">
      <c r="B391" s="113" t="s">
        <v>1066</v>
      </c>
      <c r="C391" s="90" t="s">
        <v>1067</v>
      </c>
      <c r="D391" s="90"/>
      <c r="E391" s="118">
        <f>E377*1000000/E385</f>
        <v>172.5822155663902</v>
      </c>
      <c r="F391" s="118">
        <f>F377*1000000/F385</f>
        <v>172.5822155663902</v>
      </c>
      <c r="G391" s="118">
        <f>G377*1000000/G385</f>
        <v>172.5822155663902</v>
      </c>
      <c r="H391" s="118">
        <f>H377*1000000/H385</f>
        <v>172.5822155663902</v>
      </c>
      <c r="I391" s="118">
        <f>I377*1000000/I385</f>
        <v>172.5822155663902</v>
      </c>
      <c r="J391" s="90"/>
      <c r="K391" s="90"/>
    </row>
    <row r="392" spans="2:11" x14ac:dyDescent="0.3">
      <c r="B392" s="113" t="s">
        <v>1068</v>
      </c>
      <c r="C392" s="90" t="s">
        <v>1067</v>
      </c>
      <c r="D392" s="90"/>
      <c r="E392" s="118">
        <f>E378*1000000/E385</f>
        <v>0</v>
      </c>
      <c r="F392" s="118">
        <f>F378*1000000/F385</f>
        <v>0</v>
      </c>
      <c r="G392" s="118">
        <f>G378*1000000/G385</f>
        <v>0</v>
      </c>
      <c r="H392" s="118">
        <f>H378*1000000/H385</f>
        <v>0</v>
      </c>
      <c r="I392" s="118">
        <f>I378*1000000/I385</f>
        <v>0</v>
      </c>
      <c r="J392" s="90"/>
      <c r="K392" s="90"/>
    </row>
    <row r="393" spans="2:11" x14ac:dyDescent="0.3">
      <c r="B393" s="113" t="s">
        <v>1069</v>
      </c>
      <c r="C393" s="90" t="s">
        <v>1067</v>
      </c>
      <c r="D393" s="90"/>
      <c r="E393" s="118">
        <f>E379*1000000/E385</f>
        <v>212.48232397919708</v>
      </c>
      <c r="F393" s="118">
        <f>F379*1000000/F385</f>
        <v>212.48232397919708</v>
      </c>
      <c r="G393" s="118">
        <f>G379*1000000/G385</f>
        <v>212.48232397919708</v>
      </c>
      <c r="H393" s="118">
        <f>H379*1000000/H385</f>
        <v>212.48232397919708</v>
      </c>
      <c r="I393" s="118">
        <f>I379*1000000/I385</f>
        <v>212.48232397919708</v>
      </c>
      <c r="J393" s="90"/>
      <c r="K393" s="90"/>
    </row>
    <row r="394" spans="2:11" x14ac:dyDescent="0.3">
      <c r="B394" s="113" t="s">
        <v>1070</v>
      </c>
      <c r="C394" s="90" t="s">
        <v>1063</v>
      </c>
      <c r="D394" s="90"/>
      <c r="E394" s="118">
        <f>E383*100/E385</f>
        <v>11.194971485637888</v>
      </c>
      <c r="F394" s="118">
        <f>F383*100/F385</f>
        <v>11.194971485637888</v>
      </c>
      <c r="G394" s="118">
        <f>G383*100/G385</f>
        <v>11.194971485637888</v>
      </c>
      <c r="H394" s="118">
        <f>H383*100/H385</f>
        <v>11.194971485637888</v>
      </c>
      <c r="I394" s="118">
        <f>I383*100/I385</f>
        <v>11.194971485637888</v>
      </c>
      <c r="J394" s="90"/>
      <c r="K394" s="90"/>
    </row>
    <row r="395" spans="2:11" x14ac:dyDescent="0.3">
      <c r="B395" s="113"/>
      <c r="C395" s="90"/>
      <c r="D395" s="90"/>
      <c r="E395" s="90"/>
      <c r="F395" s="90"/>
      <c r="G395" s="90"/>
      <c r="H395" s="90"/>
      <c r="I395" s="90"/>
      <c r="J395" s="90"/>
      <c r="K395" s="90"/>
    </row>
    <row r="396" spans="2:11" x14ac:dyDescent="0.3">
      <c r="B396" s="121" t="s">
        <v>1071</v>
      </c>
      <c r="C396" s="90"/>
      <c r="D396" s="90"/>
      <c r="E396" s="90"/>
      <c r="F396" s="90"/>
      <c r="G396" s="90"/>
      <c r="H396" s="90"/>
      <c r="I396" s="90"/>
      <c r="J396" s="90"/>
      <c r="K396" s="90"/>
    </row>
    <row r="397" spans="2:11" x14ac:dyDescent="0.3">
      <c r="B397" s="113" t="s">
        <v>1062</v>
      </c>
      <c r="C397" s="90" t="s">
        <v>1063</v>
      </c>
      <c r="D397" s="90"/>
      <c r="E397" s="118">
        <f>E382*100/E384</f>
        <v>3.6087854573487452</v>
      </c>
      <c r="F397" s="118">
        <f>F382*100/F384</f>
        <v>3.6087854573487452</v>
      </c>
      <c r="G397" s="118">
        <f>G382*100/G384</f>
        <v>3.6087854573487452</v>
      </c>
      <c r="H397" s="118">
        <f>H382*100/H384</f>
        <v>3.6087854573487452</v>
      </c>
      <c r="I397" s="118">
        <f>I382*100/I384</f>
        <v>3.6087854573487452</v>
      </c>
      <c r="J397" s="90"/>
      <c r="K397" s="90"/>
    </row>
    <row r="398" spans="2:11" x14ac:dyDescent="0.3">
      <c r="B398" s="113" t="s">
        <v>1064</v>
      </c>
      <c r="C398" s="90" t="s">
        <v>1063</v>
      </c>
      <c r="D398" s="90"/>
      <c r="E398" s="118">
        <f>E376*100/E384</f>
        <v>14.829217154620368</v>
      </c>
      <c r="F398" s="118">
        <f>F376*100/F384</f>
        <v>14.829217154620368</v>
      </c>
      <c r="G398" s="118">
        <f>G376*100/G384</f>
        <v>14.829217154620368</v>
      </c>
      <c r="H398" s="118">
        <f>H376*100/H384</f>
        <v>14.829217154620368</v>
      </c>
      <c r="I398" s="118">
        <f>I376*100/I384</f>
        <v>14.829217154620368</v>
      </c>
      <c r="J398" s="90"/>
      <c r="K398" s="90"/>
    </row>
    <row r="399" spans="2:11" x14ac:dyDescent="0.3">
      <c r="B399" s="113" t="s">
        <v>1065</v>
      </c>
      <c r="C399" s="90" t="s">
        <v>1063</v>
      </c>
      <c r="D399" s="90"/>
      <c r="E399" s="118">
        <f>E381*100/E384</f>
        <v>81.518636719610726</v>
      </c>
      <c r="F399" s="118">
        <f>F381*100/F384</f>
        <v>81.518636719610726</v>
      </c>
      <c r="G399" s="118">
        <f>G381*100/G384</f>
        <v>81.518636719610726</v>
      </c>
      <c r="H399" s="118">
        <f>H381*100/H384</f>
        <v>81.518636719610726</v>
      </c>
      <c r="I399" s="118">
        <f>I381*100/I384</f>
        <v>81.518636719610726</v>
      </c>
      <c r="J399" s="90"/>
      <c r="K399" s="90"/>
    </row>
    <row r="400" spans="2:11" x14ac:dyDescent="0.3">
      <c r="B400" s="113" t="s">
        <v>1066</v>
      </c>
      <c r="C400" s="90" t="s">
        <v>1067</v>
      </c>
      <c r="D400" s="90"/>
      <c r="E400" s="118">
        <f>E377*1000000/E384</f>
        <v>194.33833697658136</v>
      </c>
      <c r="F400" s="118">
        <f>F377*1000000/F384</f>
        <v>194.33833697658136</v>
      </c>
      <c r="G400" s="118">
        <f>G377*1000000/G384</f>
        <v>194.33833697658136</v>
      </c>
      <c r="H400" s="118">
        <f>H377*1000000/H384</f>
        <v>194.33833697658136</v>
      </c>
      <c r="I400" s="118">
        <f>I377*1000000/I384</f>
        <v>194.33833697658136</v>
      </c>
      <c r="J400" s="90"/>
      <c r="K400" s="90"/>
    </row>
    <row r="401" spans="2:11" x14ac:dyDescent="0.3">
      <c r="B401" s="113" t="s">
        <v>1068</v>
      </c>
      <c r="C401" s="90" t="s">
        <v>1067</v>
      </c>
      <c r="D401" s="90"/>
      <c r="E401" s="118">
        <f>E378*1000000/E384</f>
        <v>0</v>
      </c>
      <c r="F401" s="118">
        <f>F378*1000000/F384</f>
        <v>0</v>
      </c>
      <c r="G401" s="118">
        <f>G378*1000000/G384</f>
        <v>0</v>
      </c>
      <c r="H401" s="118">
        <f>H378*1000000/H384</f>
        <v>0</v>
      </c>
      <c r="I401" s="118">
        <f>I378*1000000/I384</f>
        <v>0</v>
      </c>
      <c r="J401" s="90"/>
      <c r="K401" s="90"/>
    </row>
    <row r="402" spans="2:11" x14ac:dyDescent="0.3">
      <c r="B402" s="113" t="s">
        <v>1069</v>
      </c>
      <c r="C402" s="90" t="s">
        <v>1067</v>
      </c>
      <c r="D402" s="90"/>
      <c r="E402" s="118">
        <f>E379*1000000/E384</f>
        <v>239.26834722521718</v>
      </c>
      <c r="F402" s="118">
        <f>F379*1000000/F384</f>
        <v>239.26834722521718</v>
      </c>
      <c r="G402" s="118">
        <f>G379*1000000/G384</f>
        <v>239.26834722521718</v>
      </c>
      <c r="H402" s="118">
        <f>H379*1000000/H384</f>
        <v>239.26834722521718</v>
      </c>
      <c r="I402" s="118">
        <f>I379*1000000/I384</f>
        <v>239.26834722521718</v>
      </c>
      <c r="J402" s="90"/>
      <c r="K402" s="90"/>
    </row>
    <row r="403" spans="2:11" x14ac:dyDescent="0.3">
      <c r="B403" s="113" t="s">
        <v>1070</v>
      </c>
      <c r="C403" s="90" t="s">
        <v>1063</v>
      </c>
      <c r="D403" s="90"/>
      <c r="E403" s="90">
        <v>0</v>
      </c>
      <c r="F403" s="90">
        <v>0</v>
      </c>
      <c r="G403" s="90">
        <v>0</v>
      </c>
      <c r="H403" s="90">
        <v>0</v>
      </c>
      <c r="I403" s="90">
        <v>0</v>
      </c>
      <c r="J403" s="90"/>
      <c r="K403" s="90"/>
    </row>
    <row r="404" spans="2:11" x14ac:dyDescent="0.3">
      <c r="B404" s="113"/>
      <c r="C404" s="90"/>
      <c r="D404" s="90"/>
      <c r="E404" s="90"/>
      <c r="F404" s="90"/>
      <c r="G404" s="90"/>
      <c r="H404" s="90"/>
      <c r="I404" s="90"/>
      <c r="J404" s="90"/>
      <c r="K404" s="90"/>
    </row>
    <row r="405" spans="2:11" ht="14" x14ac:dyDescent="0.3">
      <c r="B405" s="124" t="s">
        <v>1072</v>
      </c>
      <c r="C405" s="90"/>
      <c r="D405" s="90"/>
      <c r="E405" s="90"/>
      <c r="F405" s="90"/>
      <c r="G405" s="90"/>
      <c r="H405" s="90"/>
      <c r="I405" s="90"/>
      <c r="J405" s="90"/>
      <c r="K405" s="90"/>
    </row>
    <row r="406" spans="2:11" x14ac:dyDescent="0.3">
      <c r="B406" s="122" t="s">
        <v>1073</v>
      </c>
      <c r="C406" s="90"/>
      <c r="D406" s="90"/>
      <c r="E406" s="90"/>
      <c r="F406" s="90"/>
      <c r="G406" s="90"/>
      <c r="H406" s="90"/>
      <c r="I406" s="90"/>
      <c r="J406" s="90"/>
      <c r="K406" s="90"/>
    </row>
    <row r="407" spans="2:11" x14ac:dyDescent="0.3">
      <c r="B407" s="113" t="s">
        <v>1074</v>
      </c>
      <c r="C407" s="19" t="s">
        <v>171</v>
      </c>
      <c r="D407" s="90"/>
      <c r="E407" s="118">
        <f>E382*O2_MolWt</f>
        <v>59.729828208545847</v>
      </c>
      <c r="F407" s="118">
        <f>F382*O2_MolWt</f>
        <v>59.729828208545847</v>
      </c>
      <c r="G407" s="118">
        <f>G382*O2_MolWt</f>
        <v>59.729828208545847</v>
      </c>
      <c r="H407" s="118">
        <f>H382*O2_MolWt</f>
        <v>59.729828208545847</v>
      </c>
      <c r="I407" s="118">
        <f>I382*O2_MolWt</f>
        <v>59.729828208545847</v>
      </c>
      <c r="J407" s="90"/>
      <c r="K407" s="90"/>
    </row>
    <row r="408" spans="2:11" x14ac:dyDescent="0.3">
      <c r="B408" s="113" t="s">
        <v>1075</v>
      </c>
      <c r="C408" s="19" t="s">
        <v>171</v>
      </c>
      <c r="D408" s="90"/>
      <c r="E408" s="118">
        <f>E376*CO2_MolWt</f>
        <v>337.57175624315738</v>
      </c>
      <c r="F408" s="118">
        <f>F376*CO2_MolWt</f>
        <v>337.57175624315738</v>
      </c>
      <c r="G408" s="118">
        <f>G376*CO2_MolWt</f>
        <v>337.57175624315738</v>
      </c>
      <c r="H408" s="118">
        <f>H376*CO2_MolWt</f>
        <v>337.57175624315738</v>
      </c>
      <c r="I408" s="118">
        <f>I376*CO2_MolWt</f>
        <v>337.57175624315738</v>
      </c>
      <c r="J408" s="90"/>
      <c r="K408" s="90"/>
    </row>
    <row r="409" spans="2:11" x14ac:dyDescent="0.3">
      <c r="B409" s="113" t="s">
        <v>1076</v>
      </c>
      <c r="C409" s="19" t="s">
        <v>171</v>
      </c>
      <c r="D409" s="90"/>
      <c r="E409" s="118">
        <f>E381*N2_MolWt</f>
        <v>1181.4668723558198</v>
      </c>
      <c r="F409" s="118">
        <f>F381*N2_MolWt</f>
        <v>1181.4668723558198</v>
      </c>
      <c r="G409" s="118">
        <f>G381*N2_MolWt</f>
        <v>1181.4668723558198</v>
      </c>
      <c r="H409" s="118">
        <f>H381*N2_MolWt</f>
        <v>1181.4668723558198</v>
      </c>
      <c r="I409" s="118">
        <f>I381*N2_MolWt</f>
        <v>1181.4668723558198</v>
      </c>
      <c r="J409" s="90"/>
      <c r="K409" s="90"/>
    </row>
    <row r="410" spans="2:11" x14ac:dyDescent="0.3">
      <c r="B410" s="113" t="s">
        <v>1066</v>
      </c>
      <c r="C410" s="19" t="s">
        <v>171</v>
      </c>
      <c r="D410" s="90"/>
      <c r="E410" s="118">
        <f>E377*NO_MolWt</f>
        <v>0.30165623345146814</v>
      </c>
      <c r="F410" s="118">
        <f>F377*NO_MolWt</f>
        <v>0.30165623345146814</v>
      </c>
      <c r="G410" s="118">
        <f>G377*NO_MolWt</f>
        <v>0.30165623345146814</v>
      </c>
      <c r="H410" s="118">
        <f>H377*NO_MolWt</f>
        <v>0.30165623345146814</v>
      </c>
      <c r="I410" s="118">
        <f>I377*NO_MolWt</f>
        <v>0.30165623345146814</v>
      </c>
      <c r="J410" s="90"/>
      <c r="K410" s="90"/>
    </row>
    <row r="411" spans="2:11" x14ac:dyDescent="0.3">
      <c r="B411" s="113" t="s">
        <v>1077</v>
      </c>
      <c r="C411" s="19" t="s">
        <v>171</v>
      </c>
      <c r="D411" s="90"/>
      <c r="E411" s="118">
        <f>E378*HCl_MolWt</f>
        <v>0</v>
      </c>
      <c r="F411" s="118">
        <f>F378*HCl_MolWt</f>
        <v>0</v>
      </c>
      <c r="G411" s="118">
        <f>G378*HCl_MolWt</f>
        <v>0</v>
      </c>
      <c r="H411" s="118">
        <f>H378*HCl_MolWt</f>
        <v>0</v>
      </c>
      <c r="I411" s="118">
        <f>I378*HCl_MolWt</f>
        <v>0</v>
      </c>
      <c r="J411" s="90"/>
      <c r="K411" s="90"/>
    </row>
    <row r="412" spans="2:11" x14ac:dyDescent="0.3">
      <c r="B412" s="113" t="s">
        <v>1069</v>
      </c>
      <c r="C412" s="19" t="s">
        <v>171</v>
      </c>
      <c r="D412" s="90"/>
      <c r="E412" s="118">
        <f>E379*SO2_MolWt</f>
        <v>0.79284387574058213</v>
      </c>
      <c r="F412" s="118">
        <f>F379*SO2_MolWt</f>
        <v>0.79284387574058213</v>
      </c>
      <c r="G412" s="118">
        <f>G379*SO2_MolWt</f>
        <v>0.79284387574058213</v>
      </c>
      <c r="H412" s="118">
        <f>H379*SO2_MolWt</f>
        <v>0.79284387574058213</v>
      </c>
      <c r="I412" s="118">
        <f>I379*SO2_MolWt</f>
        <v>0.79284387574058213</v>
      </c>
      <c r="J412" s="90"/>
      <c r="K412" s="90"/>
    </row>
    <row r="413" spans="2:11" x14ac:dyDescent="0.3">
      <c r="B413" s="113" t="s">
        <v>1078</v>
      </c>
      <c r="C413" s="19" t="s">
        <v>171</v>
      </c>
      <c r="D413" s="90"/>
      <c r="E413" s="118">
        <f>E383*H2O_MolWt</f>
        <v>117.46930689294921</v>
      </c>
      <c r="F413" s="118">
        <f>F383*H2O_MolWt</f>
        <v>117.46930689294921</v>
      </c>
      <c r="G413" s="118">
        <f>G383*H2O_MolWt</f>
        <v>117.46930689294921</v>
      </c>
      <c r="H413" s="118">
        <f>H383*H2O_MolWt</f>
        <v>117.46930689294921</v>
      </c>
      <c r="I413" s="118">
        <f>I383*H2O_MolWt</f>
        <v>117.46930689294921</v>
      </c>
      <c r="J413" s="90"/>
      <c r="K413" s="90"/>
    </row>
    <row r="414" spans="2:11" x14ac:dyDescent="0.3">
      <c r="B414" s="113" t="s">
        <v>1079</v>
      </c>
      <c r="C414" s="19" t="s">
        <v>171</v>
      </c>
      <c r="D414" s="90"/>
      <c r="E414" s="118">
        <f>SUM(E407:E412)</f>
        <v>1579.8629569167149</v>
      </c>
      <c r="F414" s="118">
        <f>SUM(F407:F412)</f>
        <v>1579.8629569167149</v>
      </c>
      <c r="G414" s="118">
        <f>SUM(G407:G412)</f>
        <v>1579.8629569167149</v>
      </c>
      <c r="H414" s="118">
        <f>SUM(H407:H412)</f>
        <v>1579.8629569167149</v>
      </c>
      <c r="I414" s="118">
        <f>SUM(I407:I412)</f>
        <v>1579.8629569167149</v>
      </c>
      <c r="J414" s="90"/>
      <c r="K414" s="90"/>
    </row>
    <row r="415" spans="2:11" x14ac:dyDescent="0.3">
      <c r="B415" s="113" t="s">
        <v>1080</v>
      </c>
      <c r="C415" s="19" t="s">
        <v>171</v>
      </c>
      <c r="D415" s="90"/>
      <c r="E415" s="118">
        <f>E414+E413</f>
        <v>1697.332263809664</v>
      </c>
      <c r="F415" s="118">
        <f>F414+F413</f>
        <v>1697.332263809664</v>
      </c>
      <c r="G415" s="118">
        <f>G414+G413</f>
        <v>1697.332263809664</v>
      </c>
      <c r="H415" s="118">
        <f>H414+H413</f>
        <v>1697.332263809664</v>
      </c>
      <c r="I415" s="118">
        <f>I414+I413</f>
        <v>1697.332263809664</v>
      </c>
      <c r="J415" s="90"/>
      <c r="K415" s="90"/>
    </row>
    <row r="416" spans="2:11" x14ac:dyDescent="0.3">
      <c r="B416" s="113" t="s">
        <v>1070</v>
      </c>
      <c r="C416" s="3" t="s">
        <v>878</v>
      </c>
      <c r="D416" s="90"/>
      <c r="E416" s="118">
        <f>E413/E415*100</f>
        <v>6.9208197709792669</v>
      </c>
      <c r="F416" s="118">
        <f>F413/F415*100</f>
        <v>6.9208197709792669</v>
      </c>
      <c r="G416" s="118">
        <f>G413/G415*100</f>
        <v>6.9208197709792669</v>
      </c>
      <c r="H416" s="118">
        <f>H413/H415*100</f>
        <v>6.9208197709792669</v>
      </c>
      <c r="I416" s="118">
        <f>I413/I415*100</f>
        <v>6.9208197709792669</v>
      </c>
      <c r="J416" s="90"/>
      <c r="K416" s="90"/>
    </row>
    <row r="417" spans="2:11" x14ac:dyDescent="0.3">
      <c r="B417" s="113" t="s">
        <v>1081</v>
      </c>
      <c r="C417" s="19" t="s">
        <v>171</v>
      </c>
      <c r="D417" s="90"/>
      <c r="E417" s="118">
        <f>E418/'Input &amp; Calculation Summary'!C28</f>
        <v>1299.1121166598962</v>
      </c>
      <c r="F417" s="118">
        <f>F418/'Input &amp; Calculation Summary'!D28</f>
        <v>1299.1121166598962</v>
      </c>
      <c r="G417" s="118">
        <f>G418/'Input &amp; Calculation Summary'!E28</f>
        <v>1299.1121166598962</v>
      </c>
      <c r="H417" s="118">
        <f>H418/'Input &amp; Calculation Summary'!F28</f>
        <v>1299.1121166598962</v>
      </c>
      <c r="I417" s="118">
        <f>I418/'Input &amp; Calculation Summary'!G28</f>
        <v>1299.1121166598962</v>
      </c>
      <c r="J417" s="90"/>
      <c r="K417" s="90"/>
    </row>
    <row r="418" spans="2:11" x14ac:dyDescent="0.3">
      <c r="B418" s="113" t="s">
        <v>1082</v>
      </c>
      <c r="C418" s="19" t="s">
        <v>171</v>
      </c>
      <c r="D418" s="90"/>
      <c r="E418" s="118">
        <f>((E380*O2_MolWt)+((E381-(E368-(E377*0.5)))*N2_MolWt))*(1+'Input &amp; Calculation Summary'!C34)</f>
        <v>1558.9345399918752</v>
      </c>
      <c r="F418" s="118">
        <f>((F380*O2_MolWt)+((F381-(F368-(F377*0.5)))*N2_MolWt))*(1+'Input &amp; Calculation Summary'!D34)</f>
        <v>1558.9345399918752</v>
      </c>
      <c r="G418" s="118">
        <f>((G380*O2_MolWt)+((G381-(G368-(G377*0.5)))*N2_MolWt))*(1+'Input &amp; Calculation Summary'!E34)</f>
        <v>1558.9345399918752</v>
      </c>
      <c r="H418" s="118">
        <f>((H380*O2_MolWt)+((H381-(H368-(H377*0.5)))*N2_MolWt))*(1+'Input &amp; Calculation Summary'!F34)</f>
        <v>1558.9345399918752</v>
      </c>
      <c r="I418" s="118">
        <f>((I380*O2_MolWt)+((I381-(I368-(I377*0.5)))*N2_MolWt))*(1+'Input &amp; Calculation Summary'!G34)</f>
        <v>1558.9345399918752</v>
      </c>
      <c r="J418" s="90"/>
      <c r="K418" s="90"/>
    </row>
    <row r="419" spans="2:11" x14ac:dyDescent="0.3">
      <c r="B419" s="113" t="s">
        <v>1083</v>
      </c>
      <c r="C419" s="19" t="s">
        <v>1084</v>
      </c>
      <c r="D419" s="90"/>
      <c r="E419" s="118">
        <f>E415/E385</f>
        <v>29.141232437488338</v>
      </c>
      <c r="F419" s="118">
        <f>F415/F385</f>
        <v>29.141232437488338</v>
      </c>
      <c r="G419" s="118">
        <f>G415/G385</f>
        <v>29.141232437488338</v>
      </c>
      <c r="H419" s="118">
        <f>H415/H385</f>
        <v>29.141232437488338</v>
      </c>
      <c r="I419" s="118">
        <f>I415/I385</f>
        <v>29.141232437488338</v>
      </c>
      <c r="J419" s="90"/>
      <c r="K419" s="90"/>
    </row>
    <row r="420" spans="2:11" x14ac:dyDescent="0.3">
      <c r="B420" s="113"/>
      <c r="C420" s="90"/>
      <c r="D420" s="90"/>
      <c r="E420" s="90"/>
      <c r="F420" s="90"/>
      <c r="G420" s="90"/>
      <c r="H420" s="90"/>
      <c r="I420" s="90"/>
      <c r="J420" s="90"/>
      <c r="K420" s="90"/>
    </row>
    <row r="421" spans="2:11" x14ac:dyDescent="0.3">
      <c r="B421" s="113" t="s">
        <v>1085</v>
      </c>
      <c r="C421" s="19" t="s">
        <v>171</v>
      </c>
      <c r="D421" s="90"/>
      <c r="E421" s="118">
        <f>E360+E426*C_MolWt</f>
        <v>9.7222222222222232</v>
      </c>
      <c r="F421" s="118">
        <f>F360+F426*C_MolWt</f>
        <v>9.7222222222222232</v>
      </c>
      <c r="G421" s="118">
        <f>G360+G426*C_MolWt</f>
        <v>9.7222222222222232</v>
      </c>
      <c r="H421" s="118">
        <f>H360+H426*C_MolWt</f>
        <v>9.7222222222222232</v>
      </c>
      <c r="I421" s="118">
        <f>I360+I426*C_MolWt</f>
        <v>9.7222222222222232</v>
      </c>
      <c r="J421" s="90"/>
      <c r="K421" s="90"/>
    </row>
    <row r="422" spans="2:11" x14ac:dyDescent="0.3">
      <c r="B422" s="113" t="s">
        <v>1086</v>
      </c>
      <c r="C422" s="19" t="s">
        <v>171</v>
      </c>
      <c r="D422" s="90"/>
      <c r="E422" s="118">
        <f>ROUND(E421-E423,5)</f>
        <v>7.7778200000000002</v>
      </c>
      <c r="F422" s="118">
        <f>ROUND(F421-F423,5)</f>
        <v>7.7778200000000002</v>
      </c>
      <c r="G422" s="118">
        <f>ROUND(G421-G423,5)</f>
        <v>7.7778200000000002</v>
      </c>
      <c r="H422" s="118">
        <f>ROUND(H421-H423,5)</f>
        <v>7.7778200000000002</v>
      </c>
      <c r="I422" s="118">
        <f>ROUND(I421-I423,5)</f>
        <v>7.7778200000000002</v>
      </c>
      <c r="J422" s="90"/>
      <c r="K422" s="90"/>
    </row>
    <row r="423" spans="2:11" x14ac:dyDescent="0.3">
      <c r="B423" s="113" t="s">
        <v>1087</v>
      </c>
      <c r="C423" s="19" t="s">
        <v>171</v>
      </c>
      <c r="D423" s="90"/>
      <c r="E423" s="118">
        <f>ROUND(E421*'Input &amp; Calculation Summary'!C37,4)</f>
        <v>1.9443999999999999</v>
      </c>
      <c r="F423" s="118">
        <f>ROUND(F421*'Input &amp; Calculation Summary'!D37,4)</f>
        <v>1.9443999999999999</v>
      </c>
      <c r="G423" s="118">
        <f>ROUND(G421*'Input &amp; Calculation Summary'!E37,4)</f>
        <v>1.9443999999999999</v>
      </c>
      <c r="H423" s="118">
        <f>ROUND(H421*'Input &amp; Calculation Summary'!F37,4)</f>
        <v>1.9443999999999999</v>
      </c>
      <c r="I423" s="118">
        <f>ROUND(I421*'Input &amp; Calculation Summary'!G37,4)</f>
        <v>1.9443999999999999</v>
      </c>
      <c r="J423" s="90"/>
      <c r="K423" s="90"/>
    </row>
    <row r="424" spans="2:11" x14ac:dyDescent="0.3">
      <c r="B424" s="113"/>
      <c r="C424" s="90"/>
      <c r="D424" s="90"/>
      <c r="E424" s="90"/>
      <c r="F424" s="90"/>
      <c r="G424" s="90"/>
      <c r="H424" s="90"/>
      <c r="I424" s="90"/>
      <c r="J424" s="90"/>
      <c r="K424" s="90"/>
    </row>
    <row r="425" spans="2:11" x14ac:dyDescent="0.3">
      <c r="B425" s="113" t="s">
        <v>1088</v>
      </c>
      <c r="C425" s="19" t="s">
        <v>171</v>
      </c>
      <c r="D425" s="90"/>
      <c r="E425" s="118">
        <f>0.3/(E365*H2O_MolWt/30+1)+NO_MolWt*E368*0.15</f>
        <v>0.30165623345146814</v>
      </c>
      <c r="F425" s="118">
        <f>0.3/(F365*H2O_MolWt/30+1)+NO_MolWt*F368*0.15</f>
        <v>0.30165623345146814</v>
      </c>
      <c r="G425" s="118">
        <f>0.3/(G365*H2O_MolWt/30+1)+NO_MolWt*G368*0.15</f>
        <v>0.30165623345146814</v>
      </c>
      <c r="H425" s="118">
        <f>0.3/(H365*H2O_MolWt/30+1)+NO_MolWt*H368*0.15</f>
        <v>0.30165623345146814</v>
      </c>
      <c r="I425" s="118">
        <f>0.3/(I365*H2O_MolWt/30+1)+NO_MolWt*I368*0.15</f>
        <v>0.30165623345146814</v>
      </c>
      <c r="J425" s="90"/>
      <c r="K425" s="90"/>
    </row>
    <row r="426" spans="2:11" x14ac:dyDescent="0.3">
      <c r="B426" s="113" t="s">
        <v>1089</v>
      </c>
      <c r="C426" s="90" t="s">
        <v>1053</v>
      </c>
      <c r="D426" s="90"/>
      <c r="E426" s="118">
        <f>0.005*E366</f>
        <v>3.8544432711519132E-2</v>
      </c>
      <c r="F426" s="118">
        <f>0.005*F366</f>
        <v>3.8544432711519132E-2</v>
      </c>
      <c r="G426" s="118">
        <f>0.005*G366</f>
        <v>3.8544432711519132E-2</v>
      </c>
      <c r="H426" s="118">
        <f>0.005*H366</f>
        <v>3.8544432711519132E-2</v>
      </c>
      <c r="I426" s="118">
        <f>0.005*I366</f>
        <v>3.8544432711519132E-2</v>
      </c>
      <c r="J426" s="90"/>
      <c r="K426" s="90"/>
    </row>
    <row r="427" spans="2:11" x14ac:dyDescent="0.3">
      <c r="B427" s="113" t="s">
        <v>1090</v>
      </c>
      <c r="C427" s="90"/>
      <c r="D427" s="90"/>
      <c r="E427" s="90"/>
      <c r="F427" s="90"/>
      <c r="G427" s="90"/>
      <c r="H427" s="90"/>
      <c r="I427" s="90"/>
      <c r="J427" s="90"/>
      <c r="K427" s="90"/>
    </row>
    <row r="428" spans="2:11" x14ac:dyDescent="0.3">
      <c r="B428" s="113"/>
      <c r="C428" s="90"/>
      <c r="D428" s="90"/>
      <c r="E428" s="90"/>
      <c r="F428" s="90"/>
      <c r="G428" s="90"/>
      <c r="H428" s="90"/>
      <c r="I428" s="90"/>
      <c r="J428" s="90"/>
      <c r="K428" s="90"/>
    </row>
    <row r="429" spans="2:11" ht="15.5" x14ac:dyDescent="0.35">
      <c r="B429" s="125" t="s">
        <v>1091</v>
      </c>
      <c r="C429" s="90"/>
      <c r="D429" s="90"/>
      <c r="E429" s="90"/>
      <c r="F429" s="90"/>
      <c r="G429" s="90"/>
      <c r="H429" s="90"/>
      <c r="I429" s="90"/>
      <c r="J429" s="90"/>
      <c r="K429" s="90"/>
    </row>
    <row r="430" spans="2:11" x14ac:dyDescent="0.3">
      <c r="B430" s="122" t="s">
        <v>1055</v>
      </c>
      <c r="C430" s="90"/>
      <c r="D430" s="90"/>
      <c r="E430" s="90"/>
      <c r="F430" s="90"/>
      <c r="G430" s="90"/>
      <c r="H430" s="90"/>
      <c r="I430" s="90"/>
      <c r="J430" s="90"/>
      <c r="K430" s="90"/>
    </row>
    <row r="431" spans="2:11" x14ac:dyDescent="0.3">
      <c r="B431" s="113" t="s">
        <v>957</v>
      </c>
      <c r="C431" s="90" t="s">
        <v>1053</v>
      </c>
      <c r="D431" s="90"/>
      <c r="E431" s="118">
        <f t="shared" ref="E431:I434" si="11">E376</f>
        <v>7.6703421095923066</v>
      </c>
      <c r="F431" s="118">
        <f t="shared" si="11"/>
        <v>7.6703421095923066</v>
      </c>
      <c r="G431" s="118">
        <f t="shared" si="11"/>
        <v>7.6703421095923066</v>
      </c>
      <c r="H431" s="118">
        <f t="shared" si="11"/>
        <v>7.6703421095923066</v>
      </c>
      <c r="I431" s="118">
        <f t="shared" si="11"/>
        <v>7.6703421095923066</v>
      </c>
      <c r="J431" s="90"/>
      <c r="K431" s="90"/>
    </row>
    <row r="432" spans="2:11" x14ac:dyDescent="0.3">
      <c r="B432" s="113" t="s">
        <v>221</v>
      </c>
      <c r="C432" s="90" t="s">
        <v>1053</v>
      </c>
      <c r="D432" s="90"/>
      <c r="E432" s="118">
        <f t="shared" si="11"/>
        <v>1.005205813683273E-2</v>
      </c>
      <c r="F432" s="118">
        <f t="shared" si="11"/>
        <v>1.005205813683273E-2</v>
      </c>
      <c r="G432" s="118">
        <f t="shared" si="11"/>
        <v>1.005205813683273E-2</v>
      </c>
      <c r="H432" s="118">
        <f t="shared" si="11"/>
        <v>1.005205813683273E-2</v>
      </c>
      <c r="I432" s="118">
        <f t="shared" si="11"/>
        <v>1.005205813683273E-2</v>
      </c>
      <c r="J432" s="90"/>
      <c r="K432" s="90"/>
    </row>
    <row r="433" spans="2:11" x14ac:dyDescent="0.3">
      <c r="B433" s="113" t="s">
        <v>963</v>
      </c>
      <c r="C433" s="90" t="s">
        <v>1053</v>
      </c>
      <c r="D433" s="90"/>
      <c r="E433" s="118">
        <f t="shared" si="11"/>
        <v>0</v>
      </c>
      <c r="F433" s="118">
        <f t="shared" si="11"/>
        <v>0</v>
      </c>
      <c r="G433" s="118">
        <f t="shared" si="11"/>
        <v>0</v>
      </c>
      <c r="H433" s="118">
        <f t="shared" si="11"/>
        <v>0</v>
      </c>
      <c r="I433" s="118">
        <f t="shared" si="11"/>
        <v>0</v>
      </c>
      <c r="J433" s="90"/>
      <c r="K433" s="90"/>
    </row>
    <row r="434" spans="2:11" x14ac:dyDescent="0.3">
      <c r="B434" s="113" t="s">
        <v>759</v>
      </c>
      <c r="C434" s="90" t="s">
        <v>1053</v>
      </c>
      <c r="D434" s="90"/>
      <c r="E434" s="118">
        <f t="shared" si="11"/>
        <v>1.2376041567658333E-2</v>
      </c>
      <c r="F434" s="118">
        <f t="shared" si="11"/>
        <v>1.2376041567658333E-2</v>
      </c>
      <c r="G434" s="118">
        <f t="shared" si="11"/>
        <v>1.2376041567658333E-2</v>
      </c>
      <c r="H434" s="118">
        <f t="shared" si="11"/>
        <v>1.2376041567658333E-2</v>
      </c>
      <c r="I434" s="118">
        <f t="shared" si="11"/>
        <v>1.2376041567658333E-2</v>
      </c>
      <c r="J434" s="90"/>
      <c r="K434" s="90"/>
    </row>
    <row r="435" spans="2:11" x14ac:dyDescent="0.3">
      <c r="B435" s="113" t="s">
        <v>943</v>
      </c>
      <c r="C435" s="90" t="s">
        <v>1053</v>
      </c>
      <c r="D435" s="90"/>
      <c r="E435" s="118">
        <f>E381+E441*0.79</f>
        <v>47.574129269706006</v>
      </c>
      <c r="F435" s="118">
        <f>F381+F441*0.79</f>
        <v>47.574129269706006</v>
      </c>
      <c r="G435" s="118">
        <f>G381+G441*0.79</f>
        <v>47.574129269706006</v>
      </c>
      <c r="H435" s="118">
        <f>H381+H441*0.79</f>
        <v>47.574129269706006</v>
      </c>
      <c r="I435" s="118">
        <f>I381+I441*0.79</f>
        <v>47.574129269706006</v>
      </c>
      <c r="J435" s="90"/>
      <c r="K435" s="90"/>
    </row>
    <row r="436" spans="2:11" x14ac:dyDescent="0.3">
      <c r="B436" s="113" t="s">
        <v>951</v>
      </c>
      <c r="C436" s="90" t="s">
        <v>1053</v>
      </c>
      <c r="D436" s="90"/>
      <c r="E436" s="118">
        <f>E382+E441*0.21</f>
        <v>3.3044630453427537</v>
      </c>
      <c r="F436" s="118">
        <f>F382+F441*0.21</f>
        <v>3.3044630453427537</v>
      </c>
      <c r="G436" s="118">
        <f>G382+G441*0.21</f>
        <v>3.3044630453427537</v>
      </c>
      <c r="H436" s="118">
        <f>H382+H441*0.21</f>
        <v>3.3044630453427537</v>
      </c>
      <c r="I436" s="118">
        <f>I382+I441*0.21</f>
        <v>3.3044630453427537</v>
      </c>
      <c r="J436" s="90"/>
      <c r="K436" s="90"/>
    </row>
    <row r="437" spans="2:11" x14ac:dyDescent="0.3">
      <c r="B437" s="113" t="s">
        <v>756</v>
      </c>
      <c r="C437" s="90" t="s">
        <v>1053</v>
      </c>
      <c r="D437" s="90"/>
      <c r="E437" s="118">
        <f>E383+E442-E441</f>
        <v>6.6630828459639364</v>
      </c>
      <c r="F437" s="118">
        <f>F383+F442-F441</f>
        <v>6.6630828459639364</v>
      </c>
      <c r="G437" s="118">
        <f>G383+G442-G441</f>
        <v>6.6630828459639364</v>
      </c>
      <c r="H437" s="118">
        <f>H383+H442-H441</f>
        <v>6.6630828459639364</v>
      </c>
      <c r="I437" s="118">
        <f>I383+I442-I441</f>
        <v>6.6630828459639364</v>
      </c>
      <c r="J437" s="90"/>
      <c r="K437" s="90"/>
    </row>
    <row r="438" spans="2:11" x14ac:dyDescent="0.3">
      <c r="B438" s="113" t="s">
        <v>1092</v>
      </c>
      <c r="C438" s="90" t="s">
        <v>1053</v>
      </c>
      <c r="D438" s="90"/>
      <c r="E438" s="118">
        <f>E439-E437</f>
        <v>58.571362524345552</v>
      </c>
      <c r="F438" s="118">
        <f>F439-F437</f>
        <v>58.571362524345552</v>
      </c>
      <c r="G438" s="118">
        <f>G439-G437</f>
        <v>58.571362524345552</v>
      </c>
      <c r="H438" s="118">
        <f>H439-H437</f>
        <v>58.571362524345552</v>
      </c>
      <c r="I438" s="118">
        <f>I439-I437</f>
        <v>58.571362524345552</v>
      </c>
      <c r="J438" s="90"/>
      <c r="K438" s="90"/>
    </row>
    <row r="439" spans="2:11" x14ac:dyDescent="0.3">
      <c r="B439" s="113" t="s">
        <v>1093</v>
      </c>
      <c r="C439" s="90" t="s">
        <v>1053</v>
      </c>
      <c r="D439" s="90"/>
      <c r="E439" s="118">
        <f>E385*(1+'Input &amp; Calculation Summary'!C29)</f>
        <v>65.234445370309487</v>
      </c>
      <c r="F439" s="118">
        <f>F385*(1+'Input &amp; Calculation Summary'!D29)</f>
        <v>65.234445370309487</v>
      </c>
      <c r="G439" s="118">
        <f>G385*(1+'Input &amp; Calculation Summary'!E29)</f>
        <v>65.234445370309487</v>
      </c>
      <c r="H439" s="118">
        <f>H385*(1+'Input &amp; Calculation Summary'!F29)</f>
        <v>65.234445370309487</v>
      </c>
      <c r="I439" s="118">
        <f>I385*(1+'Input &amp; Calculation Summary'!G29)</f>
        <v>65.234445370309487</v>
      </c>
      <c r="J439" s="90"/>
      <c r="K439" s="90"/>
    </row>
    <row r="440" spans="2:11" x14ac:dyDescent="0.3">
      <c r="B440" s="113"/>
      <c r="C440" s="90"/>
      <c r="D440" s="90"/>
      <c r="E440" s="90"/>
      <c r="F440" s="90"/>
      <c r="G440" s="90"/>
      <c r="H440" s="90"/>
      <c r="I440" s="90"/>
      <c r="J440" s="90"/>
      <c r="K440" s="90"/>
    </row>
    <row r="441" spans="2:11" x14ac:dyDescent="0.3">
      <c r="B441" s="113" t="s">
        <v>1094</v>
      </c>
      <c r="C441" s="90" t="s">
        <v>1053</v>
      </c>
      <c r="D441" s="90"/>
      <c r="E441" s="118">
        <f>E442/(1+('Input &amp; Calculation Summary'!C34*(Air_MolWt/H2O_MolWt)))</f>
        <v>6.8468376919443781</v>
      </c>
      <c r="F441" s="118">
        <f>F442/(1+('Input &amp; Calculation Summary'!D34*(Air_MolWt/H2O_MolWt)))</f>
        <v>6.8468376919443781</v>
      </c>
      <c r="G441" s="118">
        <f>G442/(1+('Input &amp; Calculation Summary'!E34*(Air_MolWt/H2O_MolWt)))</f>
        <v>6.8468376919443781</v>
      </c>
      <c r="H441" s="118">
        <f>H442/(1+('Input &amp; Calculation Summary'!F34*(Air_MolWt/H2O_MolWt)))</f>
        <v>6.8468376919443781</v>
      </c>
      <c r="I441" s="118">
        <f>I442/(1+('Input &amp; Calculation Summary'!G34*(Air_MolWt/H2O_MolWt)))</f>
        <v>6.8468376919443781</v>
      </c>
      <c r="J441" s="90"/>
      <c r="K441" s="90"/>
    </row>
    <row r="442" spans="2:11" x14ac:dyDescent="0.3">
      <c r="B442" s="113" t="s">
        <v>1095</v>
      </c>
      <c r="C442" s="90" t="s">
        <v>1053</v>
      </c>
      <c r="D442" s="90"/>
      <c r="E442" s="118">
        <f>E439-E385</f>
        <v>6.9894048611045889</v>
      </c>
      <c r="F442" s="118">
        <f>F439-F385</f>
        <v>6.9894048611045889</v>
      </c>
      <c r="G442" s="118">
        <f>G439-G385</f>
        <v>6.9894048611045889</v>
      </c>
      <c r="H442" s="118">
        <f>H439-H385</f>
        <v>6.9894048611045889</v>
      </c>
      <c r="I442" s="118">
        <f>I439-I385</f>
        <v>6.9894048611045889</v>
      </c>
      <c r="J442" s="90"/>
      <c r="K442" s="90"/>
    </row>
    <row r="443" spans="2:11" x14ac:dyDescent="0.3">
      <c r="B443" s="113"/>
      <c r="C443" s="90"/>
      <c r="D443" s="90"/>
      <c r="E443" s="90"/>
      <c r="F443" s="90"/>
      <c r="G443" s="90"/>
      <c r="H443" s="90"/>
      <c r="I443" s="90"/>
      <c r="J443" s="90"/>
      <c r="K443" s="90"/>
    </row>
    <row r="444" spans="2:11" x14ac:dyDescent="0.3">
      <c r="B444" s="121" t="s">
        <v>1061</v>
      </c>
      <c r="C444" s="90"/>
      <c r="D444" s="90"/>
      <c r="E444" s="90"/>
      <c r="F444" s="90"/>
      <c r="G444" s="90"/>
      <c r="H444" s="90"/>
      <c r="I444" s="90"/>
      <c r="J444" s="90"/>
      <c r="K444" s="90"/>
    </row>
    <row r="445" spans="2:11" x14ac:dyDescent="0.3">
      <c r="B445" s="113" t="s">
        <v>1062</v>
      </c>
      <c r="C445" s="90" t="s">
        <v>1063</v>
      </c>
      <c r="D445" s="90"/>
      <c r="E445" s="100">
        <f>E436/E439*100</f>
        <v>5.0655187249384239</v>
      </c>
      <c r="F445" s="100">
        <f>F436/F439*100</f>
        <v>5.0655187249384239</v>
      </c>
      <c r="G445" s="100">
        <f>G436/G439*100</f>
        <v>5.0655187249384239</v>
      </c>
      <c r="H445" s="100">
        <f>H436/H439*100</f>
        <v>5.0655187249384239</v>
      </c>
      <c r="I445" s="100">
        <f>I436/I439*100</f>
        <v>5.0655187249384239</v>
      </c>
      <c r="J445" s="90"/>
      <c r="K445" s="90"/>
    </row>
    <row r="446" spans="2:11" x14ac:dyDescent="0.3">
      <c r="B446" s="113" t="s">
        <v>1064</v>
      </c>
      <c r="C446" s="90" t="s">
        <v>1063</v>
      </c>
      <c r="D446" s="90"/>
      <c r="E446" s="100">
        <f>E431/E439*100</f>
        <v>11.758116538051157</v>
      </c>
      <c r="F446" s="100">
        <f>F431/F439*100</f>
        <v>11.758116538051157</v>
      </c>
      <c r="G446" s="100">
        <f>G431/G439*100</f>
        <v>11.758116538051157</v>
      </c>
      <c r="H446" s="100">
        <f>H431/H439*100</f>
        <v>11.758116538051157</v>
      </c>
      <c r="I446" s="100">
        <f>I431/I439*100</f>
        <v>11.758116538051157</v>
      </c>
      <c r="J446" s="90"/>
      <c r="K446" s="90"/>
    </row>
    <row r="447" spans="2:11" x14ac:dyDescent="0.3">
      <c r="B447" s="113" t="s">
        <v>1065</v>
      </c>
      <c r="C447" s="90" t="s">
        <v>1063</v>
      </c>
      <c r="D447" s="90"/>
      <c r="E447" s="100">
        <f>E435/E439*100</f>
        <v>72.927927875598499</v>
      </c>
      <c r="F447" s="100">
        <f>F435/F439*100</f>
        <v>72.927927875598499</v>
      </c>
      <c r="G447" s="100">
        <f>G435/G439*100</f>
        <v>72.927927875598499</v>
      </c>
      <c r="H447" s="100">
        <f>H435/H439*100</f>
        <v>72.927927875598499</v>
      </c>
      <c r="I447" s="100">
        <f>I435/I439*100</f>
        <v>72.927927875598499</v>
      </c>
      <c r="J447" s="90"/>
      <c r="K447" s="90"/>
    </row>
    <row r="448" spans="2:11" x14ac:dyDescent="0.3">
      <c r="B448" s="113" t="s">
        <v>1096</v>
      </c>
      <c r="C448" s="90" t="s">
        <v>1067</v>
      </c>
      <c r="D448" s="90"/>
      <c r="E448" s="100">
        <f>E432/E439*1000000</f>
        <v>154.09126389856269</v>
      </c>
      <c r="F448" s="100">
        <f>F432/F439*1000000</f>
        <v>154.09126389856269</v>
      </c>
      <c r="G448" s="100">
        <f>G432/G439*1000000</f>
        <v>154.09126389856269</v>
      </c>
      <c r="H448" s="100">
        <f>H432/H439*1000000</f>
        <v>154.09126389856269</v>
      </c>
      <c r="I448" s="100">
        <f>I432/I439*1000000</f>
        <v>154.09126389856269</v>
      </c>
      <c r="J448" s="90"/>
      <c r="K448" s="90"/>
    </row>
    <row r="449" spans="2:11" x14ac:dyDescent="0.3">
      <c r="B449" s="113" t="s">
        <v>1097</v>
      </c>
      <c r="C449" s="90" t="s">
        <v>1067</v>
      </c>
      <c r="D449" s="90"/>
      <c r="E449" s="100">
        <f>E433/E439*1000000</f>
        <v>0</v>
      </c>
      <c r="F449" s="100">
        <f>F433/F439*1000000</f>
        <v>0</v>
      </c>
      <c r="G449" s="100">
        <f>G433/G439*1000000</f>
        <v>0</v>
      </c>
      <c r="H449" s="100">
        <f>H433/H439*1000000</f>
        <v>0</v>
      </c>
      <c r="I449" s="100">
        <f>I433/I439*1000000</f>
        <v>0</v>
      </c>
      <c r="J449" s="90"/>
      <c r="K449" s="90"/>
    </row>
    <row r="450" spans="2:11" x14ac:dyDescent="0.3">
      <c r="B450" s="113" t="s">
        <v>1098</v>
      </c>
      <c r="C450" s="90" t="s">
        <v>1067</v>
      </c>
      <c r="D450" s="90"/>
      <c r="E450" s="100">
        <f>E434/E439*1000000</f>
        <v>189.71636069571167</v>
      </c>
      <c r="F450" s="100">
        <f>F434/F439*1000000</f>
        <v>189.71636069571167</v>
      </c>
      <c r="G450" s="100">
        <f>G434/G439*1000000</f>
        <v>189.71636069571167</v>
      </c>
      <c r="H450" s="100">
        <f>H434/H439*1000000</f>
        <v>189.71636069571167</v>
      </c>
      <c r="I450" s="100">
        <f>I434/I439*1000000</f>
        <v>189.71636069571167</v>
      </c>
      <c r="J450" s="90"/>
      <c r="K450" s="90"/>
    </row>
    <row r="451" spans="2:11" x14ac:dyDescent="0.3">
      <c r="B451" s="113" t="s">
        <v>1070</v>
      </c>
      <c r="C451" s="90" t="s">
        <v>1063</v>
      </c>
      <c r="D451" s="90"/>
      <c r="E451" s="100">
        <f>E437/E439*100</f>
        <v>10.214056098952504</v>
      </c>
      <c r="F451" s="100">
        <f>F437/F439*100</f>
        <v>10.214056098952504</v>
      </c>
      <c r="G451" s="100">
        <f>G437/G439*100</f>
        <v>10.214056098952504</v>
      </c>
      <c r="H451" s="100">
        <f>H437/H439*100</f>
        <v>10.214056098952504</v>
      </c>
      <c r="I451" s="100">
        <f>I437/I439*100</f>
        <v>10.214056098952504</v>
      </c>
      <c r="J451" s="90"/>
      <c r="K451" s="90"/>
    </row>
    <row r="452" spans="2:11" x14ac:dyDescent="0.3">
      <c r="B452" s="113" t="s">
        <v>1099</v>
      </c>
      <c r="C452" s="90"/>
      <c r="D452" s="90"/>
      <c r="E452" s="100">
        <f>E445+E446+E447+E451+SUM(E448:E450)/10000</f>
        <v>100</v>
      </c>
      <c r="F452" s="100">
        <f>F445+F446+F447+F451+SUM(F448:F450)/10000</f>
        <v>100</v>
      </c>
      <c r="G452" s="100">
        <f>G445+G446+G447+G451+SUM(G448:G450)/10000</f>
        <v>100</v>
      </c>
      <c r="H452" s="100">
        <f>H445+H446+H447+H451+SUM(H448:H450)/10000</f>
        <v>100</v>
      </c>
      <c r="I452" s="100">
        <f>I445+I446+I447+I451+SUM(I448:I450)/10000</f>
        <v>100</v>
      </c>
      <c r="J452" s="90"/>
      <c r="K452" s="90"/>
    </row>
    <row r="453" spans="2:11" x14ac:dyDescent="0.3">
      <c r="B453" s="113"/>
      <c r="C453" s="90"/>
      <c r="D453" s="90"/>
      <c r="E453" s="90"/>
      <c r="F453" s="90"/>
      <c r="G453" s="90"/>
      <c r="H453" s="90"/>
      <c r="I453" s="90"/>
      <c r="J453" s="90"/>
      <c r="K453" s="90"/>
    </row>
    <row r="454" spans="2:11" x14ac:dyDescent="0.3">
      <c r="B454" s="121" t="s">
        <v>1071</v>
      </c>
      <c r="C454" s="90"/>
      <c r="D454" s="90"/>
      <c r="E454" s="90"/>
      <c r="F454" s="90"/>
      <c r="G454" s="90"/>
      <c r="H454" s="90"/>
      <c r="I454" s="90"/>
      <c r="J454" s="90"/>
      <c r="K454" s="90"/>
    </row>
    <row r="455" spans="2:11" x14ac:dyDescent="0.3">
      <c r="B455" s="113" t="s">
        <v>1062</v>
      </c>
      <c r="C455" s="90" t="s">
        <v>1063</v>
      </c>
      <c r="D455" s="90"/>
      <c r="E455" s="100">
        <f>E436/E438*100</f>
        <v>5.6417725368250276</v>
      </c>
      <c r="F455" s="100">
        <f>F436/F438*100</f>
        <v>5.6417725368250276</v>
      </c>
      <c r="G455" s="100">
        <f>G436/G438*100</f>
        <v>5.6417725368250276</v>
      </c>
      <c r="H455" s="100">
        <f>H436/H438*100</f>
        <v>5.6417725368250276</v>
      </c>
      <c r="I455" s="100">
        <f>I436/I438*100</f>
        <v>5.6417725368250276</v>
      </c>
      <c r="J455" s="90"/>
      <c r="K455" s="90"/>
    </row>
    <row r="456" spans="2:11" x14ac:dyDescent="0.3">
      <c r="B456" s="113" t="s">
        <v>1064</v>
      </c>
      <c r="C456" s="90" t="s">
        <v>1063</v>
      </c>
      <c r="D456" s="90"/>
      <c r="E456" s="100">
        <f>E431/E438*100</f>
        <v>13.09572080793593</v>
      </c>
      <c r="F456" s="100">
        <f>F431/F438*100</f>
        <v>13.09572080793593</v>
      </c>
      <c r="G456" s="100">
        <f>G431/G438*100</f>
        <v>13.09572080793593</v>
      </c>
      <c r="H456" s="100">
        <f>H431/H438*100</f>
        <v>13.09572080793593</v>
      </c>
      <c r="I456" s="100">
        <f>I431/I438*100</f>
        <v>13.09572080793593</v>
      </c>
      <c r="J456" s="90"/>
      <c r="K456" s="90"/>
    </row>
    <row r="457" spans="2:11" x14ac:dyDescent="0.3">
      <c r="B457" s="113" t="s">
        <v>1065</v>
      </c>
      <c r="C457" s="90" t="s">
        <v>1063</v>
      </c>
      <c r="D457" s="90"/>
      <c r="E457" s="100">
        <f>E435/E438*100</f>
        <v>81.22421473451557</v>
      </c>
      <c r="F457" s="100">
        <f>F435/F438*100</f>
        <v>81.22421473451557</v>
      </c>
      <c r="G457" s="100">
        <f>G435/G438*100</f>
        <v>81.22421473451557</v>
      </c>
      <c r="H457" s="100">
        <f>H435/H438*100</f>
        <v>81.22421473451557</v>
      </c>
      <c r="I457" s="100">
        <f>I435/I438*100</f>
        <v>81.22421473451557</v>
      </c>
      <c r="J457" s="90"/>
      <c r="K457" s="90"/>
    </row>
    <row r="458" spans="2:11" x14ac:dyDescent="0.3">
      <c r="B458" s="113" t="s">
        <v>1066</v>
      </c>
      <c r="C458" s="90" t="s">
        <v>1067</v>
      </c>
      <c r="D458" s="90"/>
      <c r="E458" s="100">
        <f>E432/E438*1000000</f>
        <v>171.62069830037726</v>
      </c>
      <c r="F458" s="100">
        <f>F432/F438*1000000</f>
        <v>171.62069830037726</v>
      </c>
      <c r="G458" s="100">
        <f>G432/G438*1000000</f>
        <v>171.62069830037726</v>
      </c>
      <c r="H458" s="100">
        <f>H432/H438*1000000</f>
        <v>171.62069830037726</v>
      </c>
      <c r="I458" s="100">
        <f>I432/I438*1000000</f>
        <v>171.62069830037726</v>
      </c>
      <c r="J458" s="90"/>
      <c r="K458" s="90"/>
    </row>
    <row r="459" spans="2:11" x14ac:dyDescent="0.3">
      <c r="B459" s="113" t="s">
        <v>1068</v>
      </c>
      <c r="C459" s="90" t="s">
        <v>1067</v>
      </c>
      <c r="D459" s="90"/>
      <c r="E459" s="100">
        <f>E433/E438*1000000</f>
        <v>0</v>
      </c>
      <c r="F459" s="100">
        <f>F433/F438*1000000</f>
        <v>0</v>
      </c>
      <c r="G459" s="100">
        <f>G433/G438*1000000</f>
        <v>0</v>
      </c>
      <c r="H459" s="100">
        <f>H433/H438*1000000</f>
        <v>0</v>
      </c>
      <c r="I459" s="100">
        <f>I433/I438*1000000</f>
        <v>0</v>
      </c>
      <c r="J459" s="90"/>
      <c r="K459" s="90"/>
    </row>
    <row r="460" spans="2:11" x14ac:dyDescent="0.3">
      <c r="B460" s="113" t="s">
        <v>1069</v>
      </c>
      <c r="C460" s="90" t="s">
        <v>1067</v>
      </c>
      <c r="D460" s="90"/>
      <c r="E460" s="100">
        <f>E434/E438*1000000</f>
        <v>211.29850893453525</v>
      </c>
      <c r="F460" s="100">
        <f>F434/F438*1000000</f>
        <v>211.29850893453525</v>
      </c>
      <c r="G460" s="100">
        <f>G434/G438*1000000</f>
        <v>211.29850893453525</v>
      </c>
      <c r="H460" s="100">
        <f>H434/H438*1000000</f>
        <v>211.29850893453525</v>
      </c>
      <c r="I460" s="100">
        <f>I434/I438*1000000</f>
        <v>211.29850893453525</v>
      </c>
      <c r="J460" s="90"/>
      <c r="K460" s="90"/>
    </row>
    <row r="461" spans="2:11" x14ac:dyDescent="0.3">
      <c r="B461" s="113" t="s">
        <v>1070</v>
      </c>
      <c r="C461" s="90" t="s">
        <v>1063</v>
      </c>
      <c r="D461" s="90"/>
      <c r="E461" s="90">
        <v>0</v>
      </c>
      <c r="F461" s="90">
        <v>0</v>
      </c>
      <c r="G461" s="90">
        <v>0</v>
      </c>
      <c r="H461" s="90">
        <v>0</v>
      </c>
      <c r="I461" s="90">
        <v>0</v>
      </c>
      <c r="J461" s="90"/>
      <c r="K461" s="90"/>
    </row>
    <row r="462" spans="2:11" x14ac:dyDescent="0.3">
      <c r="B462" s="113" t="s">
        <v>1099</v>
      </c>
      <c r="C462" s="90"/>
      <c r="D462" s="90"/>
      <c r="E462" s="100">
        <f>E455+E456+E457+E461+SUM(E458:E460)/10000</f>
        <v>100.00000000000001</v>
      </c>
      <c r="F462" s="100">
        <f>F455+F456+F457+F461+SUM(F458:F460)/10000</f>
        <v>100.00000000000001</v>
      </c>
      <c r="G462" s="100">
        <f>G455+G456+G457+G461+SUM(G458:G460)/10000</f>
        <v>100.00000000000001</v>
      </c>
      <c r="H462" s="100">
        <f>H455+H456+H457+H461+SUM(H458:H460)/10000</f>
        <v>100.00000000000001</v>
      </c>
      <c r="I462" s="100">
        <f>I455+I456+I457+I461+SUM(I458:I460)/10000</f>
        <v>100.00000000000001</v>
      </c>
      <c r="J462" s="90"/>
      <c r="K462" s="90"/>
    </row>
    <row r="463" spans="2:11" x14ac:dyDescent="0.3">
      <c r="B463" s="113"/>
      <c r="C463" s="90"/>
      <c r="D463" s="90"/>
      <c r="E463" s="90"/>
      <c r="F463" s="90"/>
      <c r="G463" s="90"/>
      <c r="H463" s="90"/>
      <c r="I463" s="90"/>
      <c r="J463" s="90"/>
      <c r="K463" s="90"/>
    </row>
    <row r="464" spans="2:11" ht="15.5" x14ac:dyDescent="0.35">
      <c r="B464" s="125" t="s">
        <v>1100</v>
      </c>
      <c r="C464" s="90"/>
      <c r="D464" s="90"/>
      <c r="E464" s="90"/>
      <c r="F464" s="90"/>
      <c r="G464" s="90"/>
      <c r="H464" s="90"/>
      <c r="I464" s="90"/>
      <c r="J464" s="90"/>
      <c r="K464" s="90"/>
    </row>
    <row r="465" spans="2:11" x14ac:dyDescent="0.3">
      <c r="B465" s="122" t="s">
        <v>1073</v>
      </c>
      <c r="C465" s="90"/>
      <c r="D465" s="90"/>
      <c r="E465" s="90"/>
      <c r="F465" s="90"/>
      <c r="G465" s="90"/>
      <c r="H465" s="90"/>
      <c r="I465" s="90"/>
      <c r="J465" s="90"/>
      <c r="K465" s="90"/>
    </row>
    <row r="466" spans="2:11" x14ac:dyDescent="0.3">
      <c r="B466" s="113" t="s">
        <v>1074</v>
      </c>
      <c r="C466" s="19" t="s">
        <v>171</v>
      </c>
      <c r="D466" s="90"/>
      <c r="E466" s="118">
        <f>E436*O2_MolWt</f>
        <v>105.7388520953137</v>
      </c>
      <c r="F466" s="118">
        <f>F436*O2_MolWt</f>
        <v>105.7388520953137</v>
      </c>
      <c r="G466" s="118">
        <f>G436*O2_MolWt</f>
        <v>105.7388520953137</v>
      </c>
      <c r="H466" s="118">
        <f>H436*O2_MolWt</f>
        <v>105.7388520953137</v>
      </c>
      <c r="I466" s="118">
        <f>I436*O2_MolWt</f>
        <v>105.7388520953137</v>
      </c>
      <c r="J466" s="90"/>
      <c r="K466" s="90"/>
    </row>
    <row r="467" spans="2:11" x14ac:dyDescent="0.3">
      <c r="B467" s="113" t="s">
        <v>1075</v>
      </c>
      <c r="C467" s="19" t="s">
        <v>171</v>
      </c>
      <c r="D467" s="90"/>
      <c r="E467" s="118">
        <f>E431*CO2_MolWt</f>
        <v>337.57175624315738</v>
      </c>
      <c r="F467" s="118">
        <f>F431*CO2_MolWt</f>
        <v>337.57175624315738</v>
      </c>
      <c r="G467" s="118">
        <f>G431*CO2_MolWt</f>
        <v>337.57175624315738</v>
      </c>
      <c r="H467" s="118">
        <f>H431*CO2_MolWt</f>
        <v>337.57175624315738</v>
      </c>
      <c r="I467" s="118">
        <f>I431*CO2_MolWt</f>
        <v>337.57175624315738</v>
      </c>
      <c r="J467" s="90"/>
      <c r="K467" s="90"/>
    </row>
    <row r="468" spans="2:11" x14ac:dyDescent="0.3">
      <c r="B468" s="113" t="s">
        <v>1076</v>
      </c>
      <c r="C468" s="19" t="s">
        <v>171</v>
      </c>
      <c r="D468" s="90"/>
      <c r="E468" s="118">
        <f>E435*N2_MolWt</f>
        <v>1333.0271021371623</v>
      </c>
      <c r="F468" s="118">
        <f>F435*N2_MolWt</f>
        <v>1333.0271021371623</v>
      </c>
      <c r="G468" s="118">
        <f>G435*N2_MolWt</f>
        <v>1333.0271021371623</v>
      </c>
      <c r="H468" s="118">
        <f>H435*N2_MolWt</f>
        <v>1333.0271021371623</v>
      </c>
      <c r="I468" s="118">
        <f>I435*N2_MolWt</f>
        <v>1333.0271021371623</v>
      </c>
      <c r="J468" s="90"/>
      <c r="K468" s="90"/>
    </row>
    <row r="469" spans="2:11" x14ac:dyDescent="0.3">
      <c r="B469" s="113" t="s">
        <v>1066</v>
      </c>
      <c r="C469" s="19" t="s">
        <v>171</v>
      </c>
      <c r="D469" s="90"/>
      <c r="E469" s="118">
        <f>E432*NO_MolWt</f>
        <v>0.30165623345146814</v>
      </c>
      <c r="F469" s="118">
        <f>F432*NO_MolWt</f>
        <v>0.30165623345146814</v>
      </c>
      <c r="G469" s="118">
        <f>G432*NO_MolWt</f>
        <v>0.30165623345146814</v>
      </c>
      <c r="H469" s="118">
        <f>H432*NO_MolWt</f>
        <v>0.30165623345146814</v>
      </c>
      <c r="I469" s="118">
        <f>I432*NO_MolWt</f>
        <v>0.30165623345146814</v>
      </c>
      <c r="J469" s="90"/>
      <c r="K469" s="90"/>
    </row>
    <row r="470" spans="2:11" x14ac:dyDescent="0.3">
      <c r="B470" s="113" t="s">
        <v>1077</v>
      </c>
      <c r="C470" s="19" t="s">
        <v>171</v>
      </c>
      <c r="D470" s="90"/>
      <c r="E470" s="118">
        <f>E433*HCl_MolWt</f>
        <v>0</v>
      </c>
      <c r="F470" s="118">
        <f>F433*HCl_MolWt</f>
        <v>0</v>
      </c>
      <c r="G470" s="118">
        <f>G433*HCl_MolWt</f>
        <v>0</v>
      </c>
      <c r="H470" s="118">
        <f>H433*HCl_MolWt</f>
        <v>0</v>
      </c>
      <c r="I470" s="118">
        <f>I433*HCl_MolWt</f>
        <v>0</v>
      </c>
      <c r="J470" s="90"/>
      <c r="K470" s="90"/>
    </row>
    <row r="471" spans="2:11" x14ac:dyDescent="0.3">
      <c r="B471" s="113" t="s">
        <v>1069</v>
      </c>
      <c r="C471" s="19" t="s">
        <v>171</v>
      </c>
      <c r="D471" s="90"/>
      <c r="E471" s="520">
        <v>0.39</v>
      </c>
      <c r="F471" s="118">
        <f>F434*SO2_MolWt</f>
        <v>0.79284387574058213</v>
      </c>
      <c r="G471" s="118">
        <f>G434*SO2_MolWt</f>
        <v>0.79284387574058213</v>
      </c>
      <c r="H471" s="118">
        <f>H434*SO2_MolWt</f>
        <v>0.79284387574058213</v>
      </c>
      <c r="I471" s="118">
        <f>I434*SO2_MolWt</f>
        <v>0.79284387574058213</v>
      </c>
      <c r="J471" s="90"/>
      <c r="K471" s="90"/>
    </row>
    <row r="472" spans="2:11" x14ac:dyDescent="0.3">
      <c r="B472" s="113" t="s">
        <v>1078</v>
      </c>
      <c r="C472" s="19" t="s">
        <v>171</v>
      </c>
      <c r="D472" s="90"/>
      <c r="E472" s="118">
        <f>E437*H2O_MolWt</f>
        <v>120.03770291820793</v>
      </c>
      <c r="F472" s="118">
        <f>F437*H2O_MolWt</f>
        <v>120.03770291820793</v>
      </c>
      <c r="G472" s="118">
        <f>G437*H2O_MolWt</f>
        <v>120.03770291820793</v>
      </c>
      <c r="H472" s="118">
        <f>H437*H2O_MolWt</f>
        <v>120.03770291820793</v>
      </c>
      <c r="I472" s="118">
        <f>I437*H2O_MolWt</f>
        <v>120.03770291820793</v>
      </c>
      <c r="J472" s="90"/>
      <c r="K472" s="90"/>
    </row>
    <row r="473" spans="2:11" x14ac:dyDescent="0.3">
      <c r="B473" s="113" t="s">
        <v>1079</v>
      </c>
      <c r="C473" s="19" t="s">
        <v>171</v>
      </c>
      <c r="D473" s="90"/>
      <c r="E473" s="118">
        <f>SUM(E466:E471)</f>
        <v>1777.0293667090848</v>
      </c>
      <c r="F473" s="118">
        <f>SUM(F466:F471)</f>
        <v>1777.4322105848253</v>
      </c>
      <c r="G473" s="118">
        <f>SUM(G466:G471)</f>
        <v>1777.4322105848253</v>
      </c>
      <c r="H473" s="118">
        <f>SUM(H466:H471)</f>
        <v>1777.4322105848253</v>
      </c>
      <c r="I473" s="118">
        <f>SUM(I466:I471)</f>
        <v>1777.4322105848253</v>
      </c>
      <c r="J473" s="90"/>
      <c r="K473" s="90"/>
    </row>
    <row r="474" spans="2:11" x14ac:dyDescent="0.3">
      <c r="B474" s="113" t="s">
        <v>1080</v>
      </c>
      <c r="C474" s="19" t="s">
        <v>171</v>
      </c>
      <c r="D474" s="90"/>
      <c r="E474" s="118">
        <f>E473+E472</f>
        <v>1897.0670696272928</v>
      </c>
      <c r="F474" s="118">
        <f>F473+F472</f>
        <v>1897.4699135030332</v>
      </c>
      <c r="G474" s="118">
        <f>G473+G472</f>
        <v>1897.4699135030332</v>
      </c>
      <c r="H474" s="118">
        <f>H473+H472</f>
        <v>1897.4699135030332</v>
      </c>
      <c r="I474" s="118">
        <f>I473+I472</f>
        <v>1897.4699135030332</v>
      </c>
      <c r="J474" s="90"/>
      <c r="K474" s="90"/>
    </row>
    <row r="475" spans="2:11" x14ac:dyDescent="0.3">
      <c r="B475" s="113" t="s">
        <v>1101</v>
      </c>
      <c r="C475" s="3" t="s">
        <v>878</v>
      </c>
      <c r="D475" s="90"/>
      <c r="E475" s="118">
        <f>E472/E474*100</f>
        <v>6.3275413315666871</v>
      </c>
      <c r="F475" s="118">
        <f>F472/F474*100</f>
        <v>6.3261979578163166</v>
      </c>
      <c r="G475" s="118">
        <f>G472/G474*100</f>
        <v>6.3261979578163166</v>
      </c>
      <c r="H475" s="118">
        <f>H472/H474*100</f>
        <v>6.3261979578163166</v>
      </c>
      <c r="I475" s="118">
        <f>I472/I474*100</f>
        <v>6.3261979578163166</v>
      </c>
      <c r="J475" s="90"/>
      <c r="K475" s="90"/>
    </row>
    <row r="476" spans="2:11" x14ac:dyDescent="0.3">
      <c r="B476" s="113" t="s">
        <v>1102</v>
      </c>
      <c r="C476" s="19" t="s">
        <v>171</v>
      </c>
      <c r="D476" s="90"/>
      <c r="E476" s="118">
        <f>E418+E441*Air_MolWt*(1+'Input &amp; Calculation Summary'!C34)</f>
        <v>1759.071861037035</v>
      </c>
      <c r="F476" s="118">
        <f>F418+F441*Air_MolWt*(1+'Input &amp; Calculation Summary'!D34)</f>
        <v>1759.071861037035</v>
      </c>
      <c r="G476" s="118">
        <f>G418+G441*Air_MolWt*(1+'Input &amp; Calculation Summary'!E34)</f>
        <v>1759.071861037035</v>
      </c>
      <c r="H476" s="118">
        <f>H418+H441*Air_MolWt*(1+'Input &amp; Calculation Summary'!F34)</f>
        <v>1759.071861037035</v>
      </c>
      <c r="I476" s="118">
        <f>I418+I441*Air_MolWt*(1+'Input &amp; Calculation Summary'!G34)</f>
        <v>1759.071861037035</v>
      </c>
      <c r="J476" s="90"/>
      <c r="K476" s="90"/>
    </row>
    <row r="477" spans="2:11" x14ac:dyDescent="0.3">
      <c r="B477" s="113" t="s">
        <v>1083</v>
      </c>
      <c r="C477" s="19" t="s">
        <v>1084</v>
      </c>
      <c r="D477" s="90"/>
      <c r="E477" s="118">
        <f>E474/E439</f>
        <v>29.080757241951126</v>
      </c>
      <c r="F477" s="118">
        <f>F474/F439</f>
        <v>29.086932566558453</v>
      </c>
      <c r="G477" s="118">
        <f>G474/G439</f>
        <v>29.086932566558453</v>
      </c>
      <c r="H477" s="118">
        <f>H474/H439</f>
        <v>29.086932566558453</v>
      </c>
      <c r="I477" s="118">
        <f>I474/I439</f>
        <v>29.086932566558453</v>
      </c>
      <c r="J477" s="90"/>
      <c r="K477" s="90"/>
    </row>
    <row r="478" spans="2:11" x14ac:dyDescent="0.3">
      <c r="B478" s="120"/>
      <c r="D478" s="90"/>
      <c r="E478" s="90"/>
      <c r="F478" s="90"/>
      <c r="G478" s="90"/>
      <c r="H478" s="90"/>
      <c r="I478" s="90"/>
      <c r="J478" s="90"/>
      <c r="K478" s="90"/>
    </row>
    <row r="479" spans="2:11" ht="15.5" x14ac:dyDescent="0.35">
      <c r="B479" s="123" t="s">
        <v>1103</v>
      </c>
      <c r="C479" s="90"/>
      <c r="D479" s="90"/>
      <c r="E479" s="90"/>
      <c r="F479" s="90"/>
      <c r="G479" s="90"/>
      <c r="H479" s="90"/>
      <c r="I479" s="90"/>
      <c r="J479" s="90"/>
      <c r="K479" s="90"/>
    </row>
    <row r="480" spans="2:11" x14ac:dyDescent="0.3">
      <c r="B480" s="113" t="s">
        <v>1104</v>
      </c>
      <c r="C480" s="90" t="s">
        <v>45</v>
      </c>
      <c r="D480" s="90"/>
      <c r="E480" s="118">
        <f>(E436*C228+E431*C229+E435*C230+E432*C232+E433*C234+E434*C233)*('Input &amp; Calculation Summary'!C30-'Input &amp; Calculation Summary'!C31)/10000</f>
        <v>9.5268824300824306</v>
      </c>
      <c r="F480" s="118">
        <f>(F436*D228+F431*D229+F435*D230+F432*D232+F433*D234+F434*D233)*('Input &amp; Calculation Summary'!D30-'Input &amp; Calculation Summary'!D31)/10000</f>
        <v>9.5268824300824306</v>
      </c>
      <c r="G480" s="118">
        <f>(G436*E228+G431*E229+G435*E230+G432*E232+G433*E234+G434*E233)*('Input &amp; Calculation Summary'!E30-'Input &amp; Calculation Summary'!E31)/10000</f>
        <v>9.5268824300824306</v>
      </c>
      <c r="H480" s="118">
        <f>(H436*F228+H431*F229+H435*F230+H432*F232+H433*F234+H434*F233)*('Input &amp; Calculation Summary'!F30-'Input &amp; Calculation Summary'!F31)/10000</f>
        <v>9.5268824300824306</v>
      </c>
      <c r="I480" s="118">
        <f>(I436*G228+I431*G229+I435*G230+I432*G232+I433*G234+I434*G233)*('Input &amp; Calculation Summary'!G30-'Input &amp; Calculation Summary'!G31)/10000</f>
        <v>9.5268824300824306</v>
      </c>
      <c r="J480" s="90"/>
      <c r="K480" s="90"/>
    </row>
    <row r="481" spans="2:11" x14ac:dyDescent="0.3">
      <c r="B481" s="113" t="s">
        <v>1105</v>
      </c>
      <c r="C481" s="90" t="s">
        <v>45</v>
      </c>
      <c r="D481" s="90"/>
      <c r="E481" s="118">
        <f>(E437*C231*('Input &amp; Calculation Summary'!C30-'Input &amp; Calculation Summary'!C31)+(E365+E367)*1020*H2O_MolWt)/10000</f>
        <v>11.136906482203131</v>
      </c>
      <c r="F481" s="118">
        <f>(F437*D231*('Input &amp; Calculation Summary'!D30-'Input &amp; Calculation Summary'!D31)+(F365+F367)*1020*H2O_MolWt)/10000</f>
        <v>11.136906482203131</v>
      </c>
      <c r="G481" s="118">
        <f>(G437*E231*('Input &amp; Calculation Summary'!E30-'Input &amp; Calculation Summary'!E31)+(G365+G367)*1020*H2O_MolWt)/10000</f>
        <v>11.136906482203131</v>
      </c>
      <c r="H481" s="118">
        <f>(H437*F231*('Input &amp; Calculation Summary'!F30-'Input &amp; Calculation Summary'!F31)+(H365+H367)*1020*H2O_MolWt)/10000</f>
        <v>11.136906482203131</v>
      </c>
      <c r="I481" s="118">
        <f>(I437*G231*('Input &amp; Calculation Summary'!G30-'Input &amp; Calculation Summary'!G31)+(I365+I367)*1020*H2O_MolWt)/10000</f>
        <v>11.136906482203131</v>
      </c>
      <c r="J481" s="90"/>
      <c r="K481" s="90"/>
    </row>
    <row r="482" spans="2:11" x14ac:dyDescent="0.3">
      <c r="B482" s="113" t="s">
        <v>1106</v>
      </c>
      <c r="C482" s="90" t="s">
        <v>45</v>
      </c>
      <c r="D482" s="90"/>
      <c r="E482" s="118">
        <f>E426*14100*C_MolWt/10000</f>
        <v>0.6527777777777779</v>
      </c>
      <c r="F482" s="118">
        <f>F426*14100*C_MolWt/10000</f>
        <v>0.6527777777777779</v>
      </c>
      <c r="G482" s="118">
        <f>G426*14100*C_MolWt/10000</f>
        <v>0.6527777777777779</v>
      </c>
      <c r="H482" s="118">
        <f>H426*14100*C_MolWt/10000</f>
        <v>0.6527777777777779</v>
      </c>
      <c r="I482" s="118">
        <f>I426*14100*C_MolWt/10000</f>
        <v>0.6527777777777779</v>
      </c>
      <c r="J482" s="90"/>
      <c r="K482" s="90"/>
    </row>
    <row r="483" spans="2:11" x14ac:dyDescent="0.3">
      <c r="B483" s="113" t="s">
        <v>1107</v>
      </c>
      <c r="C483" s="90" t="s">
        <v>45</v>
      </c>
      <c r="D483" s="90"/>
      <c r="E483" s="118">
        <f>('Input &amp; Calculation Summary'!C25/1000*'Input &amp; Calculation Summary'!C26)^(-0.229)*123/100</f>
        <v>0.22173869596864709</v>
      </c>
      <c r="F483" s="118">
        <f>('Input &amp; Calculation Summary'!D25/1000*'Input &amp; Calculation Summary'!D26)^(-0.229)*123/100</f>
        <v>0.22173869596864709</v>
      </c>
      <c r="G483" s="118">
        <f>('Input &amp; Calculation Summary'!E25/1000*'Input &amp; Calculation Summary'!E26)^(-0.229)*123/100</f>
        <v>0.25680873025482609</v>
      </c>
      <c r="H483" s="118">
        <f>('Input &amp; Calculation Summary'!F25/1000*'Input &amp; Calculation Summary'!F26)^(-0.229)*123/100</f>
        <v>0.34415302685003213</v>
      </c>
      <c r="I483" s="118">
        <f>('Input &amp; Calculation Summary'!G25/1000*'Input &amp; Calculation Summary'!G26)^(-0.229)*123/100</f>
        <v>0.34415302685003213</v>
      </c>
      <c r="J483" s="90"/>
      <c r="K483" s="90"/>
    </row>
    <row r="484" spans="2:11" x14ac:dyDescent="0.3">
      <c r="B484" s="113" t="s">
        <v>1108</v>
      </c>
      <c r="C484" s="90" t="s">
        <v>45</v>
      </c>
      <c r="D484" s="90"/>
      <c r="E484" s="90">
        <v>1.5</v>
      </c>
      <c r="F484" s="90">
        <v>1.5</v>
      </c>
      <c r="G484" s="90">
        <v>1.5</v>
      </c>
      <c r="H484" s="90">
        <v>1.5</v>
      </c>
      <c r="I484" s="90">
        <v>1.5</v>
      </c>
      <c r="J484" s="90"/>
      <c r="K484" s="90"/>
    </row>
    <row r="485" spans="2:11" x14ac:dyDescent="0.3">
      <c r="B485" s="113" t="s">
        <v>1109</v>
      </c>
      <c r="C485" s="90" t="s">
        <v>45</v>
      </c>
      <c r="D485" s="90"/>
      <c r="E485" s="90">
        <v>0</v>
      </c>
      <c r="F485" s="90">
        <v>0</v>
      </c>
      <c r="G485" s="90">
        <v>0</v>
      </c>
      <c r="H485" s="90">
        <v>0</v>
      </c>
      <c r="I485" s="90">
        <v>0</v>
      </c>
      <c r="J485" s="90"/>
      <c r="K485" s="90"/>
    </row>
    <row r="486" spans="2:11" x14ac:dyDescent="0.3">
      <c r="B486" s="113" t="s">
        <v>1110</v>
      </c>
      <c r="C486" s="90" t="s">
        <v>45</v>
      </c>
      <c r="D486" s="90"/>
      <c r="E486" s="118">
        <f>SUM(E480:E485)</f>
        <v>23.038305386031986</v>
      </c>
      <c r="F486" s="118">
        <f>SUM(F480:F485)</f>
        <v>23.038305386031986</v>
      </c>
      <c r="G486" s="118">
        <f>SUM(G480:G485)</f>
        <v>23.073375420318165</v>
      </c>
      <c r="H486" s="118">
        <f>SUM(H480:H485)</f>
        <v>23.160719716913373</v>
      </c>
      <c r="I486" s="118">
        <f>SUM(I480:I485)</f>
        <v>23.160719716913373</v>
      </c>
      <c r="J486" s="90"/>
      <c r="K486" s="90"/>
    </row>
    <row r="487" spans="2:11" x14ac:dyDescent="0.3">
      <c r="B487" s="113"/>
      <c r="C487" s="90"/>
      <c r="D487" s="90"/>
      <c r="E487" s="90"/>
      <c r="F487" s="90"/>
      <c r="G487" s="90"/>
      <c r="H487" s="90"/>
      <c r="I487" s="90"/>
      <c r="J487" s="90"/>
      <c r="K487" s="90"/>
    </row>
    <row r="488" spans="2:11" x14ac:dyDescent="0.3">
      <c r="B488" s="113" t="s">
        <v>1111</v>
      </c>
      <c r="C488" s="90" t="s">
        <v>45</v>
      </c>
      <c r="D488" s="90"/>
      <c r="E488" s="118">
        <f>100-E486</f>
        <v>76.961694613968007</v>
      </c>
      <c r="F488" s="118">
        <f>100-F486</f>
        <v>76.961694613968007</v>
      </c>
      <c r="G488" s="118">
        <f>100-G486</f>
        <v>76.926624579681828</v>
      </c>
      <c r="H488" s="118">
        <f>100-H486</f>
        <v>76.839280283086623</v>
      </c>
      <c r="I488" s="118">
        <f>100-I486</f>
        <v>76.839280283086623</v>
      </c>
      <c r="J488" s="90"/>
      <c r="K488" s="90"/>
    </row>
    <row r="489" spans="2:11" x14ac:dyDescent="0.3">
      <c r="C489" s="90"/>
      <c r="D489" s="90"/>
      <c r="E489" s="90"/>
      <c r="F489" s="90"/>
      <c r="G489" s="90"/>
      <c r="H489" s="90"/>
      <c r="I489" s="90"/>
      <c r="J489" s="90"/>
      <c r="K489" s="90"/>
    </row>
    <row r="490" spans="2:11" ht="15.5" x14ac:dyDescent="0.35">
      <c r="B490" s="123" t="s">
        <v>1112</v>
      </c>
      <c r="C490" s="90"/>
      <c r="D490" s="90"/>
      <c r="E490" s="90"/>
      <c r="F490" s="90"/>
      <c r="G490" s="90"/>
      <c r="H490" s="90"/>
      <c r="I490" s="90"/>
      <c r="J490" s="90"/>
      <c r="K490" s="90"/>
    </row>
    <row r="491" spans="2:11" x14ac:dyDescent="0.3">
      <c r="B491" s="113" t="s">
        <v>1113</v>
      </c>
      <c r="C491" s="90" t="s">
        <v>1114</v>
      </c>
      <c r="D491" s="90"/>
      <c r="E491" s="90">
        <v>497</v>
      </c>
      <c r="F491" s="90">
        <f>('Input &amp; Calculation Summary'!D25*'Input &amp; Calculation Summary'!D26)/1000</f>
        <v>1774.95</v>
      </c>
      <c r="G491" s="90">
        <f>('Input &amp; Calculation Summary'!E25*'Input &amp; Calculation Summary'!E26)/1000</f>
        <v>934.80700000000002</v>
      </c>
      <c r="H491" s="90">
        <f>('Input &amp; Calculation Summary'!F25*'Input &amp; Calculation Summary'!F26)/1000</f>
        <v>260.32600000000002</v>
      </c>
      <c r="I491" s="90">
        <f>('Input &amp; Calculation Summary'!G25*'Input &amp; Calculation Summary'!G26)/1000</f>
        <v>260.32600000000002</v>
      </c>
      <c r="J491" s="90"/>
      <c r="K491" s="90"/>
    </row>
    <row r="492" spans="2:11" x14ac:dyDescent="0.3">
      <c r="B492" s="113" t="s">
        <v>1115</v>
      </c>
      <c r="C492" s="90" t="s">
        <v>1116</v>
      </c>
      <c r="D492" s="90"/>
      <c r="E492" s="140">
        <f>(E491*1000000)/E330/2000</f>
        <v>32.870370370370374</v>
      </c>
      <c r="F492" s="140">
        <f>(F491*1000000)/F330/2000</f>
        <v>117.39087301587301</v>
      </c>
      <c r="G492" s="140">
        <f>(G491*1000000)/G330/2000</f>
        <v>61.825859788359793</v>
      </c>
      <c r="H492" s="140">
        <f>(H491*1000000)/H330/2000</f>
        <v>17.217328042328045</v>
      </c>
      <c r="I492" s="140">
        <f>(I491*1000000)/I330/2000</f>
        <v>17.217328042328045</v>
      </c>
      <c r="J492" s="90"/>
      <c r="K492" s="90"/>
    </row>
    <row r="493" spans="2:11" x14ac:dyDescent="0.3">
      <c r="B493" s="113" t="s">
        <v>1115</v>
      </c>
      <c r="C493" s="90" t="s">
        <v>171</v>
      </c>
      <c r="D493" s="90"/>
      <c r="E493" s="140">
        <f>(E492*2000)/E491</f>
        <v>132.27513227513228</v>
      </c>
      <c r="F493" s="140">
        <f>(F492*2000)/F491</f>
        <v>132.27513227513228</v>
      </c>
      <c r="G493" s="140">
        <f>(G492*2000)/G491</f>
        <v>132.27513227513228</v>
      </c>
      <c r="H493" s="140">
        <f>(H492*2000)/H491</f>
        <v>132.27513227513228</v>
      </c>
      <c r="I493" s="140">
        <f>(I492*2000)/I491</f>
        <v>132.27513227513228</v>
      </c>
      <c r="J493" s="90"/>
      <c r="K493" s="90"/>
    </row>
    <row r="494" spans="2:11" x14ac:dyDescent="0.3">
      <c r="C494" s="90"/>
      <c r="D494" s="90"/>
      <c r="E494" s="90"/>
      <c r="F494" s="90"/>
      <c r="G494" s="90"/>
      <c r="H494" s="90"/>
      <c r="I494" s="90"/>
      <c r="J494" s="90"/>
      <c r="K494" s="90"/>
    </row>
    <row r="495" spans="2:11" ht="15.5" x14ac:dyDescent="0.35">
      <c r="B495" s="123" t="s">
        <v>1117</v>
      </c>
      <c r="C495" s="90"/>
      <c r="D495" s="90"/>
      <c r="E495" s="90"/>
      <c r="F495" s="90"/>
      <c r="G495" s="90"/>
      <c r="H495" s="90"/>
      <c r="I495" s="90"/>
      <c r="J495" s="90"/>
      <c r="K495" s="90"/>
    </row>
    <row r="496" spans="2:11" x14ac:dyDescent="0.3">
      <c r="B496" s="113" t="s">
        <v>1118</v>
      </c>
      <c r="C496" s="90" t="s">
        <v>1119</v>
      </c>
      <c r="D496" s="90"/>
      <c r="E496" s="108">
        <f>E385*cubft_60</f>
        <v>22111.564728509456</v>
      </c>
      <c r="F496" s="108">
        <f>F385*cubft_60</f>
        <v>22111.564728509456</v>
      </c>
      <c r="G496" s="108">
        <f>G385*cubft_60</f>
        <v>22111.564728509456</v>
      </c>
      <c r="H496" s="108">
        <f>H385*cubft_60</f>
        <v>22111.564728509456</v>
      </c>
      <c r="I496" s="108">
        <f>I385*cubft_60</f>
        <v>22111.564728509456</v>
      </c>
      <c r="J496" s="90"/>
      <c r="K496" s="90"/>
    </row>
    <row r="497" spans="2:11" x14ac:dyDescent="0.3">
      <c r="B497" s="113" t="s">
        <v>1118</v>
      </c>
      <c r="C497" s="90" t="s">
        <v>526</v>
      </c>
      <c r="D497" s="90"/>
      <c r="E497" s="108">
        <f>E496*E491/60</f>
        <v>183157.46116781997</v>
      </c>
      <c r="F497" s="108">
        <f>F496*F491/60</f>
        <v>654115.36358113098</v>
      </c>
      <c r="G497" s="108">
        <f>G496*G491/60</f>
        <v>344500.75815272902</v>
      </c>
      <c r="H497" s="108">
        <f>H496*H491/60</f>
        <v>95936.919991899224</v>
      </c>
      <c r="I497" s="108">
        <f>I496*I491/60</f>
        <v>95936.919991899224</v>
      </c>
      <c r="J497" s="90"/>
      <c r="K497" s="90"/>
    </row>
    <row r="498" spans="2:11" x14ac:dyDescent="0.3">
      <c r="B498" s="113" t="s">
        <v>1120</v>
      </c>
      <c r="C498" s="90" t="s">
        <v>327</v>
      </c>
      <c r="D498" s="90"/>
      <c r="E498" s="108">
        <f>E415*E491</f>
        <v>843574.13511340297</v>
      </c>
      <c r="F498" s="108">
        <f>F415*F491</f>
        <v>3012679.9016489633</v>
      </c>
      <c r="G498" s="108">
        <f>G415*G491</f>
        <v>1586678.0815351207</v>
      </c>
      <c r="H498" s="108">
        <f>H415*H491</f>
        <v>441859.71890851465</v>
      </c>
      <c r="I498" s="108">
        <f>I415*I491</f>
        <v>441859.71890851465</v>
      </c>
      <c r="J498" s="90"/>
      <c r="K498" s="90"/>
    </row>
    <row r="499" spans="2:11" x14ac:dyDescent="0.3">
      <c r="B499" s="113" t="s">
        <v>1121</v>
      </c>
      <c r="C499" s="90" t="s">
        <v>526</v>
      </c>
      <c r="D499" s="90"/>
      <c r="E499" s="108">
        <f>E418*E491*cubft_60/(Air_MolWt*60)</f>
        <v>169888.87430490227</v>
      </c>
      <c r="F499" s="108">
        <f>F418*F491*cubft_60/(Air_MolWt*60)</f>
        <v>606728.88822431851</v>
      </c>
      <c r="G499" s="108">
        <f>G418*G491*cubft_60/(Air_MolWt*60)</f>
        <v>319543.88113147439</v>
      </c>
      <c r="H499" s="108">
        <f>H418*H491*cubft_60/(Air_MolWt*60)</f>
        <v>88986.903606233376</v>
      </c>
      <c r="I499" s="108">
        <f>I418*I491*cubft_60/(Air_MolWt*60)</f>
        <v>88986.903606233376</v>
      </c>
      <c r="J499" s="90"/>
      <c r="K499" s="90"/>
    </row>
    <row r="500" spans="2:11" x14ac:dyDescent="0.3">
      <c r="B500" s="113" t="s">
        <v>1121</v>
      </c>
      <c r="C500" s="90" t="s">
        <v>327</v>
      </c>
      <c r="D500" s="90"/>
      <c r="E500" s="108">
        <f>E418*E491</f>
        <v>774790.46637596202</v>
      </c>
      <c r="F500" s="108">
        <f>F418*F491</f>
        <v>2767030.861758579</v>
      </c>
      <c r="G500" s="108">
        <f>G418*G491</f>
        <v>1457302.9205261848</v>
      </c>
      <c r="H500" s="108">
        <f>H418*H491</f>
        <v>405831.19305792492</v>
      </c>
      <c r="I500" s="108">
        <f>I418*I491</f>
        <v>405831.19305792492</v>
      </c>
      <c r="J500" s="90"/>
      <c r="K500" s="90"/>
    </row>
    <row r="501" spans="2:11" x14ac:dyDescent="0.3">
      <c r="B501" s="113" t="s">
        <v>1122</v>
      </c>
      <c r="C501" s="90" t="s">
        <v>45</v>
      </c>
      <c r="D501" s="90"/>
      <c r="E501" s="141">
        <f>'Input &amp; Calculation Summary'!C28</f>
        <v>1.2</v>
      </c>
      <c r="F501" s="141">
        <f>'Input &amp; Calculation Summary'!D28</f>
        <v>1.2</v>
      </c>
      <c r="G501" s="141">
        <f>'Input &amp; Calculation Summary'!E28</f>
        <v>1.2</v>
      </c>
      <c r="H501" s="141">
        <f>'Input &amp; Calculation Summary'!F28</f>
        <v>1.2</v>
      </c>
      <c r="I501" s="141">
        <f>'Input &amp; Calculation Summary'!G28</f>
        <v>1.2</v>
      </c>
      <c r="J501" s="90"/>
      <c r="K501" s="90"/>
    </row>
    <row r="502" spans="2:11" x14ac:dyDescent="0.3">
      <c r="B502" s="113" t="s">
        <v>1123</v>
      </c>
      <c r="C502" s="90" t="s">
        <v>45</v>
      </c>
      <c r="D502" s="90"/>
      <c r="E502" s="141">
        <f>E501-1</f>
        <v>0.19999999999999996</v>
      </c>
      <c r="F502" s="141">
        <f>F501-1</f>
        <v>0.19999999999999996</v>
      </c>
      <c r="G502" s="141">
        <f>G501-1</f>
        <v>0.19999999999999996</v>
      </c>
      <c r="H502" s="141">
        <f>H501-1</f>
        <v>0.19999999999999996</v>
      </c>
      <c r="I502" s="141">
        <f>I501-1</f>
        <v>0.19999999999999996</v>
      </c>
      <c r="J502" s="90"/>
      <c r="K502" s="90"/>
    </row>
    <row r="503" spans="2:11" x14ac:dyDescent="0.3">
      <c r="C503" s="90"/>
      <c r="D503" s="90"/>
      <c r="E503" s="90"/>
      <c r="F503" s="90"/>
      <c r="G503" s="90"/>
      <c r="H503" s="90"/>
      <c r="I503" s="90"/>
      <c r="J503" s="90"/>
      <c r="K503" s="90"/>
    </row>
    <row r="504" spans="2:11" ht="15.5" x14ac:dyDescent="0.35">
      <c r="B504" s="123" t="s">
        <v>1124</v>
      </c>
      <c r="C504" s="90"/>
      <c r="D504" s="90"/>
      <c r="E504" s="90"/>
      <c r="F504" s="90"/>
      <c r="G504" s="90"/>
      <c r="H504" s="90"/>
      <c r="I504" s="90"/>
      <c r="J504" s="90"/>
      <c r="K504" s="90"/>
    </row>
    <row r="505" spans="2:11" x14ac:dyDescent="0.3">
      <c r="B505" s="113" t="s">
        <v>1118</v>
      </c>
      <c r="C505" s="90" t="s">
        <v>1119</v>
      </c>
      <c r="D505" s="90"/>
      <c r="E505" s="108">
        <f>E439*cubft_60</f>
        <v>24764.952495930589</v>
      </c>
      <c r="F505" s="108">
        <f>F439*cubft_60</f>
        <v>24764.952495930589</v>
      </c>
      <c r="G505" s="108">
        <f>G439*cubft_60</f>
        <v>24764.952495930589</v>
      </c>
      <c r="H505" s="108">
        <f>H439*cubft_60</f>
        <v>24764.952495930589</v>
      </c>
      <c r="I505" s="108">
        <f>I439*cubft_60</f>
        <v>24764.952495930589</v>
      </c>
      <c r="J505" s="90"/>
      <c r="K505" s="90"/>
    </row>
    <row r="506" spans="2:11" x14ac:dyDescent="0.3">
      <c r="B506" s="113" t="s">
        <v>1118</v>
      </c>
      <c r="C506" s="90" t="s">
        <v>526</v>
      </c>
      <c r="D506" s="90"/>
      <c r="E506" s="108">
        <f>E505*E491/60</f>
        <v>205136.35650795838</v>
      </c>
      <c r="F506" s="108">
        <f>F505*F491/60</f>
        <v>732609.20721086662</v>
      </c>
      <c r="G506" s="108">
        <f>G505*G491/60</f>
        <v>385840.8491310564</v>
      </c>
      <c r="H506" s="108">
        <f>H505*H491/60</f>
        <v>107449.35039092712</v>
      </c>
      <c r="I506" s="108">
        <f>I505*I491/60</f>
        <v>107449.35039092712</v>
      </c>
      <c r="J506" s="90"/>
      <c r="K506" s="90"/>
    </row>
    <row r="507" spans="2:11" x14ac:dyDescent="0.3">
      <c r="B507" s="113" t="s">
        <v>1120</v>
      </c>
      <c r="C507" s="90" t="s">
        <v>327</v>
      </c>
      <c r="D507" s="90"/>
      <c r="E507" s="108">
        <f>E474*E491</f>
        <v>942842.33360476454</v>
      </c>
      <c r="F507" s="108">
        <f>F474*F491</f>
        <v>3367914.2229722091</v>
      </c>
      <c r="G507" s="108">
        <f>G474*G491</f>
        <v>1773768.15743203</v>
      </c>
      <c r="H507" s="108">
        <f>H474*H491</f>
        <v>493960.75270259066</v>
      </c>
      <c r="I507" s="108">
        <f>I474*I491</f>
        <v>493960.75270259066</v>
      </c>
      <c r="J507" s="90"/>
      <c r="K507" s="90"/>
    </row>
    <row r="508" spans="2:11" x14ac:dyDescent="0.3">
      <c r="B508" s="113" t="s">
        <v>1121</v>
      </c>
      <c r="C508" s="90" t="s">
        <v>526</v>
      </c>
      <c r="D508" s="90"/>
      <c r="E508" s="108">
        <f>E476*E491*cubft_60/(Air_MolWt*60)</f>
        <v>191699.35018218847</v>
      </c>
      <c r="F508" s="108">
        <f>F476*F491*cubft_60/(Air_MolWt*60)</f>
        <v>684621.25071604701</v>
      </c>
      <c r="G508" s="108">
        <f>G476*G491*cubft_60/(Air_MolWt*60)</f>
        <v>360567.19204378477</v>
      </c>
      <c r="H508" s="108">
        <f>H476*H491*cubft_60/(Air_MolWt*60)</f>
        <v>100411.11677168692</v>
      </c>
      <c r="I508" s="108">
        <f>I476*I491*cubft_60/(Air_MolWt*60)</f>
        <v>100411.11677168692</v>
      </c>
      <c r="J508" s="90"/>
      <c r="K508" s="90"/>
    </row>
    <row r="509" spans="2:11" x14ac:dyDescent="0.3">
      <c r="B509" s="113" t="s">
        <v>1121</v>
      </c>
      <c r="C509" s="90" t="s">
        <v>327</v>
      </c>
      <c r="D509" s="90"/>
      <c r="E509" s="108">
        <f>E476*E491</f>
        <v>874258.71493540634</v>
      </c>
      <c r="F509" s="108">
        <f>F476*F491</f>
        <v>3122264.5997476852</v>
      </c>
      <c r="G509" s="108">
        <f>G476*G491</f>
        <v>1644392.6892004476</v>
      </c>
      <c r="H509" s="108">
        <f>H476*H491</f>
        <v>457932.14129632723</v>
      </c>
      <c r="I509" s="108">
        <f>I476*I491</f>
        <v>457932.14129632723</v>
      </c>
      <c r="J509" s="90"/>
      <c r="K509" s="90"/>
    </row>
    <row r="510" spans="2:11" x14ac:dyDescent="0.3">
      <c r="B510" s="113" t="s">
        <v>1125</v>
      </c>
      <c r="C510" s="90" t="s">
        <v>526</v>
      </c>
      <c r="D510" s="90"/>
      <c r="E510" s="108">
        <f>E441*cubft_60*E491*(1+'Input &amp; Calculation Summary'!C34)/60</f>
        <v>21810.475877286171</v>
      </c>
      <c r="F510" s="108">
        <f>F441*cubft_60*F491*(1+'Input &amp; Calculation Summary'!D34)/60</f>
        <v>77892.362491728549</v>
      </c>
      <c r="G510" s="108">
        <f>G441*cubft_60*G491*(1+'Input &amp; Calculation Summary'!E34)/60</f>
        <v>41023.310912310371</v>
      </c>
      <c r="H510" s="108">
        <f>H441*cubft_60*H491*(1+'Input &amp; Calculation Summary'!F34)/60</f>
        <v>11424.213165453521</v>
      </c>
      <c r="I510" s="108">
        <f>I441*cubft_60*I491*(1+'Input &amp; Calculation Summary'!G34)/60</f>
        <v>11424.213165453521</v>
      </c>
      <c r="J510" s="90"/>
      <c r="K510" s="90"/>
    </row>
    <row r="511" spans="2:11" x14ac:dyDescent="0.3">
      <c r="B511" s="113" t="s">
        <v>1125</v>
      </c>
      <c r="C511" s="90" t="s">
        <v>327</v>
      </c>
      <c r="D511" s="90"/>
      <c r="E511" s="108">
        <f>E441*Air_MolWt*E491*(1+'Input &amp; Calculation Summary'!C34)</f>
        <v>99468.248559444371</v>
      </c>
      <c r="F511" s="108">
        <f>F441*Air_MolWt*F491*(1+'Input &amp; Calculation Summary'!D34)</f>
        <v>355233.73798910622</v>
      </c>
      <c r="G511" s="108">
        <f>G441*Air_MolWt*G491*(1+'Input &amp; Calculation Summary'!E34)</f>
        <v>187089.7686742626</v>
      </c>
      <c r="H511" s="108">
        <f>H441*Air_MolWt*H491*(1+'Input &amp; Calculation Summary'!F34)</f>
        <v>52100.948238402249</v>
      </c>
      <c r="I511" s="108">
        <f>I441*Air_MolWt*I491*(1+'Input &amp; Calculation Summary'!G34)</f>
        <v>52100.948238402249</v>
      </c>
      <c r="J511" s="90"/>
      <c r="K511" s="90"/>
    </row>
    <row r="512" spans="2:11" x14ac:dyDescent="0.3">
      <c r="B512" s="113" t="s">
        <v>1126</v>
      </c>
      <c r="C512" s="90" t="s">
        <v>45</v>
      </c>
      <c r="D512" s="90"/>
      <c r="E512" s="142">
        <f>(E476/E417)</f>
        <v>1.354057004379057</v>
      </c>
      <c r="F512" s="142">
        <f>(F476/F417)</f>
        <v>1.354057004379057</v>
      </c>
      <c r="G512" s="142">
        <f>(G476/G417)</f>
        <v>1.354057004379057</v>
      </c>
      <c r="H512" s="142">
        <f>(H476/H417)</f>
        <v>1.354057004379057</v>
      </c>
      <c r="I512" s="142">
        <f>(I476/I417)</f>
        <v>1.354057004379057</v>
      </c>
      <c r="J512" s="90"/>
      <c r="K512" s="90"/>
    </row>
    <row r="513" spans="2:11" x14ac:dyDescent="0.3">
      <c r="B513" s="113" t="s">
        <v>1127</v>
      </c>
      <c r="C513" s="90" t="s">
        <v>45</v>
      </c>
      <c r="D513" s="90"/>
      <c r="E513" s="142">
        <f>E512-1</f>
        <v>0.35405700437905696</v>
      </c>
      <c r="F513" s="142">
        <f>F512-1</f>
        <v>0.35405700437905696</v>
      </c>
      <c r="G513" s="142">
        <f>G512-1</f>
        <v>0.35405700437905696</v>
      </c>
      <c r="H513" s="142">
        <f>H512-1</f>
        <v>0.35405700437905696</v>
      </c>
      <c r="I513" s="142">
        <f>I512-1</f>
        <v>0.35405700437905696</v>
      </c>
      <c r="J513" s="90"/>
      <c r="K513" s="90"/>
    </row>
    <row r="514" spans="2:11" x14ac:dyDescent="0.3">
      <c r="B514" s="113" t="s">
        <v>1128</v>
      </c>
      <c r="C514" s="19" t="s">
        <v>51</v>
      </c>
      <c r="D514" s="90"/>
      <c r="E514" s="90">
        <f>'Input &amp; Calculation Summary'!C30</f>
        <v>300</v>
      </c>
      <c r="F514" s="90">
        <f>'Input &amp; Calculation Summary'!D30</f>
        <v>300</v>
      </c>
      <c r="G514" s="90">
        <f>'Input &amp; Calculation Summary'!E30</f>
        <v>300</v>
      </c>
      <c r="H514" s="90">
        <f>'Input &amp; Calculation Summary'!F30</f>
        <v>300</v>
      </c>
      <c r="I514" s="90">
        <f>'Input &amp; Calculation Summary'!G30</f>
        <v>300</v>
      </c>
      <c r="J514" s="90"/>
      <c r="K514" s="90"/>
    </row>
    <row r="515" spans="2:11" x14ac:dyDescent="0.3">
      <c r="B515" s="113" t="s">
        <v>1129</v>
      </c>
      <c r="C515" s="19" t="s">
        <v>132</v>
      </c>
      <c r="D515" s="90"/>
      <c r="E515" s="90">
        <f>'Input &amp; Calculation Summary'!C33</f>
        <v>-12</v>
      </c>
      <c r="F515" s="90">
        <f>'Input &amp; Calculation Summary'!D33</f>
        <v>-12</v>
      </c>
      <c r="G515" s="90">
        <f>'Input &amp; Calculation Summary'!E33</f>
        <v>-12</v>
      </c>
      <c r="H515" s="90">
        <f>'Input &amp; Calculation Summary'!F33</f>
        <v>-12</v>
      </c>
      <c r="I515" s="90">
        <f>'Input &amp; Calculation Summary'!G33</f>
        <v>-12</v>
      </c>
      <c r="J515" s="90"/>
      <c r="K515" s="90"/>
    </row>
    <row r="516" spans="2:11" x14ac:dyDescent="0.3">
      <c r="B516" s="113" t="s">
        <v>1118</v>
      </c>
      <c r="C516" s="19" t="s">
        <v>527</v>
      </c>
      <c r="D516" s="90"/>
      <c r="E516" s="108">
        <f>E506*((E514+460)/520)*(29.92/('Input &amp; Calculation Summary'!C32+(E515/inH2O_inHg)))</f>
        <v>314547.31448995718</v>
      </c>
      <c r="F516" s="108">
        <f>F506*((F514+460)/520)*(29.92/('Input &amp; Calculation Summary'!D32+(F515/inH2O_inHg)))</f>
        <v>1123351.6214365177</v>
      </c>
      <c r="G516" s="108">
        <f>G506*((G514+460)/520)*(29.92/('Input &amp; Calculation Summary'!E32+(G515/inH2O_inHg)))</f>
        <v>591631.85395656608</v>
      </c>
      <c r="H516" s="108">
        <f>H506*((H514+460)/520)*(29.92/('Input &amp; Calculation Summary'!F32+(H515/inH2O_inHg)))</f>
        <v>164758.23781068932</v>
      </c>
      <c r="I516" s="108">
        <f>I506*((I514+460)/520)*(29.92/('Input &amp; Calculation Summary'!G32+(I515/inH2O_inHg)))</f>
        <v>164758.23781068932</v>
      </c>
      <c r="J516" s="90"/>
      <c r="K516" s="90"/>
    </row>
    <row r="517" spans="2:11" x14ac:dyDescent="0.3">
      <c r="C517" s="90"/>
      <c r="D517" s="90"/>
      <c r="E517" s="90"/>
      <c r="F517" s="90"/>
      <c r="G517" s="90"/>
      <c r="H517" s="90"/>
      <c r="I517" s="90"/>
      <c r="J517" s="90"/>
      <c r="K517" s="90"/>
    </row>
    <row r="518" spans="2:11" ht="15.5" x14ac:dyDescent="0.35">
      <c r="B518" s="123" t="s">
        <v>1130</v>
      </c>
      <c r="C518" s="90"/>
      <c r="D518" s="90"/>
      <c r="E518" s="90"/>
      <c r="F518" s="90"/>
      <c r="G518" s="90"/>
      <c r="H518" s="90"/>
      <c r="I518" s="90"/>
      <c r="J518" s="90"/>
      <c r="K518" s="90"/>
    </row>
    <row r="519" spans="2:11" x14ac:dyDescent="0.3">
      <c r="B519" s="113" t="s">
        <v>1086</v>
      </c>
      <c r="C519" s="90" t="s">
        <v>1116</v>
      </c>
      <c r="D519" s="90"/>
      <c r="E519" s="100">
        <f>E422*E491/2000</f>
        <v>1.9327882700000001</v>
      </c>
      <c r="F519" s="100">
        <f>F422*F491/2000</f>
        <v>6.9026208045000006</v>
      </c>
      <c r="G519" s="100">
        <f>G422*G491/2000</f>
        <v>3.6353802903700001</v>
      </c>
      <c r="H519" s="100">
        <f>H422*H491/2000</f>
        <v>1.0123843846600002</v>
      </c>
      <c r="I519" s="100">
        <f>I422*I491/2000</f>
        <v>1.0123843846600002</v>
      </c>
      <c r="J519" s="90"/>
      <c r="K519" s="90"/>
    </row>
    <row r="520" spans="2:11" x14ac:dyDescent="0.3">
      <c r="B520" s="113" t="s">
        <v>1087</v>
      </c>
      <c r="C520" s="90" t="s">
        <v>1116</v>
      </c>
      <c r="D520" s="90"/>
      <c r="E520" s="100">
        <f>E423*E491/2000</f>
        <v>0.48318339999999993</v>
      </c>
      <c r="F520" s="100">
        <f>F423*F491/2000</f>
        <v>1.7256063899999998</v>
      </c>
      <c r="G520" s="100">
        <f>G423*G491/2000</f>
        <v>0.90881936539999997</v>
      </c>
      <c r="H520" s="100">
        <f>H423*H491/2000</f>
        <v>0.25308893720000003</v>
      </c>
      <c r="I520" s="100">
        <f>I423*I491/2000</f>
        <v>0.25308893720000003</v>
      </c>
      <c r="J520" s="90"/>
      <c r="K520" s="90"/>
    </row>
    <row r="521" spans="2:11" x14ac:dyDescent="0.3">
      <c r="B521" s="113" t="s">
        <v>1085</v>
      </c>
      <c r="C521" s="90" t="s">
        <v>1116</v>
      </c>
      <c r="D521" s="90"/>
      <c r="E521" s="100">
        <f>E519+E520</f>
        <v>2.4159716700000002</v>
      </c>
      <c r="F521" s="100">
        <f>F519+F520</f>
        <v>8.6282271945000009</v>
      </c>
      <c r="G521" s="100">
        <f>G519+G520</f>
        <v>4.54419965577</v>
      </c>
      <c r="H521" s="100">
        <f>H519+H520</f>
        <v>1.2654733218600003</v>
      </c>
      <c r="I521" s="100">
        <f>I519+I520</f>
        <v>1.2654733218600003</v>
      </c>
      <c r="J521" s="90"/>
      <c r="K521" s="90"/>
    </row>
    <row r="522" spans="2:11" x14ac:dyDescent="0.3">
      <c r="C522" s="90"/>
      <c r="D522" s="90"/>
      <c r="E522" s="90"/>
      <c r="F522" s="90"/>
      <c r="G522" s="90"/>
      <c r="H522" s="90"/>
      <c r="I522" s="90"/>
      <c r="J522" s="90"/>
      <c r="K522" s="90"/>
    </row>
    <row r="523" spans="2:11" x14ac:dyDescent="0.3">
      <c r="C523" s="90"/>
      <c r="D523" s="90"/>
      <c r="E523" s="90"/>
      <c r="F523" s="90"/>
      <c r="G523" s="90"/>
      <c r="H523" s="90"/>
      <c r="I523" s="90"/>
      <c r="J523" s="90"/>
      <c r="K523" s="90"/>
    </row>
    <row r="524" spans="2:11" x14ac:dyDescent="0.3">
      <c r="C524" s="90"/>
      <c r="D524" s="90"/>
      <c r="E524" s="90"/>
      <c r="F524" s="90"/>
      <c r="G524" s="90"/>
      <c r="H524" s="90"/>
      <c r="I524" s="90"/>
      <c r="J524" s="90"/>
      <c r="K524" s="90"/>
    </row>
    <row r="525" spans="2:11" ht="13.5" thickBot="1" x14ac:dyDescent="0.35">
      <c r="C525" s="90"/>
      <c r="D525" s="90"/>
      <c r="E525" s="90"/>
      <c r="F525" s="90"/>
      <c r="G525" s="90"/>
      <c r="H525" s="90"/>
      <c r="I525" s="90"/>
      <c r="J525" s="90"/>
      <c r="K525" s="90"/>
    </row>
    <row r="526" spans="2:11" x14ac:dyDescent="0.3">
      <c r="B526" s="34" t="s">
        <v>1131</v>
      </c>
      <c r="C526" s="15"/>
      <c r="D526" s="15"/>
      <c r="E526" s="185" t="s">
        <v>1132</v>
      </c>
      <c r="F526" s="185" t="s">
        <v>1133</v>
      </c>
      <c r="G526" s="185" t="s">
        <v>1134</v>
      </c>
      <c r="H526" s="185" t="s">
        <v>1135</v>
      </c>
      <c r="I526" s="186" t="s">
        <v>1136</v>
      </c>
      <c r="J526" s="90"/>
      <c r="K526" s="90"/>
    </row>
    <row r="527" spans="2:11" x14ac:dyDescent="0.3">
      <c r="B527" s="17"/>
      <c r="C527" s="40"/>
      <c r="D527" s="40"/>
      <c r="E527" s="40"/>
      <c r="F527" s="40"/>
      <c r="G527" s="40"/>
      <c r="H527" s="40"/>
      <c r="I527" s="72"/>
      <c r="J527" s="90"/>
      <c r="K527" s="90"/>
    </row>
    <row r="528" spans="2:11" x14ac:dyDescent="0.3">
      <c r="B528" s="17" t="s">
        <v>1137</v>
      </c>
      <c r="C528" s="19" t="s">
        <v>82</v>
      </c>
      <c r="D528"/>
      <c r="E528">
        <f>VLOOKUP('Input &amp; Calculation Summary'!C25,B557:E562,2)</f>
        <v>1</v>
      </c>
      <c r="F528">
        <f>VLOOKUP('Input &amp; Calculation Summary'!D25,B567:E572,2)</f>
        <v>1</v>
      </c>
      <c r="G528">
        <f>VLOOKUP('Input &amp; Calculation Summary'!E25,B577:E582,2)</f>
        <v>1</v>
      </c>
      <c r="H528">
        <f>VLOOKUP('Input &amp; Calculation Summary'!F25,B587:E592,2)</f>
        <v>1</v>
      </c>
      <c r="I528" s="189">
        <f>VLOOKUP('Input &amp; Calculation Summary'!G25,B597:E602,2)</f>
        <v>1</v>
      </c>
      <c r="J528" s="90"/>
      <c r="K528" s="90"/>
    </row>
    <row r="529" spans="2:11" x14ac:dyDescent="0.3">
      <c r="B529" s="17"/>
      <c r="C529" s="19"/>
      <c r="D529"/>
      <c r="E529"/>
      <c r="F529" s="40"/>
      <c r="G529"/>
      <c r="H529"/>
      <c r="I529" s="72"/>
      <c r="J529" s="90"/>
      <c r="K529" s="90"/>
    </row>
    <row r="530" spans="2:11" ht="13.5" x14ac:dyDescent="0.35">
      <c r="B530" s="175" t="s">
        <v>1138</v>
      </c>
      <c r="C530" s="19"/>
      <c r="D530"/>
      <c r="E530"/>
      <c r="F530" s="40"/>
      <c r="G530"/>
      <c r="H530"/>
      <c r="I530" s="72"/>
      <c r="J530" s="90"/>
      <c r="K530" s="90"/>
    </row>
    <row r="531" spans="2:11" x14ac:dyDescent="0.3">
      <c r="B531" s="176" t="s">
        <v>1139</v>
      </c>
      <c r="C531" s="177"/>
      <c r="D531" s="178"/>
      <c r="E531" s="190">
        <f>PV('Input &amp; Calculation Summary'!C49,'Input &amp; Calculation Summary'!C47,-1)</f>
        <v>10.094152317731927</v>
      </c>
      <c r="F531" s="190">
        <f>PV('Input &amp; Calculation Summary'!D49,'Input &amp; Calculation Summary'!D47,-1)</f>
        <v>10.094152317731927</v>
      </c>
      <c r="G531" s="190">
        <f>PV('Input &amp; Calculation Summary'!E49,'Input &amp; Calculation Summary'!E47,-1)</f>
        <v>10.094152317731927</v>
      </c>
      <c r="H531" s="190">
        <f>PV('Input &amp; Calculation Summary'!F49,'Input &amp; Calculation Summary'!F47,-1)</f>
        <v>10.094152317731927</v>
      </c>
      <c r="I531" s="191">
        <f>PV('Input &amp; Calculation Summary'!G49,'Input &amp; Calculation Summary'!G47,-1)</f>
        <v>10.094152317731927</v>
      </c>
      <c r="J531" s="90"/>
      <c r="K531" s="90"/>
    </row>
    <row r="532" spans="2:11" x14ac:dyDescent="0.3">
      <c r="B532" s="176" t="s">
        <v>1140</v>
      </c>
      <c r="C532" s="177"/>
      <c r="D532" s="178"/>
      <c r="E532" s="190">
        <f>PMT('Input &amp; Calculation Summary'!C49,'Input &amp; Calculation Summary'!C47,-1)</f>
        <v>9.9067258797288671E-2</v>
      </c>
      <c r="F532" s="190">
        <f>PMT('Input &amp; Calculation Summary'!D49,'Input &amp; Calculation Summary'!D47,-1)</f>
        <v>9.9067258797288671E-2</v>
      </c>
      <c r="G532" s="190">
        <f>PMT('Input &amp; Calculation Summary'!E49,'Input &amp; Calculation Summary'!E47,-1)</f>
        <v>9.9067258797288671E-2</v>
      </c>
      <c r="H532" s="190">
        <f>PMT('Input &amp; Calculation Summary'!F49,'Input &amp; Calculation Summary'!F47,-1)</f>
        <v>9.9067258797288671E-2</v>
      </c>
      <c r="I532" s="191">
        <f>PMT('Input &amp; Calculation Summary'!G49,'Input &amp; Calculation Summary'!G47,-1)</f>
        <v>9.9067258797288671E-2</v>
      </c>
      <c r="J532" s="90"/>
      <c r="K532" s="90"/>
    </row>
    <row r="533" spans="2:11" x14ac:dyDescent="0.3">
      <c r="B533" s="176" t="s">
        <v>1141</v>
      </c>
      <c r="C533" s="177"/>
      <c r="D533" s="178"/>
      <c r="E533" s="179"/>
      <c r="F533" s="179"/>
      <c r="G533" s="179"/>
      <c r="H533" s="179"/>
      <c r="I533" s="192"/>
      <c r="J533" s="90"/>
      <c r="K533" s="90"/>
    </row>
    <row r="534" spans="2:11" x14ac:dyDescent="0.3">
      <c r="B534" s="176" t="s">
        <v>92</v>
      </c>
      <c r="C534" s="177"/>
      <c r="D534" s="178"/>
      <c r="E534" s="190">
        <f>PV(((1+'Input &amp; Calculation Summary'!C49)/(1+'Input &amp; Calculation Summary'!C57)-1),'Input &amp; Calculation Summary'!C47,-1)</f>
        <v>13.736279054912677</v>
      </c>
      <c r="F534" s="190">
        <f>PV(((1+'Input &amp; Calculation Summary'!D49)/(1+'Input &amp; Calculation Summary'!D57)-1),'Input &amp; Calculation Summary'!D47,-1)</f>
        <v>13.736279054912677</v>
      </c>
      <c r="G534" s="190">
        <f>PV(((1+'Input &amp; Calculation Summary'!E49)/(1+'Input &amp; Calculation Summary'!E57)-1),'Input &amp; Calculation Summary'!E47,-1)</f>
        <v>13.736279054912677</v>
      </c>
      <c r="H534" s="190">
        <f>PV(((1+'Input &amp; Calculation Summary'!F49)/(1+'Input &amp; Calculation Summary'!F57)-1),'Input &amp; Calculation Summary'!F47,-1)</f>
        <v>13.736279054912677</v>
      </c>
      <c r="I534" s="191">
        <f>PV(((1+'Input &amp; Calculation Summary'!G49)/(1+'Input &amp; Calculation Summary'!G57)-1),'Input &amp; Calculation Summary'!G47,-1)</f>
        <v>13.736279054912677</v>
      </c>
      <c r="J534" s="90"/>
      <c r="K534" s="90"/>
    </row>
    <row r="535" spans="2:11" x14ac:dyDescent="0.3">
      <c r="B535" s="176" t="s">
        <v>1142</v>
      </c>
      <c r="C535" s="177"/>
      <c r="D535" s="178"/>
      <c r="E535" s="190">
        <f>PV(((1+'Input &amp; Calculation Summary'!C49)/(1+'Input &amp; Calculation Summary'!C61)-1),'Input &amp; Calculation Summary'!C47,-1)</f>
        <v>13.736279054912677</v>
      </c>
      <c r="F535" s="190">
        <f>PV(((1+'Input &amp; Calculation Summary'!D49)/(1+'Input &amp; Calculation Summary'!D61)-1),'Input &amp; Calculation Summary'!D47,-1)</f>
        <v>13.736279054912677</v>
      </c>
      <c r="G535" s="190">
        <f>PV(((1+'Input &amp; Calculation Summary'!E49)/(1+'Input &amp; Calculation Summary'!E61)-1),'Input &amp; Calculation Summary'!E47,-1)</f>
        <v>13.736279054912677</v>
      </c>
      <c r="H535" s="190">
        <f>PV(((1+'Input &amp; Calculation Summary'!F49)/(1+'Input &amp; Calculation Summary'!F61)-1),'Input &amp; Calculation Summary'!F47,-1)</f>
        <v>13.736279054912677</v>
      </c>
      <c r="I535" s="191">
        <f>PV(((1+'Input &amp; Calculation Summary'!G49)/(1+'Input &amp; Calculation Summary'!G61)-1),'Input &amp; Calculation Summary'!G47,-1)</f>
        <v>13.736279054912677</v>
      </c>
    </row>
    <row r="536" spans="2:11" x14ac:dyDescent="0.3">
      <c r="B536" s="176" t="s">
        <v>1143</v>
      </c>
      <c r="C536" s="177"/>
      <c r="D536" s="178"/>
      <c r="E536" s="179"/>
      <c r="F536" s="179"/>
      <c r="G536" s="179"/>
      <c r="H536" s="179"/>
      <c r="I536" s="192"/>
    </row>
    <row r="537" spans="2:11" x14ac:dyDescent="0.3">
      <c r="B537" s="176" t="s">
        <v>92</v>
      </c>
      <c r="C537" s="177"/>
      <c r="D537" s="178"/>
      <c r="E537" s="190">
        <f>E532*E534</f>
        <v>1.36081551204481</v>
      </c>
      <c r="F537" s="190">
        <f>F532*F534</f>
        <v>1.36081551204481</v>
      </c>
      <c r="G537" s="190">
        <f>G532*G534</f>
        <v>1.36081551204481</v>
      </c>
      <c r="H537" s="190">
        <f>H532*H534</f>
        <v>1.36081551204481</v>
      </c>
      <c r="I537" s="191">
        <f>I532*I534</f>
        <v>1.36081551204481</v>
      </c>
    </row>
    <row r="538" spans="2:11" x14ac:dyDescent="0.3">
      <c r="B538" s="176" t="s">
        <v>1142</v>
      </c>
      <c r="C538" s="177"/>
      <c r="D538" s="178"/>
      <c r="E538" s="190">
        <f>E532*E535</f>
        <v>1.36081551204481</v>
      </c>
      <c r="F538" s="190">
        <f>F532*F535</f>
        <v>1.36081551204481</v>
      </c>
      <c r="G538" s="190">
        <f>G532*G535</f>
        <v>1.36081551204481</v>
      </c>
      <c r="H538" s="190">
        <f>H532*H535</f>
        <v>1.36081551204481</v>
      </c>
      <c r="I538" s="191">
        <f>I532*I535</f>
        <v>1.36081551204481</v>
      </c>
    </row>
    <row r="539" spans="2:11" x14ac:dyDescent="0.3">
      <c r="B539" s="176"/>
      <c r="C539" s="177"/>
      <c r="D539" s="178"/>
      <c r="E539" s="179"/>
      <c r="F539" s="179"/>
      <c r="G539" s="179"/>
      <c r="H539" s="179"/>
      <c r="I539" s="192"/>
    </row>
    <row r="540" spans="2:11" x14ac:dyDescent="0.3">
      <c r="B540" s="180" t="s">
        <v>1144</v>
      </c>
      <c r="C540" s="177"/>
      <c r="D540" s="178"/>
      <c r="E540" s="179"/>
      <c r="F540" s="179"/>
      <c r="G540" s="179"/>
      <c r="H540" s="179"/>
      <c r="I540" s="192"/>
    </row>
    <row r="541" spans="2:11" x14ac:dyDescent="0.3">
      <c r="B541" s="176" t="s">
        <v>1139</v>
      </c>
      <c r="C541" s="177"/>
      <c r="D541" s="178"/>
      <c r="E541" s="190">
        <f>PV(((1+'Input &amp; Calculation Summary'!C49)/(1+'Input &amp; Calculation Summary'!C48)-1),'Input &amp; Calculation Summary'!C47,-1)</f>
        <v>13.736279054912677</v>
      </c>
      <c r="F541" s="190">
        <f>PV(((1+'Input &amp; Calculation Summary'!D49)/(1+'Input &amp; Calculation Summary'!D48)-1),'Input &amp; Calculation Summary'!D47,-1)</f>
        <v>13.736279054912677</v>
      </c>
      <c r="G541" s="190">
        <f>PV(((1+'Input &amp; Calculation Summary'!E49)/(1+'Input &amp; Calculation Summary'!E48)-1),'Input &amp; Calculation Summary'!E47,-1)</f>
        <v>13.736279054912677</v>
      </c>
      <c r="H541" s="190">
        <f>PV(((1+'Input &amp; Calculation Summary'!F49)/(1+'Input &amp; Calculation Summary'!F48)-1),'Input &amp; Calculation Summary'!F47,-1)</f>
        <v>13.736279054912677</v>
      </c>
      <c r="I541" s="191">
        <f>PV(((1+'Input &amp; Calculation Summary'!G49)/(1+'Input &amp; Calculation Summary'!G48)-1),'Input &amp; Calculation Summary'!G47,-1)</f>
        <v>13.736279054912677</v>
      </c>
    </row>
    <row r="542" spans="2:11" x14ac:dyDescent="0.3">
      <c r="B542" s="176" t="s">
        <v>1140</v>
      </c>
      <c r="C542" s="177"/>
      <c r="D542" s="178"/>
      <c r="E542" s="190">
        <f>PMT(((1+'Input &amp; Calculation Summary'!C49)/(1+'Input &amp; Calculation Summary'!C48)-1),'Input &amp; Calculation Summary'!C47,-1)</f>
        <v>7.2799918813702152E-2</v>
      </c>
      <c r="F542" s="190">
        <f>PMT(((1+'Input &amp; Calculation Summary'!D49)/(1+'Input &amp; Calculation Summary'!D48)-1),'Input &amp; Calculation Summary'!D47,-1)</f>
        <v>7.2799918813702152E-2</v>
      </c>
      <c r="G542" s="190">
        <f>PMT(((1+'Input &amp; Calculation Summary'!E49)/(1+'Input &amp; Calculation Summary'!E48)-1),'Input &amp; Calculation Summary'!E47,-1)</f>
        <v>7.2799918813702152E-2</v>
      </c>
      <c r="H542" s="190">
        <f>PMT(((1+'Input &amp; Calculation Summary'!F49)/(1+'Input &amp; Calculation Summary'!F48)-1),'Input &amp; Calculation Summary'!F47,-1)</f>
        <v>7.2799918813702152E-2</v>
      </c>
      <c r="I542" s="191">
        <f>PMT(((1+'Input &amp; Calculation Summary'!G49)/(1+'Input &amp; Calculation Summary'!G48)-1),'Input &amp; Calculation Summary'!G47,-1)</f>
        <v>7.2799918813702152E-2</v>
      </c>
    </row>
    <row r="543" spans="2:11" x14ac:dyDescent="0.3">
      <c r="B543" s="176" t="s">
        <v>1141</v>
      </c>
      <c r="C543" s="177"/>
      <c r="D543" s="178"/>
      <c r="E543" s="179"/>
      <c r="F543" s="179"/>
      <c r="G543" s="179"/>
      <c r="H543" s="179"/>
      <c r="I543" s="192"/>
    </row>
    <row r="544" spans="2:11" x14ac:dyDescent="0.3">
      <c r="B544" s="176" t="s">
        <v>92</v>
      </c>
      <c r="C544" s="177"/>
      <c r="D544" s="178"/>
      <c r="E544" s="190">
        <f>PV(((1+((1+'Input &amp; Calculation Summary'!C49)/(1+'Input &amp; Calculation Summary'!C48)-1))/(1+0)-1),'Input &amp; Calculation Summary'!C47,-1)</f>
        <v>13.736279054912677</v>
      </c>
      <c r="F544" s="190">
        <f>PV(((1+((1+'Input &amp; Calculation Summary'!D49)/(1+'Input &amp; Calculation Summary'!D48)-1))/(1+0)-1),'Input &amp; Calculation Summary'!D47,-1)</f>
        <v>13.736279054912677</v>
      </c>
      <c r="G544" s="190">
        <f>PV(((1+((1+'Input &amp; Calculation Summary'!E49)/(1+'Input &amp; Calculation Summary'!E48)-1))/(1+0)-1),'Input &amp; Calculation Summary'!E47,-1)</f>
        <v>13.736279054912677</v>
      </c>
      <c r="H544" s="190">
        <f>PV(((1+((1+'Input &amp; Calculation Summary'!F49)/(1+'Input &amp; Calculation Summary'!F48)-1))/(1+0)-1),'Input &amp; Calculation Summary'!F47,-1)</f>
        <v>13.736279054912677</v>
      </c>
      <c r="I544" s="191">
        <f>PV(((1+((1+'Input &amp; Calculation Summary'!G49)/(1+'Input &amp; Calculation Summary'!G48)-1))/(1+0)-1),'Input &amp; Calculation Summary'!G47,-1)</f>
        <v>13.736279054912677</v>
      </c>
    </row>
    <row r="545" spans="2:9" x14ac:dyDescent="0.3">
      <c r="B545" s="176" t="s">
        <v>1142</v>
      </c>
      <c r="C545" s="177"/>
      <c r="D545" s="178"/>
      <c r="E545" s="190">
        <f>PV(((1+((1+'Input &amp; Calculation Summary'!C49)/(1+'Input &amp; Calculation Summary'!C48)-1))/(1+0)-1),'Input &amp; Calculation Summary'!C47,-1)</f>
        <v>13.736279054912677</v>
      </c>
      <c r="F545" s="190">
        <f>PV(((1+((1+'Input &amp; Calculation Summary'!D49)/(1+'Input &amp; Calculation Summary'!D48)-1))/(1+0)-1),'Input &amp; Calculation Summary'!D47,-1)</f>
        <v>13.736279054912677</v>
      </c>
      <c r="G545" s="190">
        <f>PV(((1+((1+'Input &amp; Calculation Summary'!E49)/(1+'Input &amp; Calculation Summary'!E48)-1))/(1+0)-1),'Input &amp; Calculation Summary'!E47,-1)</f>
        <v>13.736279054912677</v>
      </c>
      <c r="H545" s="190">
        <f>PV(((1+((1+'Input &amp; Calculation Summary'!F49)/(1+'Input &amp; Calculation Summary'!F48)-1))/(1+0)-1),'Input &amp; Calculation Summary'!F47,-1)</f>
        <v>13.736279054912677</v>
      </c>
      <c r="I545" s="191">
        <f>PV(((1+((1+'Input &amp; Calculation Summary'!G49)/(1+'Input &amp; Calculation Summary'!G48)-1))/(1+0)-1),'Input &amp; Calculation Summary'!G47,-1)</f>
        <v>13.736279054912677</v>
      </c>
    </row>
    <row r="546" spans="2:9" x14ac:dyDescent="0.3">
      <c r="B546" s="176" t="s">
        <v>1143</v>
      </c>
      <c r="C546" s="177"/>
      <c r="D546" s="178"/>
      <c r="E546" s="179"/>
      <c r="F546" s="179"/>
      <c r="G546" s="179"/>
      <c r="H546" s="179"/>
      <c r="I546" s="192"/>
    </row>
    <row r="547" spans="2:9" x14ac:dyDescent="0.3">
      <c r="B547" s="176" t="s">
        <v>92</v>
      </c>
      <c r="C547" s="177"/>
      <c r="D547" s="178"/>
      <c r="E547" s="190">
        <f>E542*E544</f>
        <v>1.0000000000000002</v>
      </c>
      <c r="F547" s="190">
        <f>F542*F544</f>
        <v>1.0000000000000002</v>
      </c>
      <c r="G547" s="190">
        <f>G542*G544</f>
        <v>1.0000000000000002</v>
      </c>
      <c r="H547" s="190">
        <f>H542*H544</f>
        <v>1.0000000000000002</v>
      </c>
      <c r="I547" s="191">
        <f>I542*I544</f>
        <v>1.0000000000000002</v>
      </c>
    </row>
    <row r="548" spans="2:9" x14ac:dyDescent="0.3">
      <c r="B548" s="176" t="s">
        <v>1142</v>
      </c>
      <c r="C548" s="177"/>
      <c r="D548" s="178"/>
      <c r="E548" s="190">
        <f>E542*E545</f>
        <v>1.0000000000000002</v>
      </c>
      <c r="F548" s="190">
        <f>F542*F545</f>
        <v>1.0000000000000002</v>
      </c>
      <c r="G548" s="190">
        <f>G542*G545</f>
        <v>1.0000000000000002</v>
      </c>
      <c r="H548" s="190">
        <f>H542*H545</f>
        <v>1.0000000000000002</v>
      </c>
      <c r="I548" s="191">
        <f>I542*I545</f>
        <v>1.0000000000000002</v>
      </c>
    </row>
    <row r="549" spans="2:9" x14ac:dyDescent="0.3">
      <c r="B549" s="176"/>
      <c r="C549" s="177"/>
      <c r="D549" s="178"/>
      <c r="E549" s="179"/>
      <c r="F549" s="179"/>
      <c r="G549" s="179"/>
      <c r="H549" s="179"/>
      <c r="I549" s="192"/>
    </row>
    <row r="550" spans="2:9" x14ac:dyDescent="0.3">
      <c r="B550" s="176" t="s">
        <v>1145</v>
      </c>
      <c r="C550" s="177"/>
      <c r="D550" s="178"/>
      <c r="E550" s="190">
        <f>(1+'Input &amp; Calculation Summary'!C50)/(1+'Input &amp; Calculation Summary'!C61)</f>
        <v>1.0757281553398059</v>
      </c>
      <c r="F550" s="190">
        <f>(1+'Input &amp; Calculation Summary'!D50)/(1+'Input &amp; Calculation Summary'!D61)</f>
        <v>1.0757281553398059</v>
      </c>
      <c r="G550" s="190">
        <f>(1+'Input &amp; Calculation Summary'!E50)/(1+'Input &amp; Calculation Summary'!E61)</f>
        <v>1.0757281553398059</v>
      </c>
      <c r="H550" s="190">
        <f>(1+'Input &amp; Calculation Summary'!F50)/(1+'Input &amp; Calculation Summary'!F61)</f>
        <v>1.0757281553398059</v>
      </c>
      <c r="I550" s="191">
        <f>(1+'Input &amp; Calculation Summary'!G50)/(1+'Input &amp; Calculation Summary'!G61)</f>
        <v>1.0757281553398059</v>
      </c>
    </row>
    <row r="551" spans="2:9" ht="13.5" thickBot="1" x14ac:dyDescent="0.35">
      <c r="B551" s="181"/>
      <c r="C551" s="182"/>
      <c r="D551" s="183"/>
      <c r="E551" s="183"/>
      <c r="F551" s="182"/>
      <c r="G551" s="183"/>
      <c r="H551" s="183"/>
      <c r="I551" s="184"/>
    </row>
    <row r="553" spans="2:9" ht="13.5" thickBot="1" x14ac:dyDescent="0.35"/>
    <row r="554" spans="2:9" x14ac:dyDescent="0.3">
      <c r="B554" s="34" t="s">
        <v>1146</v>
      </c>
      <c r="C554" s="15"/>
      <c r="D554" s="15"/>
      <c r="E554" s="16"/>
    </row>
    <row r="555" spans="2:9" x14ac:dyDescent="0.3">
      <c r="B555" s="187"/>
      <c r="C555" s="19"/>
      <c r="D555" s="19" t="s">
        <v>1147</v>
      </c>
      <c r="E555" s="20" t="s">
        <v>1148</v>
      </c>
    </row>
    <row r="556" spans="2:9" x14ac:dyDescent="0.3">
      <c r="B556" s="188" t="s">
        <v>1149</v>
      </c>
      <c r="C556" s="127" t="s">
        <v>82</v>
      </c>
      <c r="D556" s="127" t="s">
        <v>118</v>
      </c>
      <c r="E556" s="128" t="s">
        <v>118</v>
      </c>
    </row>
    <row r="557" spans="2:9" x14ac:dyDescent="0.3">
      <c r="B557" s="17">
        <v>0</v>
      </c>
      <c r="C557" s="2">
        <v>1</v>
      </c>
      <c r="D557" s="193">
        <f>ROUND((($E$550^C557-1)/(C557*($E$550-1))-(PV('Input &amp; Calculation Summary'!$C$61,C557,-1)*(1+'Input &amp; Calculation Summary'!$C$61)/C557)),5)</f>
        <v>0</v>
      </c>
      <c r="E557" s="194">
        <f>(PV('Input &amp; Calculation Summary'!$C$61,C557,-1)*(1+'Input &amp; Calculation Summary'!$C$61)/C557)</f>
        <v>1.0000000000000009</v>
      </c>
    </row>
    <row r="558" spans="2:9" x14ac:dyDescent="0.3">
      <c r="B558" s="17">
        <v>160</v>
      </c>
      <c r="C558" s="2">
        <v>2</v>
      </c>
      <c r="D558" s="193">
        <f>(($E$550^C558-1)/(C558*($E$550-1))-(PV('Input &amp; Calculation Summary'!$C$61,C558,-1)*(1+'Input &amp; Calculation Summary'!$C$61)/C558))</f>
        <v>5.2427184466020238E-2</v>
      </c>
      <c r="E558" s="194">
        <f>(PV('Input &amp; Calculation Summary'!$C$61,C558,-1)*(1+'Input &amp; Calculation Summary'!$C$61)/C558)</f>
        <v>0.98543689320388284</v>
      </c>
    </row>
    <row r="559" spans="2:9" x14ac:dyDescent="0.3">
      <c r="B559" s="17">
        <v>400</v>
      </c>
      <c r="C559" s="2">
        <v>3</v>
      </c>
      <c r="D559" s="193">
        <f>(($E$550^C559-1)/(C559*($E$550-1))-(PV('Input &amp; Calculation Summary'!$C$61,C559,-1)*(1+'Input &amp; Calculation Summary'!$C$61)/C559))</f>
        <v>0.1064831746630216</v>
      </c>
      <c r="E559" s="194">
        <f>(PV('Input &amp; Calculation Summary'!$C$61,C559,-1)*(1+'Input &amp; Calculation Summary'!$C$61)/C559)</f>
        <v>0.9711565651805073</v>
      </c>
    </row>
    <row r="560" spans="2:9" x14ac:dyDescent="0.3">
      <c r="B560" s="17">
        <v>725</v>
      </c>
      <c r="C560" s="2">
        <v>4</v>
      </c>
      <c r="D560" s="193">
        <f>(($E$550^C560-1)/(C560*($E$550-1))-(PV('Input &amp; Calculation Summary'!$C$61,C560,-1)*(1+'Input &amp; Calculation Summary'!$C$61)/C560))</f>
        <v>0.16228271837339125</v>
      </c>
      <c r="E560" s="194">
        <f>(PV('Input &amp; Calculation Summary'!$C$61,C560,-1)*(1+'Input &amp; Calculation Summary'!$C$61)/C560)</f>
        <v>0.95715283872366985</v>
      </c>
    </row>
    <row r="561" spans="2:5" x14ac:dyDescent="0.3">
      <c r="B561" s="17">
        <v>1300</v>
      </c>
      <c r="C561" s="2">
        <v>5</v>
      </c>
      <c r="D561" s="193">
        <f>(($E$550^C561-1)/(C561*($E$550-1))-(PV('Input &amp; Calculation Summary'!$C$61,C561,-1)*(1+'Input &amp; Calculation Summary'!$C$61)/C561))</f>
        <v>0.21994699692417441</v>
      </c>
      <c r="E561" s="194">
        <f>(PV('Input &amp; Calculation Summary'!$C$61,C561,-1)*(1+'Input &amp; Calculation Summary'!$C$61)/C561)</f>
        <v>0.94341968056207326</v>
      </c>
    </row>
    <row r="562" spans="2:5" ht="13.5" thickBot="1" x14ac:dyDescent="0.35">
      <c r="B562" s="135">
        <v>2000</v>
      </c>
      <c r="C562" s="136">
        <v>6</v>
      </c>
      <c r="D562" s="195">
        <f>(($E$550^C562-1)/(C562*($E$550-1))-(PV('Input &amp; Calculation Summary'!$C$61,C562,-1)*(1+'Input &amp; Calculation Summary'!$C$61)/C562))</f>
        <v>0.27960404376431125</v>
      </c>
      <c r="E562" s="196">
        <f>(PV('Input &amp; Calculation Summary'!$C$61,C562,-1)*(1+'Input &amp; Calculation Summary'!$C$61)/C562)</f>
        <v>0.92995119786575531</v>
      </c>
    </row>
    <row r="563" spans="2:5" ht="13.5" thickBot="1" x14ac:dyDescent="0.35"/>
    <row r="564" spans="2:5" x14ac:dyDescent="0.3">
      <c r="B564" s="34" t="s">
        <v>1150</v>
      </c>
      <c r="C564" s="15"/>
      <c r="D564" s="15"/>
      <c r="E564" s="16"/>
    </row>
    <row r="565" spans="2:5" x14ac:dyDescent="0.3">
      <c r="B565" s="187"/>
      <c r="C565" s="19"/>
      <c r="D565" s="19" t="s">
        <v>1147</v>
      </c>
      <c r="E565" s="20" t="s">
        <v>1148</v>
      </c>
    </row>
    <row r="566" spans="2:5" x14ac:dyDescent="0.3">
      <c r="B566" s="188" t="s">
        <v>1149</v>
      </c>
      <c r="C566" s="127" t="s">
        <v>82</v>
      </c>
      <c r="D566" s="127" t="s">
        <v>118</v>
      </c>
      <c r="E566" s="128" t="s">
        <v>118</v>
      </c>
    </row>
    <row r="567" spans="2:5" x14ac:dyDescent="0.3">
      <c r="B567" s="17">
        <v>0</v>
      </c>
      <c r="C567" s="2">
        <v>1</v>
      </c>
      <c r="D567" s="193">
        <f>ROUND((($F$550^C567-1)/(C567*($F$550-1))-(PV('Input &amp; Calculation Summary'!$C$61,C567,-1)*(1+'Input &amp; Calculation Summary'!$C$61)/C567)),5)</f>
        <v>0</v>
      </c>
      <c r="E567" s="194">
        <f>(PV('Input &amp; Calculation Summary'!$C$61,C567,-1)*(1+'Input &amp; Calculation Summary'!$C$61)/C567)</f>
        <v>1.0000000000000009</v>
      </c>
    </row>
    <row r="568" spans="2:5" x14ac:dyDescent="0.3">
      <c r="B568" s="17">
        <v>160</v>
      </c>
      <c r="C568" s="2">
        <v>2</v>
      </c>
      <c r="D568" s="193">
        <f>(($F$550^C568-1)/(C568*($F$550-1))-(PV('Input &amp; Calculation Summary'!$C$61,C568,-1)*(1+'Input &amp; Calculation Summary'!$C$61)/C568))</f>
        <v>5.2427184466020238E-2</v>
      </c>
      <c r="E568" s="194">
        <f>(PV('Input &amp; Calculation Summary'!$C$61,C568,-1)*(1+'Input &amp; Calculation Summary'!$C$61)/C568)</f>
        <v>0.98543689320388284</v>
      </c>
    </row>
    <row r="569" spans="2:5" x14ac:dyDescent="0.3">
      <c r="B569" s="17">
        <v>400</v>
      </c>
      <c r="C569" s="2">
        <v>3</v>
      </c>
      <c r="D569" s="193">
        <f>(($F$550^C569-1)/(C569*($F$550-1))-(PV('Input &amp; Calculation Summary'!$C$61,C569,-1)*(1+'Input &amp; Calculation Summary'!$C$61)/C569))</f>
        <v>0.1064831746630216</v>
      </c>
      <c r="E569" s="194">
        <f>(PV('Input &amp; Calculation Summary'!$C$61,C569,-1)*(1+'Input &amp; Calculation Summary'!$C$61)/C569)</f>
        <v>0.9711565651805073</v>
      </c>
    </row>
    <row r="570" spans="2:5" x14ac:dyDescent="0.3">
      <c r="B570" s="17">
        <v>725</v>
      </c>
      <c r="C570" s="2">
        <v>4</v>
      </c>
      <c r="D570" s="193">
        <f>(($F$550^C570-1)/(C570*($F$550-1))-(PV('Input &amp; Calculation Summary'!$C$61,C570,-1)*(1+'Input &amp; Calculation Summary'!$C$61)/C570))</f>
        <v>0.16228271837339125</v>
      </c>
      <c r="E570" s="194">
        <f>(PV('Input &amp; Calculation Summary'!$C$61,C570,-1)*(1+'Input &amp; Calculation Summary'!$C$61)/C570)</f>
        <v>0.95715283872366985</v>
      </c>
    </row>
    <row r="571" spans="2:5" x14ac:dyDescent="0.3">
      <c r="B571" s="17">
        <v>1300</v>
      </c>
      <c r="C571" s="2">
        <v>5</v>
      </c>
      <c r="D571" s="193">
        <f>(($F$550^C571-1)/(C571*($F$550-1))-(PV('Input &amp; Calculation Summary'!$C$61,C571,-1)*(1+'Input &amp; Calculation Summary'!$C$61)/C571))</f>
        <v>0.21994699692417441</v>
      </c>
      <c r="E571" s="194">
        <f>(PV('Input &amp; Calculation Summary'!$C$61,C571,-1)*(1+'Input &amp; Calculation Summary'!$C$61)/C571)</f>
        <v>0.94341968056207326</v>
      </c>
    </row>
    <row r="572" spans="2:5" ht="13.5" thickBot="1" x14ac:dyDescent="0.35">
      <c r="B572" s="135">
        <v>2000</v>
      </c>
      <c r="C572" s="136">
        <v>6</v>
      </c>
      <c r="D572" s="195">
        <f>(($F$550^C572-1)/(C572*($F$550-1))-(PV('Input &amp; Calculation Summary'!$C$61,C572,-1)*(1+'Input &amp; Calculation Summary'!$C$61)/C572))</f>
        <v>0.27960404376431125</v>
      </c>
      <c r="E572" s="196">
        <f>(PV('Input &amp; Calculation Summary'!$C$61,C572,-1)*(1+'Input &amp; Calculation Summary'!$C$61)/C572)</f>
        <v>0.92995119786575531</v>
      </c>
    </row>
    <row r="573" spans="2:5" ht="13.5" thickBot="1" x14ac:dyDescent="0.35"/>
    <row r="574" spans="2:5" x14ac:dyDescent="0.3">
      <c r="B574" s="34" t="s">
        <v>1151</v>
      </c>
      <c r="C574" s="15"/>
      <c r="D574" s="15"/>
      <c r="E574" s="16"/>
    </row>
    <row r="575" spans="2:5" x14ac:dyDescent="0.3">
      <c r="B575" s="187"/>
      <c r="C575" s="19"/>
      <c r="D575" s="19" t="s">
        <v>1147</v>
      </c>
      <c r="E575" s="20" t="s">
        <v>1148</v>
      </c>
    </row>
    <row r="576" spans="2:5" x14ac:dyDescent="0.3">
      <c r="B576" s="188" t="s">
        <v>1149</v>
      </c>
      <c r="C576" s="127" t="s">
        <v>82</v>
      </c>
      <c r="D576" s="127" t="s">
        <v>118</v>
      </c>
      <c r="E576" s="128" t="s">
        <v>118</v>
      </c>
    </row>
    <row r="577" spans="2:5" x14ac:dyDescent="0.3">
      <c r="B577" s="17">
        <v>0</v>
      </c>
      <c r="C577" s="2">
        <v>1</v>
      </c>
      <c r="D577" s="193">
        <f>ROUND((($G$550^C577-1)/(C577*($G$550-1))-(PV('Input &amp; Calculation Summary'!$C$61,C577,-1)*(1+'Input &amp; Calculation Summary'!$C$61)/C577)),5)</f>
        <v>0</v>
      </c>
      <c r="E577" s="194">
        <f>(PV('Input &amp; Calculation Summary'!$C$61,C577,-1)*(1+'Input &amp; Calculation Summary'!$C$61)/C577)</f>
        <v>1.0000000000000009</v>
      </c>
    </row>
    <row r="578" spans="2:5" x14ac:dyDescent="0.3">
      <c r="B578" s="17">
        <v>160</v>
      </c>
      <c r="C578" s="2">
        <v>2</v>
      </c>
      <c r="D578" s="193">
        <f>(($G$550^C578-1)/(C578*($G$550-1))-(PV('Input &amp; Calculation Summary'!$C$61,C578,-1)*(1+'Input &amp; Calculation Summary'!$C$61)/C578))</f>
        <v>5.2427184466020238E-2</v>
      </c>
      <c r="E578" s="194">
        <f>(PV('Input &amp; Calculation Summary'!$C$61,C578,-1)*(1+'Input &amp; Calculation Summary'!$C$61)/C578)</f>
        <v>0.98543689320388284</v>
      </c>
    </row>
    <row r="579" spans="2:5" x14ac:dyDescent="0.3">
      <c r="B579" s="17">
        <v>400</v>
      </c>
      <c r="C579" s="2">
        <v>3</v>
      </c>
      <c r="D579" s="193">
        <f>(($G$550^C579-1)/(C579*($G$550-1))-(PV('Input &amp; Calculation Summary'!$C$61,C579,-1)*(1+'Input &amp; Calculation Summary'!$C$61)/C579))</f>
        <v>0.1064831746630216</v>
      </c>
      <c r="E579" s="194">
        <f>(PV('Input &amp; Calculation Summary'!$C$61,C579,-1)*(1+'Input &amp; Calculation Summary'!$C$61)/C579)</f>
        <v>0.9711565651805073</v>
      </c>
    </row>
    <row r="580" spans="2:5" x14ac:dyDescent="0.3">
      <c r="B580" s="17">
        <v>725</v>
      </c>
      <c r="C580" s="2">
        <v>4</v>
      </c>
      <c r="D580" s="193">
        <f>(($G$550^C580-1)/(C580*($G$550-1))-(PV('Input &amp; Calculation Summary'!$C$61,C580,-1)*(1+'Input &amp; Calculation Summary'!$C$61)/C580))</f>
        <v>0.16228271837339125</v>
      </c>
      <c r="E580" s="194">
        <f>(PV('Input &amp; Calculation Summary'!$C$61,C580,-1)*(1+'Input &amp; Calculation Summary'!$C$61)/C580)</f>
        <v>0.95715283872366985</v>
      </c>
    </row>
    <row r="581" spans="2:5" x14ac:dyDescent="0.3">
      <c r="B581" s="17">
        <v>1300</v>
      </c>
      <c r="C581" s="2">
        <v>5</v>
      </c>
      <c r="D581" s="193">
        <f>(($G$550^C581-1)/(C581*($G$550-1))-(PV('Input &amp; Calculation Summary'!$C$61,C581,-1)*(1+'Input &amp; Calculation Summary'!$C$61)/C581))</f>
        <v>0.21994699692417441</v>
      </c>
      <c r="E581" s="194">
        <f>(PV('Input &amp; Calculation Summary'!$C$61,C581,-1)*(1+'Input &amp; Calculation Summary'!$C$61)/C581)</f>
        <v>0.94341968056207326</v>
      </c>
    </row>
    <row r="582" spans="2:5" ht="13.5" thickBot="1" x14ac:dyDescent="0.35">
      <c r="B582" s="135">
        <v>2000</v>
      </c>
      <c r="C582" s="136">
        <v>6</v>
      </c>
      <c r="D582" s="195">
        <f>(($G$550^C582-1)/(C582*($G$550-1))-(PV('Input &amp; Calculation Summary'!$C$61,C582,-1)*(1+'Input &amp; Calculation Summary'!$C$61)/C582))</f>
        <v>0.27960404376431125</v>
      </c>
      <c r="E582" s="196">
        <f>(PV('Input &amp; Calculation Summary'!$C$61,C582,-1)*(1+'Input &amp; Calculation Summary'!$C$61)/C582)</f>
        <v>0.92995119786575531</v>
      </c>
    </row>
    <row r="583" spans="2:5" ht="13.5" thickBot="1" x14ac:dyDescent="0.35"/>
    <row r="584" spans="2:5" x14ac:dyDescent="0.3">
      <c r="B584" s="34" t="s">
        <v>1152</v>
      </c>
      <c r="C584" s="15"/>
      <c r="D584" s="15"/>
      <c r="E584" s="16"/>
    </row>
    <row r="585" spans="2:5" x14ac:dyDescent="0.3">
      <c r="B585" s="187"/>
      <c r="C585" s="19"/>
      <c r="D585" s="19" t="s">
        <v>1147</v>
      </c>
      <c r="E585" s="20" t="s">
        <v>1148</v>
      </c>
    </row>
    <row r="586" spans="2:5" x14ac:dyDescent="0.3">
      <c r="B586" s="188" t="s">
        <v>1149</v>
      </c>
      <c r="C586" s="127" t="s">
        <v>82</v>
      </c>
      <c r="D586" s="127" t="s">
        <v>118</v>
      </c>
      <c r="E586" s="128" t="s">
        <v>118</v>
      </c>
    </row>
    <row r="587" spans="2:5" x14ac:dyDescent="0.3">
      <c r="B587" s="17">
        <v>0</v>
      </c>
      <c r="C587" s="2">
        <v>1</v>
      </c>
      <c r="D587" s="193">
        <f>ROUND((($H$550^C587-1)/(C587*($H$550-1))-(PV('Input &amp; Calculation Summary'!$C$61,C587,-1)*(1+'Input &amp; Calculation Summary'!$C$61)/C587)),5)</f>
        <v>0</v>
      </c>
      <c r="E587" s="194">
        <f>(PV('Input &amp; Calculation Summary'!$C$61,C587,-1)*(1+'Input &amp; Calculation Summary'!$C$61)/C587)</f>
        <v>1.0000000000000009</v>
      </c>
    </row>
    <row r="588" spans="2:5" x14ac:dyDescent="0.3">
      <c r="B588" s="17">
        <v>160</v>
      </c>
      <c r="C588" s="2">
        <v>2</v>
      </c>
      <c r="D588" s="193">
        <f>(($H$550^C588-1)/(C588*($H$550-1))-(PV('Input &amp; Calculation Summary'!$C$61,C588,-1)*(1+'Input &amp; Calculation Summary'!$C$61)/C588))</f>
        <v>5.2427184466020238E-2</v>
      </c>
      <c r="E588" s="194">
        <f>(PV('Input &amp; Calculation Summary'!$C$61,C588,-1)*(1+'Input &amp; Calculation Summary'!$C$61)/C588)</f>
        <v>0.98543689320388284</v>
      </c>
    </row>
    <row r="589" spans="2:5" x14ac:dyDescent="0.3">
      <c r="B589" s="17">
        <v>400</v>
      </c>
      <c r="C589" s="2">
        <v>3</v>
      </c>
      <c r="D589" s="193">
        <f>(($H$550^C589-1)/(C589*($H$550-1))-(PV('Input &amp; Calculation Summary'!$C$61,C589,-1)*(1+'Input &amp; Calculation Summary'!$C$61)/C589))</f>
        <v>0.1064831746630216</v>
      </c>
      <c r="E589" s="194">
        <f>(PV('Input &amp; Calculation Summary'!$C$61,C589,-1)*(1+'Input &amp; Calculation Summary'!$C$61)/C589)</f>
        <v>0.9711565651805073</v>
      </c>
    </row>
    <row r="590" spans="2:5" x14ac:dyDescent="0.3">
      <c r="B590" s="17">
        <v>725</v>
      </c>
      <c r="C590" s="2">
        <v>4</v>
      </c>
      <c r="D590" s="193">
        <f>(($H$550^C590-1)/(C590*($H$550-1))-(PV('Input &amp; Calculation Summary'!$C$61,C590,-1)*(1+'Input &amp; Calculation Summary'!$C$61)/C590))</f>
        <v>0.16228271837339125</v>
      </c>
      <c r="E590" s="194">
        <f>(PV('Input &amp; Calculation Summary'!$C$61,C590,-1)*(1+'Input &amp; Calculation Summary'!$C$61)/C590)</f>
        <v>0.95715283872366985</v>
      </c>
    </row>
    <row r="591" spans="2:5" x14ac:dyDescent="0.3">
      <c r="B591" s="17">
        <v>1300</v>
      </c>
      <c r="C591" s="2">
        <v>5</v>
      </c>
      <c r="D591" s="193">
        <f>(($H$550^C591-1)/(C591*($H$550-1))-(PV('Input &amp; Calculation Summary'!$C$61,C591,-1)*(1+'Input &amp; Calculation Summary'!$C$61)/C591))</f>
        <v>0.21994699692417441</v>
      </c>
      <c r="E591" s="194">
        <f>(PV('Input &amp; Calculation Summary'!$C$61,C591,-1)*(1+'Input &amp; Calculation Summary'!$C$61)/C591)</f>
        <v>0.94341968056207326</v>
      </c>
    </row>
    <row r="592" spans="2:5" ht="13.5" thickBot="1" x14ac:dyDescent="0.35">
      <c r="B592" s="135">
        <v>2000</v>
      </c>
      <c r="C592" s="136">
        <v>6</v>
      </c>
      <c r="D592" s="195">
        <f>(($H$550^C592-1)/(C592*($H$550-1))-(PV('Input &amp; Calculation Summary'!$C$61,C592,-1)*(1+'Input &amp; Calculation Summary'!$C$61)/C592))</f>
        <v>0.27960404376431125</v>
      </c>
      <c r="E592" s="196">
        <f>(PV('Input &amp; Calculation Summary'!$C$61,C592,-1)*(1+'Input &amp; Calculation Summary'!$C$61)/C592)</f>
        <v>0.92995119786575531</v>
      </c>
    </row>
    <row r="593" spans="1:5" ht="13.5" thickBot="1" x14ac:dyDescent="0.35"/>
    <row r="594" spans="1:5" x14ac:dyDescent="0.3">
      <c r="B594" s="34" t="s">
        <v>1153</v>
      </c>
      <c r="C594" s="15"/>
      <c r="D594" s="15"/>
      <c r="E594" s="16"/>
    </row>
    <row r="595" spans="1:5" x14ac:dyDescent="0.3">
      <c r="B595" s="187"/>
      <c r="C595" s="19"/>
      <c r="D595" s="19" t="s">
        <v>1147</v>
      </c>
      <c r="E595" s="20" t="s">
        <v>1148</v>
      </c>
    </row>
    <row r="596" spans="1:5" x14ac:dyDescent="0.3">
      <c r="B596" s="188" t="s">
        <v>1149</v>
      </c>
      <c r="C596" s="127" t="s">
        <v>82</v>
      </c>
      <c r="D596" s="127" t="s">
        <v>118</v>
      </c>
      <c r="E596" s="128" t="s">
        <v>118</v>
      </c>
    </row>
    <row r="597" spans="1:5" x14ac:dyDescent="0.3">
      <c r="B597" s="17">
        <v>0</v>
      </c>
      <c r="C597" s="2">
        <v>1</v>
      </c>
      <c r="D597" s="193">
        <f>ROUND((($I$550^C597-1)/(C597*($I$550-1))-(PV('Input &amp; Calculation Summary'!$C$61,C597,-1)*(1+'Input &amp; Calculation Summary'!$C$61)/C597)),5)</f>
        <v>0</v>
      </c>
      <c r="E597" s="194">
        <f>(PV('Input &amp; Calculation Summary'!$C$61,C597,-1)*(1+'Input &amp; Calculation Summary'!$C$61)/C597)</f>
        <v>1.0000000000000009</v>
      </c>
    </row>
    <row r="598" spans="1:5" x14ac:dyDescent="0.3">
      <c r="B598" s="17">
        <v>160</v>
      </c>
      <c r="C598" s="2">
        <v>2</v>
      </c>
      <c r="D598" s="193">
        <f>(($I$550^C598-1)/(C598*($I$550-1))-(PV('Input &amp; Calculation Summary'!$C$61,C598,-1)*(1+'Input &amp; Calculation Summary'!$C$61)/C598))</f>
        <v>5.2427184466020238E-2</v>
      </c>
      <c r="E598" s="194">
        <f>(PV('Input &amp; Calculation Summary'!$C$61,C598,-1)*(1+'Input &amp; Calculation Summary'!$C$61)/C598)</f>
        <v>0.98543689320388284</v>
      </c>
    </row>
    <row r="599" spans="1:5" x14ac:dyDescent="0.3">
      <c r="B599" s="17">
        <v>400</v>
      </c>
      <c r="C599" s="2">
        <v>3</v>
      </c>
      <c r="D599" s="193">
        <f>(($I$550^C599-1)/(C599*($I$550-1))-(PV('Input &amp; Calculation Summary'!$C$61,C599,-1)*(1+'Input &amp; Calculation Summary'!$C$61)/C599))</f>
        <v>0.1064831746630216</v>
      </c>
      <c r="E599" s="194">
        <f>(PV('Input &amp; Calculation Summary'!$C$61,C599,-1)*(1+'Input &amp; Calculation Summary'!$C$61)/C599)</f>
        <v>0.9711565651805073</v>
      </c>
    </row>
    <row r="600" spans="1:5" x14ac:dyDescent="0.3">
      <c r="B600" s="17">
        <v>725</v>
      </c>
      <c r="C600" s="2">
        <v>4</v>
      </c>
      <c r="D600" s="193">
        <f>(($I$550^C600-1)/(C600*($I$550-1))-(PV('Input &amp; Calculation Summary'!$C$61,C600,-1)*(1+'Input &amp; Calculation Summary'!$C$61)/C600))</f>
        <v>0.16228271837339125</v>
      </c>
      <c r="E600" s="194">
        <f>(PV('Input &amp; Calculation Summary'!$C$61,C600,-1)*(1+'Input &amp; Calculation Summary'!$C$61)/C600)</f>
        <v>0.95715283872366985</v>
      </c>
    </row>
    <row r="601" spans="1:5" x14ac:dyDescent="0.3">
      <c r="B601" s="17">
        <v>1300</v>
      </c>
      <c r="C601" s="2">
        <v>5</v>
      </c>
      <c r="D601" s="193">
        <f>(($I$550^C601-1)/(C601*($I$550-1))-(PV('Input &amp; Calculation Summary'!$C$61,C601,-1)*(1+'Input &amp; Calculation Summary'!$C$61)/C601))</f>
        <v>0.21994699692417441</v>
      </c>
      <c r="E601" s="194">
        <f>(PV('Input &amp; Calculation Summary'!$C$61,C601,-1)*(1+'Input &amp; Calculation Summary'!$C$61)/C601)</f>
        <v>0.94341968056207326</v>
      </c>
    </row>
    <row r="602" spans="1:5" ht="13.5" thickBot="1" x14ac:dyDescent="0.35">
      <c r="B602" s="135">
        <v>2000</v>
      </c>
      <c r="C602" s="136">
        <v>6</v>
      </c>
      <c r="D602" s="195">
        <f>(($I$550^C602-1)/(C602*($I$550-1))-(PV('Input &amp; Calculation Summary'!$C$61,C602,-1)*(1+'Input &amp; Calculation Summary'!$C$61)/C602))</f>
        <v>0.27960404376431125</v>
      </c>
      <c r="E602" s="196">
        <f>(PV('Input &amp; Calculation Summary'!$C$61,C602,-1)*(1+'Input &amp; Calculation Summary'!$C$61)/C602)</f>
        <v>0.92995119786575531</v>
      </c>
    </row>
    <row r="605" spans="1:5" ht="13.5" x14ac:dyDescent="0.35">
      <c r="A605" s="299"/>
      <c r="B605" s="300" t="s">
        <v>1154</v>
      </c>
    </row>
    <row r="606" spans="1:5" ht="52" x14ac:dyDescent="0.3">
      <c r="A606" s="301" t="s">
        <v>233</v>
      </c>
      <c r="B606" s="302" t="s">
        <v>1155</v>
      </c>
    </row>
    <row r="607" spans="1:5" ht="52" x14ac:dyDescent="0.3">
      <c r="A607" s="301" t="s">
        <v>218</v>
      </c>
      <c r="B607" s="302" t="s">
        <v>1156</v>
      </c>
    </row>
    <row r="608" spans="1:5" ht="52" x14ac:dyDescent="0.3">
      <c r="A608" s="301" t="s">
        <v>219</v>
      </c>
      <c r="B608" s="302" t="s">
        <v>1157</v>
      </c>
    </row>
    <row r="609" spans="1:2" ht="52" x14ac:dyDescent="0.3">
      <c r="A609" s="301" t="s">
        <v>230</v>
      </c>
      <c r="B609" s="302" t="s">
        <v>1158</v>
      </c>
    </row>
    <row r="610" spans="1:2" ht="39" x14ac:dyDescent="0.3">
      <c r="A610" s="301" t="s">
        <v>274</v>
      </c>
      <c r="B610" s="302" t="s">
        <v>1159</v>
      </c>
    </row>
    <row r="611" spans="1:2" ht="52" x14ac:dyDescent="0.3">
      <c r="A611" s="301" t="s">
        <v>241</v>
      </c>
      <c r="B611" s="302" t="s">
        <v>1160</v>
      </c>
    </row>
    <row r="612" spans="1:2" x14ac:dyDescent="0.3">
      <c r="A612" s="301" t="s">
        <v>270</v>
      </c>
      <c r="B612" s="302" t="s">
        <v>1161</v>
      </c>
    </row>
    <row r="613" spans="1:2" ht="65" x14ac:dyDescent="0.3">
      <c r="A613" s="1" t="s">
        <v>738</v>
      </c>
      <c r="B613" s="302" t="s">
        <v>1162</v>
      </c>
    </row>
    <row r="614" spans="1:2" x14ac:dyDescent="0.3">
      <c r="A614" s="1" t="s">
        <v>277</v>
      </c>
      <c r="B614" s="303" t="s">
        <v>1163</v>
      </c>
    </row>
  </sheetData>
  <hyperlinks>
    <hyperlink ref="L23" r:id="rId1"/>
  </hyperlinks>
  <printOptions horizontalCentered="1" gridLines="1"/>
  <pageMargins left="0.5" right="0.5" top="0.5" bottom="0.5" header="0.25" footer="0.25"/>
  <pageSetup scale="69" orientation="landscape" horizontalDpi="4294967292" verticalDpi="300" r:id="rId2"/>
  <headerFooter alignWithMargins="0">
    <oddHeader>&amp;L&amp;"Times New Roman,Regular"&amp;11CUECost - Air Pollution Control Systems Economics Spreadsheet</oddHeader>
    <oddFooter>&amp;L&amp;"Times New Roman,Regular"&amp;9&amp;F, &amp;A&amp;C&amp;"Times New Roman,Regular"&amp;11&amp;P&amp;R&amp;"Times New Roman,Regular"&amp;9&amp;D, &amp;T</oddFooter>
  </headerFooter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200</vt:i4>
      </vt:variant>
    </vt:vector>
  </HeadingPairs>
  <TitlesOfParts>
    <vt:vector size="208" baseType="lpstr">
      <vt:lpstr>User Input Sheet</vt:lpstr>
      <vt:lpstr>Input &amp; Calculation Summary</vt:lpstr>
      <vt:lpstr>NOX Cost &amp; Tech. Results</vt:lpstr>
      <vt:lpstr>LSFO Cost &amp; Tech. Results</vt:lpstr>
      <vt:lpstr>LSD Cost &amp; Tech. Results</vt:lpstr>
      <vt:lpstr>FF ESP Cost &amp; Tech. Results</vt:lpstr>
      <vt:lpstr>Constants_CC</vt:lpstr>
      <vt:lpstr>Sheet1</vt:lpstr>
      <vt:lpstr>Air_MolWt</vt:lpstr>
      <vt:lpstr>APC</vt:lpstr>
      <vt:lpstr>Ash_MolWt</vt:lpstr>
      <vt:lpstr>C_MolWt</vt:lpstr>
      <vt:lpstr>Ca_MolWt</vt:lpstr>
      <vt:lpstr>Ca_OH_2_MolWt</vt:lpstr>
      <vt:lpstr>CaCl2_MolWt</vt:lpstr>
      <vt:lpstr>CaCO3_MolWt</vt:lpstr>
      <vt:lpstr>CaO_MolWt</vt:lpstr>
      <vt:lpstr>CaSO3halfH2O_MolWt</vt:lpstr>
      <vt:lpstr>CaSO4_2H2O_MolWt</vt:lpstr>
      <vt:lpstr>CaSO4_MolWt</vt:lpstr>
      <vt:lpstr>CH4_MolWt</vt:lpstr>
      <vt:lpstr>Cl2_MolWt</vt:lpstr>
      <vt:lpstr>CO2_MolWt</vt:lpstr>
      <vt:lpstr>Coal_Library</vt:lpstr>
      <vt:lpstr>Combustion</vt:lpstr>
      <vt:lpstr>CostSummary</vt:lpstr>
      <vt:lpstr>cubft_60</vt:lpstr>
      <vt:lpstr>cubft_69</vt:lpstr>
      <vt:lpstr>cubft_70</vt:lpstr>
      <vt:lpstr>Def_AFUDC</vt:lpstr>
      <vt:lpstr>Def_AHLeak</vt:lpstr>
      <vt:lpstr>Def_AHoutPress</vt:lpstr>
      <vt:lpstr>Def_AHOutTemp</vt:lpstr>
      <vt:lpstr>Def_AirH2O</vt:lpstr>
      <vt:lpstr>Def_AmbPress</vt:lpstr>
      <vt:lpstr>Def_BagDia</vt:lpstr>
      <vt:lpstr>Def_BagLength</vt:lpstr>
      <vt:lpstr>Def_BagLife</vt:lpstr>
      <vt:lpstr>Def_BagReach</vt:lpstr>
      <vt:lpstr>Def_BotAsh</vt:lpstr>
      <vt:lpstr>Def_Cap_ER</vt:lpstr>
      <vt:lpstr>Def_Cap_Esc</vt:lpstr>
      <vt:lpstr>Def_CapFact</vt:lpstr>
      <vt:lpstr>Def_CEIndex</vt:lpstr>
      <vt:lpstr>Def_CnstrLabor</vt:lpstr>
      <vt:lpstr>Def_Coal</vt:lpstr>
      <vt:lpstr>Def_CostBasis</vt:lpstr>
      <vt:lpstr>Def_DiscRate</vt:lpstr>
      <vt:lpstr>Def_Esc_Consum</vt:lpstr>
      <vt:lpstr>Def_ESPCont</vt:lpstr>
      <vt:lpstr>Def_ESPEng</vt:lpstr>
      <vt:lpstr>Def_ESPGenFac</vt:lpstr>
      <vt:lpstr>Def_ESPMaint</vt:lpstr>
      <vt:lpstr>Def_FabType</vt:lpstr>
      <vt:lpstr>Def_FF</vt:lpstr>
      <vt:lpstr>Def_FFCont</vt:lpstr>
      <vt:lpstr>Def_FFEng</vt:lpstr>
      <vt:lpstr>Def_FFGenFac</vt:lpstr>
      <vt:lpstr>Def_FFMaint</vt:lpstr>
      <vt:lpstr>Def_FFSparing</vt:lpstr>
      <vt:lpstr>Def_FGD</vt:lpstr>
      <vt:lpstr>Def_FlyAsh</vt:lpstr>
      <vt:lpstr>Def_FYCC_const</vt:lpstr>
      <vt:lpstr>Def_FYCC_curr</vt:lpstr>
      <vt:lpstr>Def_GastoCloth</vt:lpstr>
      <vt:lpstr>Def_InAirTemp</vt:lpstr>
      <vt:lpstr>Def_LCC_const</vt:lpstr>
      <vt:lpstr>Def_LCC_curr</vt:lpstr>
      <vt:lpstr>Def_MAR</vt:lpstr>
      <vt:lpstr>Def_MW</vt:lpstr>
      <vt:lpstr>Def_NOx</vt:lpstr>
      <vt:lpstr>Def_NPHR</vt:lpstr>
      <vt:lpstr>Def_OperLabor</vt:lpstr>
      <vt:lpstr>Def_PartControl</vt:lpstr>
      <vt:lpstr>Def_PartLimit</vt:lpstr>
      <vt:lpstr>Def_PCMarkup</vt:lpstr>
      <vt:lpstr>Def_Plate_Ht</vt:lpstr>
      <vt:lpstr>Def_Plate_Space</vt:lpstr>
      <vt:lpstr>Def_PowerCost</vt:lpstr>
      <vt:lpstr>Def_PRB</vt:lpstr>
      <vt:lpstr>Def_RetroFact</vt:lpstr>
      <vt:lpstr>Def_SalesTax</vt:lpstr>
      <vt:lpstr>Def_SeisZone</vt:lpstr>
      <vt:lpstr>Def_SerLife</vt:lpstr>
      <vt:lpstr>Def_State</vt:lpstr>
      <vt:lpstr>Def_SteamCost</vt:lpstr>
      <vt:lpstr>Def_TotAir</vt:lpstr>
      <vt:lpstr>degK</vt:lpstr>
      <vt:lpstr>Del_ESP_EFS</vt:lpstr>
      <vt:lpstr>Economic_Inputs</vt:lpstr>
      <vt:lpstr>ESP_Calcs</vt:lpstr>
      <vt:lpstr>ESP_PDrop</vt:lpstr>
      <vt:lpstr>FF_Calcs</vt:lpstr>
      <vt:lpstr>FF_PDrop</vt:lpstr>
      <vt:lpstr>GeneralPlantInputs</vt:lpstr>
      <vt:lpstr>H2_MolWt</vt:lpstr>
      <vt:lpstr>H2O_MolWt</vt:lpstr>
      <vt:lpstr>H2SO4_MolWt</vt:lpstr>
      <vt:lpstr>HCl_MolWt</vt:lpstr>
      <vt:lpstr>inH2O_inHg</vt:lpstr>
      <vt:lpstr>Input_Summary</vt:lpstr>
      <vt:lpstr>kW_Hp</vt:lpstr>
      <vt:lpstr>LibraryCoal</vt:lpstr>
      <vt:lpstr>LNB_Calcs</vt:lpstr>
      <vt:lpstr>LSD_AbsorbMatl</vt:lpstr>
      <vt:lpstr>LSD_AdSat</vt:lpstr>
      <vt:lpstr>LSD_ApptoSat</vt:lpstr>
      <vt:lpstr>LSD_Calcs</vt:lpstr>
      <vt:lpstr>LSD_Conting1</vt:lpstr>
      <vt:lpstr>LSD_Conting2</vt:lpstr>
      <vt:lpstr>LSD_Conting3</vt:lpstr>
      <vt:lpstr>LSD_Conting4</vt:lpstr>
      <vt:lpstr>LSD_Conting5</vt:lpstr>
      <vt:lpstr>LSD_Costs</vt:lpstr>
      <vt:lpstr>LSD_DelP</vt:lpstr>
      <vt:lpstr>LSD_DispCost</vt:lpstr>
      <vt:lpstr>LSD_EngHO1</vt:lpstr>
      <vt:lpstr>LSD_EngHO2</vt:lpstr>
      <vt:lpstr>LSD_EngHO3</vt:lpstr>
      <vt:lpstr>LSD_EngHO4</vt:lpstr>
      <vt:lpstr>LSD_EngHO5</vt:lpstr>
      <vt:lpstr>LSD_Facil1</vt:lpstr>
      <vt:lpstr>LSD_Facil2</vt:lpstr>
      <vt:lpstr>LSD_Facil3</vt:lpstr>
      <vt:lpstr>LSD_Facil4</vt:lpstr>
      <vt:lpstr>LSD_Facil5</vt:lpstr>
      <vt:lpstr>LSD_Inputs</vt:lpstr>
      <vt:lpstr>LSD_Maint1</vt:lpstr>
      <vt:lpstr>LSD_Maint2</vt:lpstr>
      <vt:lpstr>LSD_Maint3</vt:lpstr>
      <vt:lpstr>LSD_Maint4</vt:lpstr>
      <vt:lpstr>LSD_Maint5</vt:lpstr>
      <vt:lpstr>LSD_MB</vt:lpstr>
      <vt:lpstr>LSD_NoAbsorb</vt:lpstr>
      <vt:lpstr>LSD_OutTemp</vt:lpstr>
      <vt:lpstr>LSD_ReagCost</vt:lpstr>
      <vt:lpstr>LSD_ReagRatio</vt:lpstr>
      <vt:lpstr>LSD_ReagStor</vt:lpstr>
      <vt:lpstr>LSD_Recycle</vt:lpstr>
      <vt:lpstr>LSD_RecycleConc</vt:lpstr>
      <vt:lpstr>LSD_SO2Rem</vt:lpstr>
      <vt:lpstr>LSFO_AbsorbDelP</vt:lpstr>
      <vt:lpstr>LSFO_AbsorbMatl</vt:lpstr>
      <vt:lpstr>LSFO_AdSat</vt:lpstr>
      <vt:lpstr>LSFO_Calcs</vt:lpstr>
      <vt:lpstr>LSFO_Conting1</vt:lpstr>
      <vt:lpstr>LSFO_Conting2</vt:lpstr>
      <vt:lpstr>LSFO_Conting3</vt:lpstr>
      <vt:lpstr>LSFO_Conting4</vt:lpstr>
      <vt:lpstr>LSFO_Conting5</vt:lpstr>
      <vt:lpstr>LSFO_Costs</vt:lpstr>
      <vt:lpstr>LSFO_DBA</vt:lpstr>
      <vt:lpstr>LSFO_Disposal</vt:lpstr>
      <vt:lpstr>LSFO_EngHO1</vt:lpstr>
      <vt:lpstr>LSFO_EngHO2</vt:lpstr>
      <vt:lpstr>LSFO_EngHO3</vt:lpstr>
      <vt:lpstr>LSFO_EngHO4</vt:lpstr>
      <vt:lpstr>LSFO_EngHO5</vt:lpstr>
      <vt:lpstr>LSFO_Facil1</vt:lpstr>
      <vt:lpstr>LSFO_Facil2</vt:lpstr>
      <vt:lpstr>LSFO_Facil3</vt:lpstr>
      <vt:lpstr>LSFO_Facil4</vt:lpstr>
      <vt:lpstr>LSFO_Facil5</vt:lpstr>
      <vt:lpstr>LSFO_GypsumCredit</vt:lpstr>
      <vt:lpstr>LSFO_Inputs</vt:lpstr>
      <vt:lpstr>LSFO_LandfillCost</vt:lpstr>
      <vt:lpstr>LSFO_LGRatio</vt:lpstr>
      <vt:lpstr>LSFO_Maint1</vt:lpstr>
      <vt:lpstr>LSFO_Maint2</vt:lpstr>
      <vt:lpstr>LSFO_Maint3</vt:lpstr>
      <vt:lpstr>LSFO_Maint4</vt:lpstr>
      <vt:lpstr>LSFO_Maint5</vt:lpstr>
      <vt:lpstr>LSFO_MB</vt:lpstr>
      <vt:lpstr>LSFO_NoAbsorb</vt:lpstr>
      <vt:lpstr>LSFO_ReagCost</vt:lpstr>
      <vt:lpstr>LSFO_ReagRatio</vt:lpstr>
      <vt:lpstr>LSFO_ReagStor</vt:lpstr>
      <vt:lpstr>LSFO_Reheat</vt:lpstr>
      <vt:lpstr>LSFO_ReheatTemp</vt:lpstr>
      <vt:lpstr>LSFO_ScrubSlurry</vt:lpstr>
      <vt:lpstr>LSFO_SO2Rem</vt:lpstr>
      <vt:lpstr>LSFO_StackCost</vt:lpstr>
      <vt:lpstr>Mg_MolWt</vt:lpstr>
      <vt:lpstr>N2_MolWt</vt:lpstr>
      <vt:lpstr>Na_MolWt</vt:lpstr>
      <vt:lpstr>Na2CO3_MolWt</vt:lpstr>
      <vt:lpstr>NGR_Calcs</vt:lpstr>
      <vt:lpstr>NO_MolWt</vt:lpstr>
      <vt:lpstr>NO2_MolWt</vt:lpstr>
      <vt:lpstr>NOx_Cals</vt:lpstr>
      <vt:lpstr>NOx_Inputs</vt:lpstr>
      <vt:lpstr>O2_MolWt</vt:lpstr>
      <vt:lpstr>Particulate_Calcs</vt:lpstr>
      <vt:lpstr>Particulate_Inputs</vt:lpstr>
      <vt:lpstr>Constants_CC!Print_Area</vt:lpstr>
      <vt:lpstr>'FF ESP Cost &amp; Tech. Results'!Print_Area</vt:lpstr>
      <vt:lpstr>'Input &amp; Calculation Summary'!Print_Area</vt:lpstr>
      <vt:lpstr>'LSD Cost &amp; Tech. Results'!Print_Area</vt:lpstr>
      <vt:lpstr>'LSFO Cost &amp; Tech. Results'!Print_Area</vt:lpstr>
      <vt:lpstr>'NOX Cost &amp; Tech. Results'!Print_Area</vt:lpstr>
      <vt:lpstr>'User Input Sheet'!Print_Area</vt:lpstr>
      <vt:lpstr>S_MolWt</vt:lpstr>
      <vt:lpstr>SAPress_inHg</vt:lpstr>
      <vt:lpstr>SATemp_degF</vt:lpstr>
      <vt:lpstr>SCR_Calcs</vt:lpstr>
      <vt:lpstr>SNCR_Calcs</vt:lpstr>
      <vt:lpstr>SO2_MolWt</vt:lpstr>
      <vt:lpstr>SO3_MolWt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Blagg</dc:creator>
  <cp:lastModifiedBy>Jones, David</cp:lastModifiedBy>
  <cp:lastPrinted>2017-01-30T16:26:34Z</cp:lastPrinted>
  <dcterms:created xsi:type="dcterms:W3CDTF">1998-11-23T16:13:12Z</dcterms:created>
  <dcterms:modified xsi:type="dcterms:W3CDTF">2019-11-07T23:45:07Z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