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Q\General\SIP_BACT_2017\BACT Determinations\Information Requests\Aurora\Aurora Response\"/>
    </mc:Choice>
  </mc:AlternateContent>
  <bookViews>
    <workbookView xWindow="0" yWindow="150" windowWidth="15360" windowHeight="8295"/>
  </bookViews>
  <sheets>
    <sheet name="Injection after Combination" sheetId="1" r:id="rId1"/>
    <sheet name="Large Boiler only" sheetId="4" r:id="rId2"/>
    <sheet name="ESRI_MAPINFO_SHEET" sheetId="5" state="veryHidden" r:id="rId3"/>
  </sheets>
  <calcPr calcId="152511"/>
</workbook>
</file>

<file path=xl/calcChain.xml><?xml version="1.0" encoding="utf-8"?>
<calcChain xmlns="http://schemas.openxmlformats.org/spreadsheetml/2006/main">
  <c r="D12" i="1" l="1"/>
  <c r="D58" i="4" l="1"/>
  <c r="D96" i="4"/>
  <c r="D14" i="4"/>
  <c r="D30" i="4" s="1"/>
  <c r="D95" i="4"/>
  <c r="D97" i="4" s="1"/>
  <c r="D58" i="1"/>
  <c r="D17" i="4" l="1"/>
  <c r="D71" i="4" s="1"/>
  <c r="D15" i="4"/>
  <c r="D66" i="4"/>
  <c r="D16" i="4"/>
  <c r="D38" i="4" l="1"/>
  <c r="D37" i="4"/>
  <c r="D59" i="4"/>
  <c r="D34" i="4"/>
  <c r="D39" i="4"/>
  <c r="D68" i="4"/>
  <c r="D73" i="4" s="1"/>
  <c r="D41" i="4" l="1"/>
  <c r="D44" i="4" s="1"/>
  <c r="D47" i="4" s="1"/>
  <c r="D60" i="4"/>
  <c r="D62" i="4" s="1"/>
  <c r="D42" i="4" l="1"/>
  <c r="D52" i="4"/>
  <c r="D48" i="4"/>
  <c r="D77" i="4"/>
  <c r="D80" i="4" l="1"/>
  <c r="D53" i="4"/>
  <c r="D79" i="4"/>
  <c r="D78" i="4"/>
  <c r="D81" i="4"/>
  <c r="D84" i="4" l="1"/>
  <c r="D86" i="4" s="1"/>
  <c r="D92" i="4" s="1"/>
  <c r="D98" i="4" s="1"/>
  <c r="D96" i="1" l="1"/>
  <c r="D95" i="1" l="1"/>
  <c r="D97" i="1" s="1"/>
  <c r="D16" i="1"/>
  <c r="D14" i="1"/>
  <c r="D30" i="1" s="1"/>
  <c r="D17" i="1" l="1"/>
  <c r="D71" i="1" s="1"/>
  <c r="D66" i="1"/>
  <c r="D15" i="1"/>
  <c r="D68" i="1" s="1"/>
  <c r="D39" i="1"/>
  <c r="D38" i="1"/>
  <c r="D59" i="1"/>
  <c r="D34" i="1"/>
  <c r="D37" i="1"/>
  <c r="D73" i="1" l="1"/>
  <c r="D41" i="1"/>
  <c r="D44" i="1" s="1"/>
  <c r="D47" i="1" s="1"/>
  <c r="D60" i="1"/>
  <c r="D62" i="1" s="1"/>
  <c r="D77" i="1" l="1"/>
  <c r="D42" i="1"/>
  <c r="D48" i="1"/>
  <c r="D52" i="1"/>
  <c r="D53" i="1" l="1"/>
  <c r="D80" i="1"/>
  <c r="D79" i="1"/>
  <c r="D81" i="1"/>
  <c r="D78" i="1"/>
  <c r="D84" i="1" l="1"/>
  <c r="D86" i="1" s="1"/>
  <c r="D92" i="1" l="1"/>
  <c r="D98" i="1" s="1"/>
</calcChain>
</file>

<file path=xl/sharedStrings.xml><?xml version="1.0" encoding="utf-8"?>
<sst xmlns="http://schemas.openxmlformats.org/spreadsheetml/2006/main" count="360" uniqueCount="138">
  <si>
    <t>Variable</t>
  </si>
  <si>
    <t>Designation</t>
  </si>
  <si>
    <t>Units</t>
  </si>
  <si>
    <t>Value</t>
  </si>
  <si>
    <t>Calculation</t>
  </si>
  <si>
    <t>A</t>
  </si>
  <si>
    <t>B</t>
  </si>
  <si>
    <t>C</t>
  </si>
  <si>
    <t>E</t>
  </si>
  <si>
    <t>F</t>
  </si>
  <si>
    <t>G</t>
  </si>
  <si>
    <t>H</t>
  </si>
  <si>
    <t>J</t>
  </si>
  <si>
    <t>K</t>
  </si>
  <si>
    <t>M</t>
  </si>
  <si>
    <t>N</t>
  </si>
  <si>
    <t>P</t>
  </si>
  <si>
    <t>Q</t>
  </si>
  <si>
    <t>R</t>
  </si>
  <si>
    <t>S</t>
  </si>
  <si>
    <t>T</t>
  </si>
  <si>
    <t>U</t>
  </si>
  <si>
    <t>D</t>
  </si>
  <si>
    <t>(MW)</t>
  </si>
  <si>
    <t>(Btu/kWh)</t>
  </si>
  <si>
    <t>(lb/MMBtu)</t>
  </si>
  <si>
    <t>(%)</t>
  </si>
  <si>
    <t>(Btu/hr)</t>
  </si>
  <si>
    <t>(ton/hr)</t>
  </si>
  <si>
    <t>($/ton)</t>
  </si>
  <si>
    <t>($/kWh)</t>
  </si>
  <si>
    <t>($/hr)</t>
  </si>
  <si>
    <t>Unit Size (Gross)</t>
  </si>
  <si>
    <t>&lt;-- User Input</t>
  </si>
  <si>
    <t>&lt;-- User Input (An "average" retrofit has a factor of 1.0.)</t>
  </si>
  <si>
    <t>Based on in-line milling equipment</t>
  </si>
  <si>
    <t>Maximum Removal Targets:
Unmilled Trona with an ESP = 65%
Milled Trona with an ESP = 80%
Unmilled Trona with a Baghouse = 80%
Milled Trona with Baghouse = 90%</t>
  </si>
  <si>
    <t>(1.2011x10^-06)*K*A*C*D</t>
  </si>
  <si>
    <t>(0.7387-0.00073696*H/K)*M
Based on a final reaction product of Na2SO4 and unreacted dry sorbent as Na2CO3.  Waste product adjusted for a maximum of 5% inert in the Trona sorbent.</t>
  </si>
  <si>
    <t>=if Milled Trona M*20/A else M*18/A</t>
  </si>
  <si>
    <t>&lt;-- User Input (Labor cost including all benefits)</t>
  </si>
  <si>
    <t>Retrofit Factor</t>
  </si>
  <si>
    <t>Gross Heat Rate</t>
  </si>
  <si>
    <t>SO2 Rate</t>
  </si>
  <si>
    <t>Type of Coal</t>
  </si>
  <si>
    <t>Particulate Capture</t>
  </si>
  <si>
    <t>Baghouse</t>
  </si>
  <si>
    <t>Milled Trona</t>
  </si>
  <si>
    <t>Removal Target</t>
  </si>
  <si>
    <t>sub-bituminous</t>
  </si>
  <si>
    <t>Heat Input</t>
  </si>
  <si>
    <t>NSR</t>
  </si>
  <si>
    <t>Trona Feed Rate</t>
  </si>
  <si>
    <t>Sorbent Waste Rate</t>
  </si>
  <si>
    <t>Aux Power
Include in VOM?</t>
  </si>
  <si>
    <t>Trona Cost</t>
  </si>
  <si>
    <t>Waste Disposal Cost</t>
  </si>
  <si>
    <t>Aux Power Cost</t>
  </si>
  <si>
    <t>Operating Labor Rate</t>
  </si>
  <si>
    <t>&lt;-- User Input 
(Disposal cost with fly ash = $50.  
Without fly ash, the sorbent waste alone will be more difficult to dispose = $100)</t>
  </si>
  <si>
    <t>Fly Ash Waste
Rate 
Include
in VOM?</t>
  </si>
  <si>
    <t>Includes - Equipment, installation, building, foundations, electrical, and retrofit difficulty</t>
  </si>
  <si>
    <t>Base Module (BM) ($)</t>
  </si>
  <si>
    <t>=</t>
  </si>
  <si>
    <t>Comments</t>
  </si>
  <si>
    <t>Base DSI module includes all equipment from unloading to injection</t>
  </si>
  <si>
    <t>BM ($/kW)</t>
  </si>
  <si>
    <t>Base module cost per kW</t>
  </si>
  <si>
    <t>Total Project Cost</t>
  </si>
  <si>
    <t>A1 = 5% of BM</t>
  </si>
  <si>
    <t>A2 = 5% of BM</t>
  </si>
  <si>
    <t>A3 = 5% of BM</t>
  </si>
  <si>
    <t>Labor adjustment for 6 x 10 hour shift premium, per diem, etc.</t>
  </si>
  <si>
    <t>Contractor profit and fees</t>
  </si>
  <si>
    <t>CECC ($) - Excludes Owner's Costs = BM + A1 + A2 + A3</t>
  </si>
  <si>
    <t>CECC ($/kW) - Excludes Owner's Costs</t>
  </si>
  <si>
    <t>Capital, engineering, and construction costst subtotal</t>
  </si>
  <si>
    <t>Capital, engineering, and construction costst subtotal per kW</t>
  </si>
  <si>
    <t>B1 = 5% of CECC</t>
  </si>
  <si>
    <t>Owner's costs including all "home office" costs (owner's engineering, management, and procurement activities)</t>
  </si>
  <si>
    <t>Engineering and construction management costs</t>
  </si>
  <si>
    <t>TPC ($) - Includes Owners Costs = CECC + B1</t>
  </si>
  <si>
    <t>Total project cost</t>
  </si>
  <si>
    <t>Total project cost without AFUDC</t>
  </si>
  <si>
    <t>Total project cost per kW without AFUDC</t>
  </si>
  <si>
    <t>TPC ($/kW) - Include Owner's Costs</t>
  </si>
  <si>
    <t>B2 = 0% of (CECC + B1)</t>
  </si>
  <si>
    <t>TPC ($/kW)</t>
  </si>
  <si>
    <t>TPC ($) = CECC + B1 + B2</t>
  </si>
  <si>
    <t>Total project cost per kW</t>
  </si>
  <si>
    <t>Fixed O&amp;M Cost</t>
  </si>
  <si>
    <t>FOMO ($/kW yr) = (2 additional operators)*(2080)*U/(A*1000)</t>
  </si>
  <si>
    <t>FOMM ($/kW yr) = BM*0.01/(B*A*1000)</t>
  </si>
  <si>
    <t>FOMA ($/kW yr) = 0.03*(FOMO+0.4*FOMM)</t>
  </si>
  <si>
    <t>Variable O&amp;M Cost</t>
  </si>
  <si>
    <t>Fixed O&amp;M additional operating labor costs</t>
  </si>
  <si>
    <t>Fixed O&amp;M additional maintenance material and labor costs</t>
  </si>
  <si>
    <t>Fixed O&amp;M additional administrative labor costs</t>
  </si>
  <si>
    <t>Total Fixed O&amp;M costs</t>
  </si>
  <si>
    <t>Variable O&amp;M costs for Trona reagent</t>
  </si>
  <si>
    <t>Variable O&amp;M costs for waste disposal that includes both the sorbent and the fly ash waste not removed prior to the sorbent injection</t>
  </si>
  <si>
    <t>Variable O&amp;M costs for additional auxiliary power required (Refer to Aux Power % above)</t>
  </si>
  <si>
    <t>VOM ($/MWh) = VOMR + VOMW + VOMP</t>
  </si>
  <si>
    <t>VOMR ($/MWh) = M*R/A</t>
  </si>
  <si>
    <t>VOMW ($/MWh) = (N+P)*S/A</t>
  </si>
  <si>
    <t>VOMP ($/MWh) = Q*T*10</t>
  </si>
  <si>
    <t>Capital Cost Calculation (2012 dollars)</t>
  </si>
  <si>
    <r>
      <t xml:space="preserve">Dry Sorbent Injection System </t>
    </r>
    <r>
      <rPr>
        <b/>
        <vertAlign val="superscript"/>
        <sz val="12"/>
        <color theme="1"/>
        <rFont val="Arial"/>
        <family val="2"/>
      </rPr>
      <t>1</t>
    </r>
  </si>
  <si>
    <r>
      <t xml:space="preserve">A*C*1000 or </t>
    </r>
    <r>
      <rPr>
        <b/>
        <sz val="11"/>
        <color rgb="FFFF0000"/>
        <rFont val="Arial"/>
        <family val="2"/>
      </rPr>
      <t>User Input</t>
    </r>
  </si>
  <si>
    <t>Direct Annual Costs</t>
  </si>
  <si>
    <t>Overhead (80% of total operation and maintenance labor)</t>
  </si>
  <si>
    <t>Administrative charges (2% of total capital investment)</t>
  </si>
  <si>
    <t>Insurance (1% of total capital investment)</t>
  </si>
  <si>
    <t>Property tax (1% of total capital investment)</t>
  </si>
  <si>
    <t>TOTAL INDIRECT ANNUAL OPERATING COSTS</t>
  </si>
  <si>
    <t>Indirect Annual Costs</t>
  </si>
  <si>
    <t xml:space="preserve">Capital recovery </t>
  </si>
  <si>
    <t>(16.275% of total capital investment: 10 yr at 10% interest)</t>
  </si>
  <si>
    <t>Composite CE Index for 2015 (cost year of review)</t>
  </si>
  <si>
    <t>Composite CE Index for 2012 (cost year of equation)</t>
  </si>
  <si>
    <t>TOTAL ANNUALIZED OPERATING COSTS (2015 $)</t>
  </si>
  <si>
    <r>
      <t>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REMOVAL EFFICIENCY, %</t>
    </r>
  </si>
  <si>
    <r>
      <t>TOTAL UNCONTROLLED 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EMISSIONS, tons</t>
    </r>
  </si>
  <si>
    <r>
      <t>TOTAL SO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REMOVED, tons</t>
    </r>
  </si>
  <si>
    <r>
      <t>SO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COST-EFFECTIVENESS, $/ton removed</t>
    </r>
  </si>
  <si>
    <t>TOTAL ANNUALIZED OPERATING COSTS (2012 $)</t>
  </si>
  <si>
    <t>FOM ($/kW yr) = FOMO + FOMM + FOMA</t>
  </si>
  <si>
    <t>Location Adjusment Factor</t>
  </si>
  <si>
    <t>1.5 (to account for less than optimum mixing and residence time in the combined orientation and breaking the filter cake in all orientations)</t>
  </si>
  <si>
    <t>1.5 (to account for deposition in the individual orientation)</t>
  </si>
  <si>
    <t>Factor applied to Base Module Cost - Location Adjusment Factor for Fairbanks, AK from DoD Facilities Pricing Guide\2\/2/, UFC 3-701-01, Change 8, July 2015.</t>
  </si>
  <si>
    <t>LAF</t>
  </si>
  <si>
    <t>&lt;-- User Input (based on delivered price paid by Healy)</t>
  </si>
  <si>
    <r>
      <t xml:space="preserve">(A*C)*Ash incoal*(1-Boiler Ash Removal)/(2*HHV)
For Bituminous Coal: Ash in Coal = 0.12; Boiler Ash Removal = 0.2, 
HHV = 11,000
For PRB Coal: Ash in Coal = 0.06; Boiler Ash Removal = 0.2, 
HHV = 8,400
For Lignite Coal: Ash in Coal = 0.08; Boiler Ash Removal = 0.2, 
HHV = 7,200
</t>
    </r>
    <r>
      <rPr>
        <b/>
        <sz val="11"/>
        <color rgb="FFFF0000"/>
        <rFont val="Arial"/>
        <family val="2"/>
      </rPr>
      <t>Usibelli Coal: Ash in Coal = 0.07; Boiler Ash Removal = 0.6; 
HHV = 7,560</t>
    </r>
  </si>
  <si>
    <t>AFUDC (Zero for less than 1 year engineering and construction cycle)</t>
  </si>
  <si>
    <t>IPM Model - Updates to Cost and Performance for APC Technologies - Dry Sorbent Injection for SO2 Control Cost Development Methodology, March 2013, prepared by Sargent &amp; Lundy LLC for USEPA.</t>
  </si>
  <si>
    <t>Unmilled Trona = IF(M&gt;25,(745000*B*M*LAF),(7500000*B*LAF*M^0.284)</t>
  </si>
  <si>
    <t>Milled Trona = IF(M&gt;25,(820000*B*M*LAF),(8300000*B*LAF*M^0.284)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</si>
</sst>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  <numFmt numFmtId="166" formatCode="0.000"/>
    <numFmt numFmtId="167" formatCode="_(&quot;$&quot;* #,##0.000_);_(&quot;$&quot;* \(#,##0.0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vertAlign val="subscript"/>
      <sz val="11"/>
      <name val="Arial"/>
      <family val="2"/>
    </font>
    <font>
      <b/>
      <vertAlign val="subscript"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0" xfId="0" quotePrefix="1" applyFont="1" applyBorder="1" applyAlignment="1">
      <alignment horizontal="center" vertical="center"/>
    </xf>
    <xf numFmtId="164" fontId="1" fillId="0" borderId="0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indent="1"/>
    </xf>
    <xf numFmtId="0" fontId="2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quotePrefix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0" xfId="0" quotePrefix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44" fontId="1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4" fontId="2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right" vertical="top" wrapText="1"/>
    </xf>
    <xf numFmtId="0" fontId="7" fillId="0" borderId="8" xfId="0" applyFont="1" applyFill="1" applyBorder="1" applyAlignment="1">
      <alignment horizontal="left" vertical="top"/>
    </xf>
    <xf numFmtId="44" fontId="7" fillId="0" borderId="0" xfId="1" applyFont="1" applyFill="1" applyBorder="1" applyAlignment="1">
      <alignment horizontal="right" vertical="top" wrapText="1"/>
    </xf>
    <xf numFmtId="0" fontId="7" fillId="0" borderId="8" xfId="0" applyFont="1" applyFill="1" applyBorder="1" applyAlignment="1">
      <alignment horizontal="left" vertical="top" indent="2"/>
    </xf>
    <xf numFmtId="0" fontId="8" fillId="0" borderId="8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justify" vertical="top" wrapText="1"/>
    </xf>
    <xf numFmtId="38" fontId="8" fillId="0" borderId="12" xfId="0" applyNumberFormat="1" applyFont="1" applyFill="1" applyBorder="1" applyAlignment="1">
      <alignment horizontal="right" vertical="top" wrapText="1"/>
    </xf>
    <xf numFmtId="164" fontId="8" fillId="0" borderId="0" xfId="1" applyNumberFormat="1" applyFont="1" applyFill="1" applyBorder="1" applyAlignment="1">
      <alignment horizontal="right" vertical="top" wrapText="1"/>
    </xf>
    <xf numFmtId="0" fontId="7" fillId="0" borderId="12" xfId="0" applyFont="1" applyBorder="1" applyAlignment="1">
      <alignment vertical="top"/>
    </xf>
    <xf numFmtId="0" fontId="1" fillId="0" borderId="6" xfId="0" applyFont="1" applyBorder="1" applyAlignment="1">
      <alignment vertical="center"/>
    </xf>
    <xf numFmtId="0" fontId="7" fillId="0" borderId="8" xfId="0" applyFont="1" applyBorder="1" applyAlignment="1">
      <alignment horizontal="left"/>
    </xf>
    <xf numFmtId="165" fontId="7" fillId="0" borderId="0" xfId="0" applyNumberFormat="1" applyFont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justify" vertical="top" wrapText="1"/>
    </xf>
    <xf numFmtId="38" fontId="7" fillId="0" borderId="0" xfId="0" applyNumberFormat="1" applyFont="1" applyFill="1" applyBorder="1" applyAlignment="1">
      <alignment horizontal="right" vertical="top" wrapText="1"/>
    </xf>
    <xf numFmtId="3" fontId="7" fillId="0" borderId="0" xfId="0" applyNumberFormat="1" applyFont="1" applyFill="1" applyBorder="1" applyAlignment="1">
      <alignment horizontal="right" vertical="top" wrapText="1"/>
    </xf>
    <xf numFmtId="3" fontId="7" fillId="0" borderId="0" xfId="0" applyNumberFormat="1" applyFont="1" applyBorder="1" applyAlignment="1">
      <alignment horizontal="right" vertical="top" wrapText="1"/>
    </xf>
    <xf numFmtId="0" fontId="7" fillId="0" borderId="11" xfId="0" applyFont="1" applyBorder="1" applyAlignment="1">
      <alignment vertical="top"/>
    </xf>
    <xf numFmtId="0" fontId="7" fillId="0" borderId="8" xfId="0" applyFont="1" applyBorder="1" applyAlignment="1">
      <alignment horizontal="justify" vertical="top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164" fontId="7" fillId="0" borderId="0" xfId="1" applyNumberFormat="1" applyFont="1" applyFill="1" applyBorder="1" applyAlignment="1">
      <alignment horizontal="right" vertical="top" wrapText="1"/>
    </xf>
    <xf numFmtId="164" fontId="8" fillId="0" borderId="0" xfId="1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4" fontId="1" fillId="0" borderId="0" xfId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7" fontId="1" fillId="0" borderId="0" xfId="1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4" fontId="1" fillId="0" borderId="0" xfId="0" applyNumberFormat="1" applyFont="1" applyAlignment="1">
      <alignment vertical="center"/>
    </xf>
    <xf numFmtId="44" fontId="2" fillId="0" borderId="0" xfId="1" applyNumberFormat="1" applyFont="1" applyBorder="1" applyAlignment="1">
      <alignment horizontal="center" vertical="center"/>
    </xf>
    <xf numFmtId="1" fontId="7" fillId="0" borderId="0" xfId="2" applyNumberFormat="1" applyFont="1" applyBorder="1" applyAlignment="1">
      <alignment horizontal="right" vertical="center" wrapText="1"/>
    </xf>
    <xf numFmtId="0" fontId="1" fillId="0" borderId="0" xfId="0" quotePrefix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44" fontId="1" fillId="0" borderId="0" xfId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0" xfId="0" quotePrefix="1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1123950</xdr:colOff>
          <xdr:row>15</xdr:row>
          <xdr:rowOff>400050</xdr:rowOff>
        </xdr:from>
        <xdr:to>
          <xdr:col>0</xdr:col>
          <xdr:colOff>1123950</xdr:colOff>
          <xdr:row>15</xdr:row>
          <xdr:rowOff>1152525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1200150</xdr:colOff>
          <xdr:row>16</xdr:row>
          <xdr:rowOff>161925</xdr:rowOff>
        </xdr:from>
        <xdr:to>
          <xdr:col>0</xdr:col>
          <xdr:colOff>1200150</xdr:colOff>
          <xdr:row>17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"/>
  <sheetViews>
    <sheetView tabSelected="1" zoomScale="85" zoomScaleNormal="85" workbookViewId="0">
      <selection activeCell="D13" sqref="D13"/>
    </sheetView>
  </sheetViews>
  <sheetFormatPr defaultColWidth="8.85546875" defaultRowHeight="14.25" x14ac:dyDescent="0.25"/>
  <cols>
    <col min="1" max="1" width="38.140625" style="1" customWidth="1"/>
    <col min="2" max="2" width="24.7109375" style="1" customWidth="1"/>
    <col min="3" max="3" width="13.28515625" style="3" customWidth="1"/>
    <col min="4" max="4" width="15.7109375" style="3" bestFit="1" customWidth="1"/>
    <col min="5" max="5" width="16.42578125" style="3" customWidth="1"/>
    <col min="6" max="6" width="48.140625" style="1" customWidth="1"/>
    <col min="7" max="7" width="11" style="1" bestFit="1" customWidth="1"/>
    <col min="8" max="8" width="14.28515625" style="1" bestFit="1" customWidth="1"/>
    <col min="9" max="16384" width="8.85546875" style="1"/>
  </cols>
  <sheetData>
    <row r="1" spans="1:6" ht="18.75" x14ac:dyDescent="0.25">
      <c r="A1" s="125" t="s">
        <v>107</v>
      </c>
      <c r="B1" s="126"/>
      <c r="C1" s="126"/>
      <c r="D1" s="126"/>
      <c r="E1" s="126"/>
      <c r="F1" s="127"/>
    </row>
    <row r="2" spans="1:6" x14ac:dyDescent="0.25">
      <c r="A2" s="10"/>
      <c r="B2" s="11"/>
      <c r="C2" s="12"/>
      <c r="D2" s="12"/>
      <c r="E2" s="12"/>
      <c r="F2" s="13"/>
    </row>
    <row r="3" spans="1:6" s="2" customFormat="1" ht="15" x14ac:dyDescent="0.25">
      <c r="A3" s="61" t="s">
        <v>0</v>
      </c>
      <c r="B3" s="4" t="s">
        <v>1</v>
      </c>
      <c r="C3" s="4" t="s">
        <v>2</v>
      </c>
      <c r="D3" s="4" t="s">
        <v>3</v>
      </c>
      <c r="E3" s="128" t="s">
        <v>4</v>
      </c>
      <c r="F3" s="129"/>
    </row>
    <row r="4" spans="1:6" x14ac:dyDescent="0.25">
      <c r="A4" s="62" t="s">
        <v>32</v>
      </c>
      <c r="B4" s="5" t="s">
        <v>5</v>
      </c>
      <c r="C4" s="5" t="s">
        <v>23</v>
      </c>
      <c r="D4" s="5">
        <v>142.4</v>
      </c>
      <c r="E4" s="115" t="s">
        <v>33</v>
      </c>
      <c r="F4" s="116"/>
    </row>
    <row r="5" spans="1:6" x14ac:dyDescent="0.25">
      <c r="A5" s="62" t="s">
        <v>41</v>
      </c>
      <c r="B5" s="5" t="s">
        <v>6</v>
      </c>
      <c r="C5" s="5"/>
      <c r="D5" s="5">
        <v>2</v>
      </c>
      <c r="E5" s="115" t="s">
        <v>34</v>
      </c>
      <c r="F5" s="116"/>
    </row>
    <row r="6" spans="1:6" x14ac:dyDescent="0.25">
      <c r="A6" s="62" t="s">
        <v>42</v>
      </c>
      <c r="B6" s="5" t="s">
        <v>7</v>
      </c>
      <c r="C6" s="5" t="s">
        <v>24</v>
      </c>
      <c r="D6" s="107">
        <v>3415</v>
      </c>
      <c r="E6" s="115" t="s">
        <v>33</v>
      </c>
      <c r="F6" s="116"/>
    </row>
    <row r="7" spans="1:6" x14ac:dyDescent="0.25">
      <c r="A7" s="62" t="s">
        <v>43</v>
      </c>
      <c r="B7" s="5" t="s">
        <v>22</v>
      </c>
      <c r="C7" s="5" t="s">
        <v>25</v>
      </c>
      <c r="D7" s="5">
        <v>0.39</v>
      </c>
      <c r="E7" s="115" t="s">
        <v>33</v>
      </c>
      <c r="F7" s="116"/>
    </row>
    <row r="8" spans="1:6" x14ac:dyDescent="0.25">
      <c r="A8" s="62" t="s">
        <v>44</v>
      </c>
      <c r="B8" s="5" t="s">
        <v>8</v>
      </c>
      <c r="C8" s="5"/>
      <c r="D8" s="5" t="s">
        <v>49</v>
      </c>
      <c r="E8" s="115" t="s">
        <v>33</v>
      </c>
      <c r="F8" s="116"/>
    </row>
    <row r="9" spans="1:6" x14ac:dyDescent="0.25">
      <c r="A9" s="62" t="s">
        <v>45</v>
      </c>
      <c r="B9" s="5" t="s">
        <v>9</v>
      </c>
      <c r="C9" s="5"/>
      <c r="D9" s="5" t="s">
        <v>46</v>
      </c>
      <c r="E9" s="115" t="s">
        <v>33</v>
      </c>
      <c r="F9" s="116"/>
    </row>
    <row r="10" spans="1:6" ht="22.15" customHeight="1" x14ac:dyDescent="0.25">
      <c r="A10" s="62" t="s">
        <v>47</v>
      </c>
      <c r="B10" s="5" t="s">
        <v>10</v>
      </c>
      <c r="C10" s="30"/>
      <c r="D10" s="4" t="b">
        <v>1</v>
      </c>
      <c r="E10" s="115" t="s">
        <v>35</v>
      </c>
      <c r="F10" s="116"/>
    </row>
    <row r="11" spans="1:6" ht="75" customHeight="1" x14ac:dyDescent="0.25">
      <c r="A11" s="62" t="s">
        <v>48</v>
      </c>
      <c r="B11" s="5" t="s">
        <v>11</v>
      </c>
      <c r="C11" s="5" t="s">
        <v>26</v>
      </c>
      <c r="D11" s="5">
        <v>40</v>
      </c>
      <c r="E11" s="117" t="s">
        <v>36</v>
      </c>
      <c r="F11" s="118"/>
    </row>
    <row r="12" spans="1:6" ht="15" x14ac:dyDescent="0.25">
      <c r="A12" s="62" t="s">
        <v>50</v>
      </c>
      <c r="B12" s="5" t="s">
        <v>12</v>
      </c>
      <c r="C12" s="5" t="s">
        <v>27</v>
      </c>
      <c r="D12" s="6">
        <f>486*1000000</f>
        <v>486000000</v>
      </c>
      <c r="E12" s="115" t="s">
        <v>108</v>
      </c>
      <c r="F12" s="116"/>
    </row>
    <row r="13" spans="1:6" ht="44.45" customHeight="1" x14ac:dyDescent="0.25">
      <c r="A13" s="62" t="s">
        <v>51</v>
      </c>
      <c r="B13" s="5" t="s">
        <v>13</v>
      </c>
      <c r="C13" s="5"/>
      <c r="D13" s="7">
        <v>1.5</v>
      </c>
      <c r="E13" s="117" t="s">
        <v>128</v>
      </c>
      <c r="F13" s="118"/>
    </row>
    <row r="14" spans="1:6" x14ac:dyDescent="0.25">
      <c r="A14" s="62" t="s">
        <v>52</v>
      </c>
      <c r="B14" s="5" t="s">
        <v>14</v>
      </c>
      <c r="C14" s="5" t="s">
        <v>28</v>
      </c>
      <c r="D14" s="7">
        <f>(0.0000012011)*D13*(D12/1000)*D7</f>
        <v>0.34148474099999998</v>
      </c>
      <c r="E14" s="115" t="s">
        <v>37</v>
      </c>
      <c r="F14" s="116"/>
    </row>
    <row r="15" spans="1:6" ht="63" customHeight="1" x14ac:dyDescent="0.25">
      <c r="A15" s="62" t="s">
        <v>53</v>
      </c>
      <c r="B15" s="5" t="s">
        <v>15</v>
      </c>
      <c r="C15" s="5" t="s">
        <v>28</v>
      </c>
      <c r="D15" s="105">
        <f>(0.7387-0.00073696*D11/D13)*D14</f>
        <v>0.2455438289839704</v>
      </c>
      <c r="E15" s="117" t="s">
        <v>38</v>
      </c>
      <c r="F15" s="118"/>
    </row>
    <row r="16" spans="1:6" ht="143.44999999999999" customHeight="1" x14ac:dyDescent="0.25">
      <c r="A16" s="63" t="s">
        <v>60</v>
      </c>
      <c r="B16" s="5" t="s">
        <v>16</v>
      </c>
      <c r="C16" s="5" t="s">
        <v>28</v>
      </c>
      <c r="D16" s="108">
        <f>(D12/1000)*0.07*(1-0.6)/(2*7560)</f>
        <v>0.9</v>
      </c>
      <c r="E16" s="117" t="s">
        <v>133</v>
      </c>
      <c r="F16" s="118"/>
    </row>
    <row r="17" spans="1:6" ht="33" customHeight="1" x14ac:dyDescent="0.25">
      <c r="A17" s="63" t="s">
        <v>54</v>
      </c>
      <c r="B17" s="5" t="s">
        <v>17</v>
      </c>
      <c r="C17" s="5" t="s">
        <v>26</v>
      </c>
      <c r="D17" s="7">
        <f>D14*20/D4</f>
        <v>4.7961340028089883E-2</v>
      </c>
      <c r="E17" s="115" t="s">
        <v>39</v>
      </c>
      <c r="F17" s="116"/>
    </row>
    <row r="18" spans="1:6" x14ac:dyDescent="0.25">
      <c r="A18" s="62" t="s">
        <v>55</v>
      </c>
      <c r="B18" s="5" t="s">
        <v>18</v>
      </c>
      <c r="C18" s="5" t="s">
        <v>29</v>
      </c>
      <c r="D18" s="5">
        <v>451</v>
      </c>
      <c r="E18" s="115" t="s">
        <v>132</v>
      </c>
      <c r="F18" s="116"/>
    </row>
    <row r="19" spans="1:6" ht="61.9" customHeight="1" x14ac:dyDescent="0.25">
      <c r="A19" s="62" t="s">
        <v>56</v>
      </c>
      <c r="B19" s="5" t="s">
        <v>19</v>
      </c>
      <c r="C19" s="5" t="s">
        <v>29</v>
      </c>
      <c r="D19" s="5">
        <v>50</v>
      </c>
      <c r="E19" s="117" t="s">
        <v>59</v>
      </c>
      <c r="F19" s="118"/>
    </row>
    <row r="20" spans="1:6" x14ac:dyDescent="0.25">
      <c r="A20" s="62" t="s">
        <v>57</v>
      </c>
      <c r="B20" s="5" t="s">
        <v>20</v>
      </c>
      <c r="C20" s="5" t="s">
        <v>30</v>
      </c>
      <c r="D20" s="5">
        <v>9.3850000000000003E-2</v>
      </c>
      <c r="E20" s="115" t="s">
        <v>33</v>
      </c>
      <c r="F20" s="116"/>
    </row>
    <row r="21" spans="1:6" x14ac:dyDescent="0.25">
      <c r="A21" s="62" t="s">
        <v>58</v>
      </c>
      <c r="B21" s="5" t="s">
        <v>21</v>
      </c>
      <c r="C21" s="5" t="s">
        <v>31</v>
      </c>
      <c r="D21" s="114">
        <v>63</v>
      </c>
      <c r="E21" s="115" t="s">
        <v>40</v>
      </c>
      <c r="F21" s="116"/>
    </row>
    <row r="22" spans="1:6" ht="47.45" customHeight="1" x14ac:dyDescent="0.25">
      <c r="A22" s="62" t="s">
        <v>127</v>
      </c>
      <c r="B22" s="5" t="s">
        <v>131</v>
      </c>
      <c r="C22" s="5"/>
      <c r="D22" s="114">
        <v>2.2000000000000002</v>
      </c>
      <c r="E22" s="133" t="s">
        <v>130</v>
      </c>
      <c r="F22" s="134"/>
    </row>
    <row r="23" spans="1:6" x14ac:dyDescent="0.25">
      <c r="A23" s="119" t="s">
        <v>135</v>
      </c>
      <c r="B23" s="120"/>
      <c r="C23" s="120"/>
      <c r="D23" s="120"/>
      <c r="E23" s="120"/>
      <c r="F23" s="121"/>
    </row>
    <row r="24" spans="1:6" x14ac:dyDescent="0.25">
      <c r="A24" s="122"/>
      <c r="B24" s="123"/>
      <c r="C24" s="123"/>
      <c r="D24" s="123"/>
      <c r="E24" s="123"/>
      <c r="F24" s="124"/>
    </row>
    <row r="25" spans="1:6" ht="15" thickBot="1" x14ac:dyDescent="0.3">
      <c r="A25" s="10"/>
      <c r="B25" s="11"/>
      <c r="C25" s="12"/>
      <c r="D25" s="12"/>
      <c r="E25" s="12"/>
      <c r="F25" s="13"/>
    </row>
    <row r="26" spans="1:6" ht="15.75" thickBot="1" x14ac:dyDescent="0.3">
      <c r="A26" s="31" t="s">
        <v>106</v>
      </c>
      <c r="B26" s="32"/>
      <c r="C26" s="33"/>
      <c r="D26" s="33"/>
      <c r="E26" s="34" t="s">
        <v>64</v>
      </c>
      <c r="F26" s="35"/>
    </row>
    <row r="27" spans="1:6" s="8" customFormat="1" ht="15" x14ac:dyDescent="0.25">
      <c r="A27" s="24"/>
      <c r="B27" s="25"/>
      <c r="C27" s="26"/>
      <c r="D27" s="26"/>
      <c r="E27" s="27"/>
      <c r="F27" s="28"/>
    </row>
    <row r="28" spans="1:6" x14ac:dyDescent="0.25">
      <c r="A28" s="10" t="s">
        <v>61</v>
      </c>
      <c r="B28" s="11"/>
      <c r="C28" s="12"/>
      <c r="D28" s="12"/>
      <c r="E28" s="12"/>
      <c r="F28" s="13"/>
    </row>
    <row r="29" spans="1:6" x14ac:dyDescent="0.25">
      <c r="A29" s="10"/>
      <c r="B29" s="11"/>
      <c r="C29" s="12"/>
      <c r="D29" s="12"/>
      <c r="E29" s="12"/>
      <c r="F29" s="13"/>
    </row>
    <row r="30" spans="1:6" x14ac:dyDescent="0.25">
      <c r="A30" s="10" t="s">
        <v>62</v>
      </c>
      <c r="B30" s="11"/>
      <c r="C30" s="14" t="s">
        <v>63</v>
      </c>
      <c r="D30" s="15">
        <f>IF(D14&gt;25,(820000*D5*D14*D22),(8300000*D5*D22*D14^0.284))</f>
        <v>26915857.398243461</v>
      </c>
      <c r="E30" s="16" t="s">
        <v>65</v>
      </c>
      <c r="F30" s="13"/>
    </row>
    <row r="31" spans="1:6" x14ac:dyDescent="0.25">
      <c r="A31" s="29" t="s">
        <v>136</v>
      </c>
      <c r="B31" s="11"/>
      <c r="C31" s="12"/>
      <c r="D31" s="12"/>
      <c r="E31" s="16"/>
      <c r="F31" s="13"/>
    </row>
    <row r="32" spans="1:6" x14ac:dyDescent="0.25">
      <c r="A32" s="29" t="s">
        <v>137</v>
      </c>
      <c r="B32" s="11"/>
      <c r="C32" s="12"/>
      <c r="D32" s="12"/>
      <c r="E32" s="16"/>
      <c r="F32" s="13"/>
    </row>
    <row r="33" spans="1:6" x14ac:dyDescent="0.25">
      <c r="A33" s="10"/>
      <c r="B33" s="11"/>
      <c r="C33" s="12"/>
      <c r="D33" s="12"/>
      <c r="E33" s="16"/>
      <c r="F33" s="13"/>
    </row>
    <row r="34" spans="1:6" hidden="1" x14ac:dyDescent="0.25">
      <c r="A34" s="10" t="s">
        <v>66</v>
      </c>
      <c r="B34" s="11"/>
      <c r="C34" s="14" t="s">
        <v>63</v>
      </c>
      <c r="D34" s="15">
        <f>D30/(D4*1000)</f>
        <v>189.01585251575463</v>
      </c>
      <c r="E34" s="16" t="s">
        <v>67</v>
      </c>
      <c r="F34" s="13"/>
    </row>
    <row r="35" spans="1:6" hidden="1" x14ac:dyDescent="0.25">
      <c r="A35" s="10"/>
      <c r="B35" s="11"/>
      <c r="C35" s="12"/>
      <c r="D35" s="12"/>
      <c r="E35" s="16"/>
      <c r="F35" s="13"/>
    </row>
    <row r="36" spans="1:6" ht="15" x14ac:dyDescent="0.25">
      <c r="A36" s="17" t="s">
        <v>68</v>
      </c>
      <c r="B36" s="11"/>
      <c r="C36" s="12"/>
      <c r="D36" s="12"/>
      <c r="E36" s="16"/>
      <c r="F36" s="13"/>
    </row>
    <row r="37" spans="1:6" x14ac:dyDescent="0.25">
      <c r="A37" s="10" t="s">
        <v>69</v>
      </c>
      <c r="B37" s="11"/>
      <c r="C37" s="14" t="s">
        <v>63</v>
      </c>
      <c r="D37" s="18">
        <f>0.05*$D$30</f>
        <v>1345792.8699121731</v>
      </c>
      <c r="E37" s="16" t="s">
        <v>80</v>
      </c>
      <c r="F37" s="13"/>
    </row>
    <row r="38" spans="1:6" x14ac:dyDescent="0.25">
      <c r="A38" s="10" t="s">
        <v>70</v>
      </c>
      <c r="B38" s="11"/>
      <c r="C38" s="14" t="s">
        <v>63</v>
      </c>
      <c r="D38" s="18">
        <f>0.05*$D$30</f>
        <v>1345792.8699121731</v>
      </c>
      <c r="E38" s="16" t="s">
        <v>72</v>
      </c>
      <c r="F38" s="13"/>
    </row>
    <row r="39" spans="1:6" x14ac:dyDescent="0.25">
      <c r="A39" s="10" t="s">
        <v>71</v>
      </c>
      <c r="B39" s="11"/>
      <c r="C39" s="14" t="s">
        <v>63</v>
      </c>
      <c r="D39" s="18">
        <f>0.05*$D$30</f>
        <v>1345792.8699121731</v>
      </c>
      <c r="E39" s="16" t="s">
        <v>73</v>
      </c>
      <c r="F39" s="13"/>
    </row>
    <row r="40" spans="1:6" x14ac:dyDescent="0.25">
      <c r="A40" s="10"/>
      <c r="B40" s="11"/>
      <c r="C40" s="12"/>
      <c r="D40" s="12"/>
      <c r="E40" s="16"/>
      <c r="F40" s="13"/>
    </row>
    <row r="41" spans="1:6" ht="15" x14ac:dyDescent="0.25">
      <c r="A41" s="17" t="s">
        <v>74</v>
      </c>
      <c r="B41" s="11"/>
      <c r="C41" s="14" t="s">
        <v>63</v>
      </c>
      <c r="D41" s="18">
        <f>D30+D37+D38+D39</f>
        <v>30953236.007979982</v>
      </c>
      <c r="E41" s="16" t="s">
        <v>76</v>
      </c>
      <c r="F41" s="13"/>
    </row>
    <row r="42" spans="1:6" ht="15" hidden="1" x14ac:dyDescent="0.25">
      <c r="A42" s="17" t="s">
        <v>75</v>
      </c>
      <c r="B42" s="11"/>
      <c r="C42" s="14" t="s">
        <v>63</v>
      </c>
      <c r="D42" s="19">
        <f>D41/(D4*1000)</f>
        <v>217.36823039311784</v>
      </c>
      <c r="E42" s="16" t="s">
        <v>77</v>
      </c>
      <c r="F42" s="13"/>
    </row>
    <row r="43" spans="1:6" x14ac:dyDescent="0.25">
      <c r="A43" s="10"/>
      <c r="B43" s="11"/>
      <c r="C43" s="12"/>
      <c r="D43" s="12"/>
      <c r="E43" s="16"/>
      <c r="F43" s="13"/>
    </row>
    <row r="44" spans="1:6" x14ac:dyDescent="0.25">
      <c r="A44" s="10" t="s">
        <v>78</v>
      </c>
      <c r="B44" s="11"/>
      <c r="C44" s="14" t="s">
        <v>63</v>
      </c>
      <c r="D44" s="18">
        <f>0.05*D41</f>
        <v>1547661.8003989991</v>
      </c>
      <c r="E44" s="123" t="s">
        <v>79</v>
      </c>
      <c r="F44" s="124"/>
    </row>
    <row r="45" spans="1:6" x14ac:dyDescent="0.25">
      <c r="A45" s="10"/>
      <c r="B45" s="11"/>
      <c r="C45" s="14"/>
      <c r="D45" s="18"/>
      <c r="E45" s="123"/>
      <c r="F45" s="124"/>
    </row>
    <row r="46" spans="1:6" x14ac:dyDescent="0.25">
      <c r="A46" s="10"/>
      <c r="B46" s="11"/>
      <c r="C46" s="14"/>
      <c r="D46" s="18"/>
      <c r="E46" s="16"/>
      <c r="F46" s="13"/>
    </row>
    <row r="47" spans="1:6" ht="15" x14ac:dyDescent="0.25">
      <c r="A47" s="17" t="s">
        <v>81</v>
      </c>
      <c r="B47" s="11"/>
      <c r="C47" s="14" t="s">
        <v>63</v>
      </c>
      <c r="D47" s="18">
        <f>D41+D44</f>
        <v>32500897.80837898</v>
      </c>
      <c r="E47" s="16" t="s">
        <v>83</v>
      </c>
      <c r="F47" s="13"/>
    </row>
    <row r="48" spans="1:6" hidden="1" x14ac:dyDescent="0.25">
      <c r="A48" s="10" t="s">
        <v>85</v>
      </c>
      <c r="B48" s="11"/>
      <c r="C48" s="14" t="s">
        <v>63</v>
      </c>
      <c r="D48" s="19">
        <f>D47/(D4*1000)</f>
        <v>228.23664191277373</v>
      </c>
      <c r="E48" s="16" t="s">
        <v>84</v>
      </c>
      <c r="F48" s="13"/>
    </row>
    <row r="49" spans="1:6" x14ac:dyDescent="0.25">
      <c r="A49" s="10"/>
      <c r="B49" s="11"/>
      <c r="C49" s="12"/>
      <c r="D49" s="12"/>
      <c r="E49" s="16"/>
      <c r="F49" s="13"/>
    </row>
    <row r="50" spans="1:6" x14ac:dyDescent="0.25">
      <c r="A50" s="10" t="s">
        <v>86</v>
      </c>
      <c r="B50" s="11"/>
      <c r="C50" s="14" t="s">
        <v>63</v>
      </c>
      <c r="D50" s="12">
        <v>0</v>
      </c>
      <c r="E50" s="16" t="s">
        <v>134</v>
      </c>
      <c r="F50" s="13"/>
    </row>
    <row r="51" spans="1:6" ht="15" thickBot="1" x14ac:dyDescent="0.3">
      <c r="A51" s="10"/>
      <c r="B51" s="11"/>
      <c r="C51" s="14"/>
      <c r="D51" s="12"/>
      <c r="E51" s="16"/>
      <c r="F51" s="13"/>
    </row>
    <row r="52" spans="1:6" ht="15.75" thickBot="1" x14ac:dyDescent="0.3">
      <c r="A52" s="9" t="s">
        <v>88</v>
      </c>
      <c r="B52" s="36"/>
      <c r="C52" s="37" t="s">
        <v>63</v>
      </c>
      <c r="D52" s="38">
        <f>D47+D50</f>
        <v>32500897.80837898</v>
      </c>
      <c r="E52" s="39" t="s">
        <v>82</v>
      </c>
      <c r="F52" s="40"/>
    </row>
    <row r="53" spans="1:6" hidden="1" x14ac:dyDescent="0.25">
      <c r="A53" s="10" t="s">
        <v>87</v>
      </c>
      <c r="B53" s="11"/>
      <c r="C53" s="14" t="s">
        <v>63</v>
      </c>
      <c r="D53" s="19">
        <f>D52/(D4*1000)</f>
        <v>228.23664191277373</v>
      </c>
      <c r="E53" s="16" t="s">
        <v>89</v>
      </c>
      <c r="F53" s="13"/>
    </row>
    <row r="54" spans="1:6" x14ac:dyDescent="0.25">
      <c r="A54" s="45"/>
      <c r="B54" s="46"/>
      <c r="C54" s="47"/>
      <c r="D54" s="47"/>
      <c r="E54" s="48"/>
      <c r="F54" s="49"/>
    </row>
    <row r="55" spans="1:6" ht="15" x14ac:dyDescent="0.25">
      <c r="A55" s="68" t="s">
        <v>109</v>
      </c>
      <c r="B55" s="64"/>
      <c r="C55" s="65"/>
      <c r="D55" s="65"/>
      <c r="E55" s="66"/>
      <c r="F55" s="67"/>
    </row>
    <row r="56" spans="1:6" ht="15" x14ac:dyDescent="0.25">
      <c r="A56" s="20" t="s">
        <v>90</v>
      </c>
      <c r="B56" s="21"/>
      <c r="C56" s="22"/>
      <c r="D56" s="22"/>
      <c r="E56" s="50"/>
      <c r="F56" s="23"/>
    </row>
    <row r="57" spans="1:6" x14ac:dyDescent="0.25">
      <c r="A57" s="10"/>
      <c r="B57" s="11"/>
      <c r="C57" s="12"/>
      <c r="D57" s="12"/>
      <c r="E57" s="16"/>
      <c r="F57" s="13"/>
    </row>
    <row r="58" spans="1:6" x14ac:dyDescent="0.25">
      <c r="A58" s="10" t="s">
        <v>91</v>
      </c>
      <c r="B58" s="11"/>
      <c r="C58" s="14" t="s">
        <v>63</v>
      </c>
      <c r="D58" s="51">
        <f>2*2080*D21/(D4*1000)</f>
        <v>1.8404494382022472</v>
      </c>
      <c r="E58" s="16" t="s">
        <v>95</v>
      </c>
      <c r="F58" s="13"/>
    </row>
    <row r="59" spans="1:6" x14ac:dyDescent="0.25">
      <c r="A59" s="10" t="s">
        <v>92</v>
      </c>
      <c r="B59" s="11"/>
      <c r="C59" s="14" t="s">
        <v>63</v>
      </c>
      <c r="D59" s="51">
        <f>D30*0.01/(D5*D4*1000)</f>
        <v>0.94507926257877328</v>
      </c>
      <c r="E59" s="16" t="s">
        <v>96</v>
      </c>
      <c r="F59" s="13"/>
    </row>
    <row r="60" spans="1:6" x14ac:dyDescent="0.25">
      <c r="A60" s="10" t="s">
        <v>93</v>
      </c>
      <c r="B60" s="11"/>
      <c r="C60" s="14" t="s">
        <v>63</v>
      </c>
      <c r="D60" s="51">
        <f>0.03*(D58+0.4*D59)</f>
        <v>6.6554434297012688E-2</v>
      </c>
      <c r="E60" s="16" t="s">
        <v>97</v>
      </c>
      <c r="F60" s="13"/>
    </row>
    <row r="61" spans="1:6" x14ac:dyDescent="0.25">
      <c r="A61" s="10"/>
      <c r="B61" s="11"/>
      <c r="C61" s="12"/>
      <c r="D61" s="51"/>
      <c r="E61" s="16"/>
      <c r="F61" s="13"/>
    </row>
    <row r="62" spans="1:6" s="2" customFormat="1" ht="15" x14ac:dyDescent="0.25">
      <c r="A62" s="17" t="s">
        <v>126</v>
      </c>
      <c r="B62" s="52"/>
      <c r="C62" s="41" t="s">
        <v>63</v>
      </c>
      <c r="D62" s="53">
        <f>D58+D59+D60</f>
        <v>2.8520831350780331</v>
      </c>
      <c r="E62" s="54" t="s">
        <v>98</v>
      </c>
      <c r="F62" s="55"/>
    </row>
    <row r="63" spans="1:6" x14ac:dyDescent="0.25">
      <c r="A63" s="10"/>
      <c r="B63" s="11"/>
      <c r="C63" s="12"/>
      <c r="D63" s="51"/>
      <c r="E63" s="16"/>
      <c r="F63" s="13"/>
    </row>
    <row r="64" spans="1:6" s="2" customFormat="1" ht="15" x14ac:dyDescent="0.25">
      <c r="A64" s="17" t="s">
        <v>94</v>
      </c>
      <c r="B64" s="52"/>
      <c r="C64" s="56"/>
      <c r="D64" s="53"/>
      <c r="E64" s="54"/>
      <c r="F64" s="55"/>
    </row>
    <row r="65" spans="1:8" s="2" customFormat="1" ht="15" x14ac:dyDescent="0.25">
      <c r="A65" s="17"/>
      <c r="B65" s="52"/>
      <c r="C65" s="56"/>
      <c r="D65" s="53"/>
      <c r="E65" s="54"/>
      <c r="F65" s="55"/>
    </row>
    <row r="66" spans="1:8" x14ac:dyDescent="0.25">
      <c r="A66" s="10" t="s">
        <v>103</v>
      </c>
      <c r="B66" s="11"/>
      <c r="C66" s="14" t="s">
        <v>63</v>
      </c>
      <c r="D66" s="51">
        <f>D14*D18/D4</f>
        <v>1.0815282176334269</v>
      </c>
      <c r="E66" s="16" t="s">
        <v>99</v>
      </c>
      <c r="F66" s="13"/>
    </row>
    <row r="67" spans="1:8" x14ac:dyDescent="0.25">
      <c r="A67" s="10"/>
      <c r="B67" s="11"/>
      <c r="C67" s="12"/>
      <c r="D67" s="51"/>
      <c r="E67" s="16"/>
      <c r="F67" s="13"/>
    </row>
    <row r="68" spans="1:8" ht="13.9" customHeight="1" x14ac:dyDescent="0.25">
      <c r="A68" s="130" t="s">
        <v>104</v>
      </c>
      <c r="B68" s="131"/>
      <c r="C68" s="135" t="s">
        <v>63</v>
      </c>
      <c r="D68" s="132">
        <f>(D15+D16)*D19/D4</f>
        <v>0.40222746804212439</v>
      </c>
      <c r="E68" s="123" t="s">
        <v>100</v>
      </c>
      <c r="F68" s="124"/>
      <c r="H68" s="109"/>
    </row>
    <row r="69" spans="1:8" x14ac:dyDescent="0.25">
      <c r="A69" s="130"/>
      <c r="B69" s="131"/>
      <c r="C69" s="135"/>
      <c r="D69" s="132"/>
      <c r="E69" s="123"/>
      <c r="F69" s="124"/>
    </row>
    <row r="70" spans="1:8" x14ac:dyDescent="0.25">
      <c r="A70" s="10"/>
      <c r="B70" s="11"/>
      <c r="C70" s="12"/>
      <c r="D70" s="51"/>
      <c r="E70" s="16"/>
      <c r="F70" s="13"/>
    </row>
    <row r="71" spans="1:8" ht="30.6" customHeight="1" x14ac:dyDescent="0.25">
      <c r="A71" s="10" t="s">
        <v>105</v>
      </c>
      <c r="B71" s="11"/>
      <c r="C71" s="14" t="s">
        <v>63</v>
      </c>
      <c r="D71" s="106">
        <f>D17*D20*10</f>
        <v>4.5011717616362357E-2</v>
      </c>
      <c r="E71" s="123" t="s">
        <v>101</v>
      </c>
      <c r="F71" s="124"/>
    </row>
    <row r="72" spans="1:8" x14ac:dyDescent="0.25">
      <c r="A72" s="10"/>
      <c r="B72" s="11"/>
      <c r="C72" s="12"/>
      <c r="D72" s="51"/>
      <c r="E72" s="16"/>
      <c r="F72" s="13"/>
    </row>
    <row r="73" spans="1:8" ht="15" x14ac:dyDescent="0.25">
      <c r="A73" s="17" t="s">
        <v>102</v>
      </c>
      <c r="B73" s="52"/>
      <c r="C73" s="41" t="s">
        <v>63</v>
      </c>
      <c r="D73" s="110">
        <f>D66+D68+D71</f>
        <v>1.5287674032919139</v>
      </c>
      <c r="E73" s="16"/>
      <c r="F73" s="13"/>
    </row>
    <row r="74" spans="1:8" ht="15" thickBot="1" x14ac:dyDescent="0.3">
      <c r="A74" s="57"/>
      <c r="B74" s="58"/>
      <c r="C74" s="59"/>
      <c r="D74" s="59"/>
      <c r="E74" s="59"/>
      <c r="F74" s="60"/>
    </row>
    <row r="75" spans="1:8" ht="15" x14ac:dyDescent="0.25">
      <c r="A75" s="69" t="s">
        <v>115</v>
      </c>
      <c r="B75" s="70"/>
      <c r="C75" s="71"/>
      <c r="D75" s="71"/>
      <c r="E75" s="72"/>
      <c r="F75" s="73"/>
    </row>
    <row r="76" spans="1:8" x14ac:dyDescent="0.25">
      <c r="A76" s="74"/>
      <c r="B76" s="75"/>
      <c r="C76" s="12"/>
      <c r="D76" s="12"/>
      <c r="E76" s="12"/>
      <c r="F76" s="13"/>
    </row>
    <row r="77" spans="1:8" x14ac:dyDescent="0.25">
      <c r="A77" s="76" t="s">
        <v>110</v>
      </c>
      <c r="B77" s="11"/>
      <c r="C77" s="14" t="s">
        <v>63</v>
      </c>
      <c r="D77" s="99">
        <f>0.8*D62*D4*1000</f>
        <v>324909.31074808957</v>
      </c>
      <c r="E77" s="12"/>
      <c r="F77" s="13"/>
    </row>
    <row r="78" spans="1:8" x14ac:dyDescent="0.25">
      <c r="A78" s="76" t="s">
        <v>111</v>
      </c>
      <c r="B78" s="11"/>
      <c r="C78" s="14" t="s">
        <v>63</v>
      </c>
      <c r="D78" s="99">
        <f>0.02*D52</f>
        <v>650017.95616757963</v>
      </c>
      <c r="E78" s="12"/>
      <c r="F78" s="13"/>
    </row>
    <row r="79" spans="1:8" x14ac:dyDescent="0.25">
      <c r="A79" s="76" t="s">
        <v>112</v>
      </c>
      <c r="B79" s="11"/>
      <c r="C79" s="14" t="s">
        <v>63</v>
      </c>
      <c r="D79" s="99">
        <f>0.01*D52</f>
        <v>325008.97808378981</v>
      </c>
      <c r="E79" s="12"/>
      <c r="F79" s="13"/>
    </row>
    <row r="80" spans="1:8" x14ac:dyDescent="0.25">
      <c r="A80" s="76" t="s">
        <v>113</v>
      </c>
      <c r="B80" s="11"/>
      <c r="C80" s="14" t="s">
        <v>63</v>
      </c>
      <c r="D80" s="99">
        <f>0.01*D52</f>
        <v>325008.97808378981</v>
      </c>
      <c r="E80" s="12"/>
      <c r="F80" s="13"/>
    </row>
    <row r="81" spans="1:6" x14ac:dyDescent="0.25">
      <c r="A81" s="76" t="s">
        <v>116</v>
      </c>
      <c r="B81" s="11"/>
      <c r="C81" s="14" t="s">
        <v>63</v>
      </c>
      <c r="D81" s="99">
        <f>0.16275*D52</f>
        <v>5289521.1183136795</v>
      </c>
      <c r="E81" s="12"/>
      <c r="F81" s="13"/>
    </row>
    <row r="82" spans="1:6" x14ac:dyDescent="0.25">
      <c r="A82" s="78" t="s">
        <v>117</v>
      </c>
      <c r="B82" s="11"/>
      <c r="C82" s="14"/>
      <c r="D82" s="99"/>
      <c r="E82" s="12"/>
      <c r="F82" s="13"/>
    </row>
    <row r="83" spans="1:6" x14ac:dyDescent="0.25">
      <c r="A83" s="74"/>
      <c r="B83" s="11"/>
      <c r="C83" s="12"/>
      <c r="D83" s="99"/>
      <c r="E83" s="12"/>
      <c r="F83" s="13"/>
    </row>
    <row r="84" spans="1:6" ht="15" x14ac:dyDescent="0.25">
      <c r="A84" s="79" t="s">
        <v>114</v>
      </c>
      <c r="B84" s="11"/>
      <c r="C84" s="14" t="s">
        <v>63</v>
      </c>
      <c r="D84" s="82">
        <f>SUM(D77:D81)</f>
        <v>6914466.3413969278</v>
      </c>
      <c r="E84" s="12"/>
      <c r="F84" s="13"/>
    </row>
    <row r="85" spans="1:6" x14ac:dyDescent="0.25">
      <c r="A85" s="74"/>
      <c r="B85" s="11"/>
      <c r="C85" s="12"/>
      <c r="D85" s="77"/>
      <c r="E85" s="12"/>
      <c r="F85" s="13"/>
    </row>
    <row r="86" spans="1:6" ht="15" x14ac:dyDescent="0.25">
      <c r="A86" s="79" t="s">
        <v>125</v>
      </c>
      <c r="B86" s="52"/>
      <c r="C86" s="41" t="s">
        <v>63</v>
      </c>
      <c r="D86" s="82">
        <f>D62*D4*1000+D73*D4*8760+D84</f>
        <v>9227624.1291160528</v>
      </c>
      <c r="E86" s="12"/>
      <c r="F86" s="13"/>
    </row>
    <row r="87" spans="1:6" ht="15.75" thickBot="1" x14ac:dyDescent="0.3">
      <c r="A87" s="80"/>
      <c r="B87" s="81"/>
      <c r="C87" s="59"/>
      <c r="D87" s="59"/>
      <c r="E87" s="59"/>
      <c r="F87" s="60"/>
    </row>
    <row r="88" spans="1:6" x14ac:dyDescent="0.25">
      <c r="A88" s="42"/>
      <c r="B88" s="84"/>
      <c r="C88" s="43"/>
      <c r="D88" s="43"/>
      <c r="E88" s="43"/>
      <c r="F88" s="44"/>
    </row>
    <row r="89" spans="1:6" x14ac:dyDescent="0.2">
      <c r="A89" s="85" t="s">
        <v>119</v>
      </c>
      <c r="B89" s="11"/>
      <c r="C89" s="14" t="s">
        <v>63</v>
      </c>
      <c r="D89" s="86">
        <v>584.6</v>
      </c>
      <c r="E89" s="12"/>
      <c r="F89" s="13"/>
    </row>
    <row r="90" spans="1:6" x14ac:dyDescent="0.2">
      <c r="A90" s="85" t="s">
        <v>118</v>
      </c>
      <c r="B90" s="11"/>
      <c r="C90" s="14" t="s">
        <v>63</v>
      </c>
      <c r="D90" s="87">
        <v>578.4</v>
      </c>
      <c r="E90" s="12"/>
      <c r="F90" s="13"/>
    </row>
    <row r="91" spans="1:6" x14ac:dyDescent="0.25">
      <c r="A91" s="10"/>
      <c r="B91" s="11"/>
      <c r="C91" s="12"/>
      <c r="D91" s="12"/>
      <c r="E91" s="12"/>
      <c r="F91" s="13"/>
    </row>
    <row r="92" spans="1:6" ht="15" x14ac:dyDescent="0.25">
      <c r="A92" s="17" t="s">
        <v>120</v>
      </c>
      <c r="B92" s="52"/>
      <c r="C92" s="41" t="s">
        <v>63</v>
      </c>
      <c r="D92" s="101">
        <f>D86*D90/D89</f>
        <v>9129760.1715373322</v>
      </c>
      <c r="E92" s="12"/>
      <c r="F92" s="13"/>
    </row>
    <row r="93" spans="1:6" ht="15.75" thickBot="1" x14ac:dyDescent="0.3">
      <c r="A93" s="80"/>
      <c r="B93" s="58"/>
      <c r="C93" s="59"/>
      <c r="D93" s="81"/>
      <c r="E93" s="59"/>
      <c r="F93" s="60"/>
    </row>
    <row r="94" spans="1:6" x14ac:dyDescent="0.25">
      <c r="A94" s="88"/>
      <c r="B94" s="11"/>
      <c r="C94" s="12"/>
      <c r="D94" s="89"/>
      <c r="E94" s="12"/>
      <c r="F94" s="13"/>
    </row>
    <row r="95" spans="1:6" ht="18.75" x14ac:dyDescent="0.25">
      <c r="A95" s="95" t="s">
        <v>122</v>
      </c>
      <c r="B95" s="96"/>
      <c r="C95" s="14" t="s">
        <v>63</v>
      </c>
      <c r="D95" s="90">
        <f>D7*(D12/1000000)*8760/2000</f>
        <v>830.18520000000012</v>
      </c>
      <c r="E95" s="12"/>
      <c r="F95" s="13"/>
    </row>
    <row r="96" spans="1:6" ht="18.75" x14ac:dyDescent="0.25">
      <c r="A96" s="94" t="s">
        <v>121</v>
      </c>
      <c r="B96" s="11"/>
      <c r="C96" s="14" t="s">
        <v>63</v>
      </c>
      <c r="D96" s="111">
        <f>D11</f>
        <v>40</v>
      </c>
      <c r="E96" s="12"/>
      <c r="F96" s="13"/>
    </row>
    <row r="97" spans="1:6" ht="18.75" x14ac:dyDescent="0.25">
      <c r="A97" s="93" t="s">
        <v>123</v>
      </c>
      <c r="B97" s="11"/>
      <c r="C97" s="14" t="s">
        <v>63</v>
      </c>
      <c r="D97" s="91">
        <f>D95*D96/100</f>
        <v>332.07408000000004</v>
      </c>
      <c r="E97" s="12"/>
      <c r="F97" s="13"/>
    </row>
    <row r="98" spans="1:6" ht="16.5" x14ac:dyDescent="0.25">
      <c r="A98" s="97" t="s">
        <v>124</v>
      </c>
      <c r="B98" s="98"/>
      <c r="C98" s="14" t="s">
        <v>63</v>
      </c>
      <c r="D98" s="100">
        <f>D92/D97</f>
        <v>27493.143010551536</v>
      </c>
      <c r="E98" s="12"/>
      <c r="F98" s="13"/>
    </row>
    <row r="99" spans="1:6" ht="15" thickBot="1" x14ac:dyDescent="0.3">
      <c r="A99" s="92"/>
      <c r="B99" s="58"/>
      <c r="C99" s="59"/>
      <c r="D99" s="83"/>
      <c r="E99" s="59"/>
      <c r="F99" s="60"/>
    </row>
  </sheetData>
  <mergeCells count="28">
    <mergeCell ref="A68:B69"/>
    <mergeCell ref="D68:D69"/>
    <mergeCell ref="E44:F45"/>
    <mergeCell ref="E22:F22"/>
    <mergeCell ref="E71:F71"/>
    <mergeCell ref="E68:F69"/>
    <mergeCell ref="C68:C69"/>
    <mergeCell ref="E8:F8"/>
    <mergeCell ref="E9:F9"/>
    <mergeCell ref="E10:F10"/>
    <mergeCell ref="E11:F11"/>
    <mergeCell ref="A1:F1"/>
    <mergeCell ref="E3:F3"/>
    <mergeCell ref="E4:F4"/>
    <mergeCell ref="E5:F5"/>
    <mergeCell ref="E6:F6"/>
    <mergeCell ref="E7:F7"/>
    <mergeCell ref="E12:F12"/>
    <mergeCell ref="E13:F13"/>
    <mergeCell ref="E14:F14"/>
    <mergeCell ref="E15:F15"/>
    <mergeCell ref="A23:F24"/>
    <mergeCell ref="E18:F18"/>
    <mergeCell ref="E20:F20"/>
    <mergeCell ref="E21:F21"/>
    <mergeCell ref="E19:F19"/>
    <mergeCell ref="E16:F16"/>
    <mergeCell ref="E17:F17"/>
  </mergeCells>
  <pageMargins left="0.7" right="0.7" top="0.75" bottom="0.75" header="0.3" footer="0.3"/>
  <pageSetup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9"/>
  <sheetViews>
    <sheetView topLeftCell="A15" zoomScaleNormal="100" workbookViewId="0">
      <selection activeCell="D52" sqref="D52"/>
    </sheetView>
  </sheetViews>
  <sheetFormatPr defaultColWidth="8.85546875" defaultRowHeight="14.25" x14ac:dyDescent="0.25"/>
  <cols>
    <col min="1" max="1" width="34.140625" style="1" customWidth="1"/>
    <col min="2" max="2" width="24.7109375" style="1" customWidth="1"/>
    <col min="3" max="3" width="13.28515625" style="3" customWidth="1"/>
    <col min="4" max="4" width="18.7109375" style="3" bestFit="1" customWidth="1"/>
    <col min="5" max="5" width="16.42578125" style="3" customWidth="1"/>
    <col min="6" max="6" width="46.7109375" style="1" customWidth="1"/>
    <col min="7" max="7" width="11.28515625" style="1" bestFit="1" customWidth="1"/>
    <col min="8" max="8" width="14.28515625" style="1" bestFit="1" customWidth="1"/>
    <col min="9" max="16384" width="8.85546875" style="1"/>
  </cols>
  <sheetData>
    <row r="1" spans="1:6" ht="18.75" x14ac:dyDescent="0.25">
      <c r="A1" s="125" t="s">
        <v>107</v>
      </c>
      <c r="B1" s="126"/>
      <c r="C1" s="126"/>
      <c r="D1" s="126"/>
      <c r="E1" s="126"/>
      <c r="F1" s="127"/>
    </row>
    <row r="2" spans="1:6" x14ac:dyDescent="0.25">
      <c r="A2" s="10"/>
      <c r="B2" s="11"/>
      <c r="C2" s="12"/>
      <c r="D2" s="12"/>
      <c r="E2" s="12"/>
      <c r="F2" s="13"/>
    </row>
    <row r="3" spans="1:6" s="2" customFormat="1" ht="15" x14ac:dyDescent="0.25">
      <c r="A3" s="61" t="s">
        <v>0</v>
      </c>
      <c r="B3" s="4" t="s">
        <v>1</v>
      </c>
      <c r="C3" s="4" t="s">
        <v>2</v>
      </c>
      <c r="D3" s="4" t="s">
        <v>3</v>
      </c>
      <c r="E3" s="128" t="s">
        <v>4</v>
      </c>
      <c r="F3" s="129"/>
    </row>
    <row r="4" spans="1:6" x14ac:dyDescent="0.25">
      <c r="A4" s="62" t="s">
        <v>32</v>
      </c>
      <c r="B4" s="5" t="s">
        <v>5</v>
      </c>
      <c r="C4" s="5" t="s">
        <v>23</v>
      </c>
      <c r="D4" s="5">
        <v>74.599999999999994</v>
      </c>
      <c r="E4" s="115" t="s">
        <v>33</v>
      </c>
      <c r="F4" s="116"/>
    </row>
    <row r="5" spans="1:6" x14ac:dyDescent="0.25">
      <c r="A5" s="62" t="s">
        <v>41</v>
      </c>
      <c r="B5" s="5" t="s">
        <v>6</v>
      </c>
      <c r="C5" s="5"/>
      <c r="D5" s="5">
        <v>2</v>
      </c>
      <c r="E5" s="115" t="s">
        <v>34</v>
      </c>
      <c r="F5" s="116"/>
    </row>
    <row r="6" spans="1:6" x14ac:dyDescent="0.25">
      <c r="A6" s="62" t="s">
        <v>42</v>
      </c>
      <c r="B6" s="5" t="s">
        <v>7</v>
      </c>
      <c r="C6" s="5" t="s">
        <v>24</v>
      </c>
      <c r="D6" s="107">
        <v>3415</v>
      </c>
      <c r="E6" s="115" t="s">
        <v>33</v>
      </c>
      <c r="F6" s="116"/>
    </row>
    <row r="7" spans="1:6" x14ac:dyDescent="0.25">
      <c r="A7" s="62" t="s">
        <v>43</v>
      </c>
      <c r="B7" s="5" t="s">
        <v>22</v>
      </c>
      <c r="C7" s="5" t="s">
        <v>25</v>
      </c>
      <c r="D7" s="5">
        <v>0.32</v>
      </c>
      <c r="E7" s="115" t="s">
        <v>33</v>
      </c>
      <c r="F7" s="116"/>
    </row>
    <row r="8" spans="1:6" x14ac:dyDescent="0.25">
      <c r="A8" s="62" t="s">
        <v>44</v>
      </c>
      <c r="B8" s="5" t="s">
        <v>8</v>
      </c>
      <c r="C8" s="5"/>
      <c r="D8" s="5" t="s">
        <v>49</v>
      </c>
      <c r="E8" s="115" t="s">
        <v>33</v>
      </c>
      <c r="F8" s="116"/>
    </row>
    <row r="9" spans="1:6" x14ac:dyDescent="0.25">
      <c r="A9" s="62" t="s">
        <v>45</v>
      </c>
      <c r="B9" s="5" t="s">
        <v>9</v>
      </c>
      <c r="C9" s="5"/>
      <c r="D9" s="5" t="s">
        <v>46</v>
      </c>
      <c r="E9" s="115" t="s">
        <v>33</v>
      </c>
      <c r="F9" s="116"/>
    </row>
    <row r="10" spans="1:6" ht="22.15" customHeight="1" x14ac:dyDescent="0.25">
      <c r="A10" s="62" t="s">
        <v>47</v>
      </c>
      <c r="B10" s="5" t="s">
        <v>10</v>
      </c>
      <c r="C10" s="30"/>
      <c r="D10" s="4" t="b">
        <v>1</v>
      </c>
      <c r="E10" s="115" t="s">
        <v>35</v>
      </c>
      <c r="F10" s="116"/>
    </row>
    <row r="11" spans="1:6" ht="75" customHeight="1" x14ac:dyDescent="0.25">
      <c r="A11" s="62" t="s">
        <v>48</v>
      </c>
      <c r="B11" s="5" t="s">
        <v>11</v>
      </c>
      <c r="C11" s="5" t="s">
        <v>26</v>
      </c>
      <c r="D11" s="5">
        <v>40</v>
      </c>
      <c r="E11" s="117" t="s">
        <v>36</v>
      </c>
      <c r="F11" s="118"/>
    </row>
    <row r="12" spans="1:6" ht="15" x14ac:dyDescent="0.25">
      <c r="A12" s="62" t="s">
        <v>50</v>
      </c>
      <c r="B12" s="5" t="s">
        <v>12</v>
      </c>
      <c r="C12" s="5" t="s">
        <v>27</v>
      </c>
      <c r="D12" s="6">
        <v>255000000</v>
      </c>
      <c r="E12" s="115" t="s">
        <v>108</v>
      </c>
      <c r="F12" s="116"/>
    </row>
    <row r="13" spans="1:6" ht="37.15" customHeight="1" x14ac:dyDescent="0.25">
      <c r="A13" s="62" t="s">
        <v>51</v>
      </c>
      <c r="B13" s="5" t="s">
        <v>13</v>
      </c>
      <c r="C13" s="5"/>
      <c r="D13" s="7">
        <v>1.5</v>
      </c>
      <c r="E13" s="117" t="s">
        <v>129</v>
      </c>
      <c r="F13" s="118"/>
    </row>
    <row r="14" spans="1:6" x14ac:dyDescent="0.25">
      <c r="A14" s="62" t="s">
        <v>52</v>
      </c>
      <c r="B14" s="5" t="s">
        <v>14</v>
      </c>
      <c r="C14" s="5" t="s">
        <v>28</v>
      </c>
      <c r="D14" s="105">
        <f>(0.0000012011)*D13*(D12/1000)*D7</f>
        <v>0.14701464</v>
      </c>
      <c r="E14" s="115" t="s">
        <v>37</v>
      </c>
      <c r="F14" s="116"/>
    </row>
    <row r="15" spans="1:6" ht="61.15" customHeight="1" x14ac:dyDescent="0.25">
      <c r="A15" s="62" t="s">
        <v>53</v>
      </c>
      <c r="B15" s="5" t="s">
        <v>15</v>
      </c>
      <c r="C15" s="5" t="s">
        <v>28</v>
      </c>
      <c r="D15" s="105">
        <f>(0.7387-0.00073696*D11/D13)*D14</f>
        <v>0.10571054365881601</v>
      </c>
      <c r="E15" s="117" t="s">
        <v>38</v>
      </c>
      <c r="F15" s="118"/>
    </row>
    <row r="16" spans="1:6" ht="142.15" customHeight="1" x14ac:dyDescent="0.25">
      <c r="A16" s="63" t="s">
        <v>60</v>
      </c>
      <c r="B16" s="5" t="s">
        <v>16</v>
      </c>
      <c r="C16" s="5" t="s">
        <v>28</v>
      </c>
      <c r="D16" s="108">
        <f>(D12/1000)*0.07*(1-0.6)/(2*7560)</f>
        <v>0.47222222222222221</v>
      </c>
      <c r="E16" s="117" t="s">
        <v>133</v>
      </c>
      <c r="F16" s="118"/>
    </row>
    <row r="17" spans="1:6" ht="33" customHeight="1" x14ac:dyDescent="0.25">
      <c r="A17" s="63" t="s">
        <v>54</v>
      </c>
      <c r="B17" s="5" t="s">
        <v>17</v>
      </c>
      <c r="C17" s="5" t="s">
        <v>26</v>
      </c>
      <c r="D17" s="7">
        <f>D14*20/D4</f>
        <v>3.9414112600536198E-2</v>
      </c>
      <c r="E17" s="115" t="s">
        <v>39</v>
      </c>
      <c r="F17" s="116"/>
    </row>
    <row r="18" spans="1:6" x14ac:dyDescent="0.25">
      <c r="A18" s="62" t="s">
        <v>55</v>
      </c>
      <c r="B18" s="5" t="s">
        <v>18</v>
      </c>
      <c r="C18" s="5" t="s">
        <v>29</v>
      </c>
      <c r="D18" s="5">
        <v>451</v>
      </c>
      <c r="E18" s="115" t="s">
        <v>132</v>
      </c>
      <c r="F18" s="116"/>
    </row>
    <row r="19" spans="1:6" ht="67.150000000000006" customHeight="1" x14ac:dyDescent="0.25">
      <c r="A19" s="62" t="s">
        <v>56</v>
      </c>
      <c r="B19" s="5" t="s">
        <v>19</v>
      </c>
      <c r="C19" s="5" t="s">
        <v>29</v>
      </c>
      <c r="D19" s="5">
        <v>50</v>
      </c>
      <c r="E19" s="117" t="s">
        <v>59</v>
      </c>
      <c r="F19" s="118"/>
    </row>
    <row r="20" spans="1:6" x14ac:dyDescent="0.25">
      <c r="A20" s="62" t="s">
        <v>57</v>
      </c>
      <c r="B20" s="5" t="s">
        <v>20</v>
      </c>
      <c r="C20" s="5" t="s">
        <v>30</v>
      </c>
      <c r="D20" s="5">
        <v>9.3850000000000003E-2</v>
      </c>
      <c r="E20" s="115" t="s">
        <v>33</v>
      </c>
      <c r="F20" s="116"/>
    </row>
    <row r="21" spans="1:6" x14ac:dyDescent="0.25">
      <c r="A21" s="62" t="s">
        <v>58</v>
      </c>
      <c r="B21" s="5" t="s">
        <v>21</v>
      </c>
      <c r="C21" s="5" t="s">
        <v>31</v>
      </c>
      <c r="D21" s="114">
        <v>63</v>
      </c>
      <c r="E21" s="115" t="s">
        <v>40</v>
      </c>
      <c r="F21" s="116"/>
    </row>
    <row r="22" spans="1:6" ht="42.6" customHeight="1" x14ac:dyDescent="0.25">
      <c r="A22" s="62" t="s">
        <v>127</v>
      </c>
      <c r="B22" s="5" t="s">
        <v>131</v>
      </c>
      <c r="C22" s="5"/>
      <c r="D22" s="114">
        <v>2.2000000000000002</v>
      </c>
      <c r="E22" s="133" t="s">
        <v>130</v>
      </c>
      <c r="F22" s="134"/>
    </row>
    <row r="23" spans="1:6" x14ac:dyDescent="0.25">
      <c r="A23" s="119" t="s">
        <v>135</v>
      </c>
      <c r="B23" s="120"/>
      <c r="C23" s="120"/>
      <c r="D23" s="120"/>
      <c r="E23" s="120"/>
      <c r="F23" s="121"/>
    </row>
    <row r="24" spans="1:6" x14ac:dyDescent="0.25">
      <c r="A24" s="122"/>
      <c r="B24" s="123"/>
      <c r="C24" s="123"/>
      <c r="D24" s="123"/>
      <c r="E24" s="123"/>
      <c r="F24" s="124"/>
    </row>
    <row r="25" spans="1:6" ht="15" thickBot="1" x14ac:dyDescent="0.3">
      <c r="A25" s="10"/>
      <c r="B25" s="11"/>
      <c r="C25" s="12"/>
      <c r="D25" s="12"/>
      <c r="E25" s="12"/>
      <c r="F25" s="13"/>
    </row>
    <row r="26" spans="1:6" ht="15.75" thickBot="1" x14ac:dyDescent="0.3">
      <c r="A26" s="31" t="s">
        <v>106</v>
      </c>
      <c r="B26" s="32"/>
      <c r="C26" s="33"/>
      <c r="D26" s="33"/>
      <c r="E26" s="34" t="s">
        <v>64</v>
      </c>
      <c r="F26" s="35"/>
    </row>
    <row r="27" spans="1:6" s="8" customFormat="1" ht="15" x14ac:dyDescent="0.25">
      <c r="A27" s="24"/>
      <c r="B27" s="25"/>
      <c r="C27" s="26"/>
      <c r="D27" s="26"/>
      <c r="E27" s="27"/>
      <c r="F27" s="28"/>
    </row>
    <row r="28" spans="1:6" x14ac:dyDescent="0.25">
      <c r="A28" s="10" t="s">
        <v>61</v>
      </c>
      <c r="B28" s="11"/>
      <c r="C28" s="12"/>
      <c r="D28" s="12"/>
      <c r="E28" s="12"/>
      <c r="F28" s="13"/>
    </row>
    <row r="29" spans="1:6" x14ac:dyDescent="0.25">
      <c r="A29" s="10"/>
      <c r="B29" s="11"/>
      <c r="C29" s="12"/>
      <c r="D29" s="12"/>
      <c r="E29" s="12"/>
      <c r="F29" s="13"/>
    </row>
    <row r="30" spans="1:6" x14ac:dyDescent="0.25">
      <c r="A30" s="10" t="s">
        <v>62</v>
      </c>
      <c r="B30" s="11"/>
      <c r="C30" s="112" t="s">
        <v>63</v>
      </c>
      <c r="D30" s="15">
        <f>IF(D14&gt;25,(820000*D5*D14*D22),(8300000*D5*D22*D14^0.284))</f>
        <v>21186595.496829838</v>
      </c>
      <c r="E30" s="113" t="s">
        <v>65</v>
      </c>
      <c r="F30" s="13"/>
    </row>
    <row r="31" spans="1:6" x14ac:dyDescent="0.25">
      <c r="A31" s="29" t="s">
        <v>136</v>
      </c>
      <c r="B31" s="11"/>
      <c r="C31" s="12"/>
      <c r="D31" s="12"/>
      <c r="E31" s="113"/>
      <c r="F31" s="13"/>
    </row>
    <row r="32" spans="1:6" x14ac:dyDescent="0.25">
      <c r="A32" s="29" t="s">
        <v>137</v>
      </c>
      <c r="B32" s="11"/>
      <c r="C32" s="12"/>
      <c r="D32" s="12"/>
      <c r="E32" s="113"/>
      <c r="F32" s="13"/>
    </row>
    <row r="33" spans="1:6" x14ac:dyDescent="0.25">
      <c r="A33" s="10"/>
      <c r="B33" s="11"/>
      <c r="C33" s="12"/>
      <c r="D33" s="12"/>
      <c r="E33" s="103"/>
      <c r="F33" s="13"/>
    </row>
    <row r="34" spans="1:6" hidden="1" x14ac:dyDescent="0.25">
      <c r="A34" s="10" t="s">
        <v>66</v>
      </c>
      <c r="B34" s="11"/>
      <c r="C34" s="102" t="s">
        <v>63</v>
      </c>
      <c r="D34" s="15">
        <f>D30/(D4*1000)</f>
        <v>284.00262060093615</v>
      </c>
      <c r="E34" s="103" t="s">
        <v>67</v>
      </c>
      <c r="F34" s="13"/>
    </row>
    <row r="35" spans="1:6" hidden="1" x14ac:dyDescent="0.25">
      <c r="A35" s="10"/>
      <c r="B35" s="11"/>
      <c r="C35" s="12"/>
      <c r="D35" s="12"/>
      <c r="E35" s="103"/>
      <c r="F35" s="13"/>
    </row>
    <row r="36" spans="1:6" ht="15" x14ac:dyDescent="0.25">
      <c r="A36" s="17" t="s">
        <v>68</v>
      </c>
      <c r="B36" s="11"/>
      <c r="C36" s="12"/>
      <c r="D36" s="12"/>
      <c r="E36" s="103"/>
      <c r="F36" s="13"/>
    </row>
    <row r="37" spans="1:6" x14ac:dyDescent="0.25">
      <c r="A37" s="10" t="s">
        <v>69</v>
      </c>
      <c r="B37" s="11"/>
      <c r="C37" s="102" t="s">
        <v>63</v>
      </c>
      <c r="D37" s="18">
        <f>0.05*$D$30</f>
        <v>1059329.7748414918</v>
      </c>
      <c r="E37" s="103" t="s">
        <v>80</v>
      </c>
      <c r="F37" s="13"/>
    </row>
    <row r="38" spans="1:6" x14ac:dyDescent="0.25">
      <c r="A38" s="10" t="s">
        <v>70</v>
      </c>
      <c r="B38" s="11"/>
      <c r="C38" s="102" t="s">
        <v>63</v>
      </c>
      <c r="D38" s="18">
        <f>0.05*$D$30</f>
        <v>1059329.7748414918</v>
      </c>
      <c r="E38" s="103" t="s">
        <v>72</v>
      </c>
      <c r="F38" s="13"/>
    </row>
    <row r="39" spans="1:6" x14ac:dyDescent="0.25">
      <c r="A39" s="10" t="s">
        <v>71</v>
      </c>
      <c r="B39" s="11"/>
      <c r="C39" s="102" t="s">
        <v>63</v>
      </c>
      <c r="D39" s="18">
        <f>0.05*$D$30</f>
        <v>1059329.7748414918</v>
      </c>
      <c r="E39" s="103" t="s">
        <v>73</v>
      </c>
      <c r="F39" s="13"/>
    </row>
    <row r="40" spans="1:6" x14ac:dyDescent="0.25">
      <c r="A40" s="10"/>
      <c r="B40" s="11"/>
      <c r="C40" s="12"/>
      <c r="D40" s="12"/>
      <c r="E40" s="103"/>
      <c r="F40" s="13"/>
    </row>
    <row r="41" spans="1:6" ht="15" x14ac:dyDescent="0.25">
      <c r="A41" s="17" t="s">
        <v>74</v>
      </c>
      <c r="B41" s="11"/>
      <c r="C41" s="102" t="s">
        <v>63</v>
      </c>
      <c r="D41" s="18">
        <f>D30+D37+D38+D39</f>
        <v>24364584.821354311</v>
      </c>
      <c r="E41" s="103" t="s">
        <v>76</v>
      </c>
      <c r="F41" s="13"/>
    </row>
    <row r="42" spans="1:6" ht="15" hidden="1" x14ac:dyDescent="0.25">
      <c r="A42" s="17" t="s">
        <v>75</v>
      </c>
      <c r="B42" s="11"/>
      <c r="C42" s="102" t="s">
        <v>63</v>
      </c>
      <c r="D42" s="19">
        <f>D41/(D4*1000)</f>
        <v>326.60301369107657</v>
      </c>
      <c r="E42" s="103" t="s">
        <v>77</v>
      </c>
      <c r="F42" s="13"/>
    </row>
    <row r="43" spans="1:6" x14ac:dyDescent="0.25">
      <c r="A43" s="10"/>
      <c r="B43" s="11"/>
      <c r="C43" s="12"/>
      <c r="D43" s="12"/>
      <c r="E43" s="103"/>
      <c r="F43" s="13"/>
    </row>
    <row r="44" spans="1:6" x14ac:dyDescent="0.25">
      <c r="A44" s="10" t="s">
        <v>78</v>
      </c>
      <c r="B44" s="11"/>
      <c r="C44" s="102" t="s">
        <v>63</v>
      </c>
      <c r="D44" s="18">
        <f>0.05*D41</f>
        <v>1218229.2410677157</v>
      </c>
      <c r="E44" s="123" t="s">
        <v>79</v>
      </c>
      <c r="F44" s="124"/>
    </row>
    <row r="45" spans="1:6" x14ac:dyDescent="0.25">
      <c r="A45" s="10"/>
      <c r="B45" s="11"/>
      <c r="C45" s="102"/>
      <c r="D45" s="18"/>
      <c r="E45" s="123"/>
      <c r="F45" s="124"/>
    </row>
    <row r="46" spans="1:6" x14ac:dyDescent="0.25">
      <c r="A46" s="10"/>
      <c r="B46" s="11"/>
      <c r="C46" s="102"/>
      <c r="D46" s="18"/>
      <c r="E46" s="103"/>
      <c r="F46" s="13"/>
    </row>
    <row r="47" spans="1:6" ht="15" x14ac:dyDescent="0.25">
      <c r="A47" s="17" t="s">
        <v>81</v>
      </c>
      <c r="B47" s="11"/>
      <c r="C47" s="102" t="s">
        <v>63</v>
      </c>
      <c r="D47" s="18">
        <f>D41+D44</f>
        <v>25582814.062422026</v>
      </c>
      <c r="E47" s="103" t="s">
        <v>83</v>
      </c>
      <c r="F47" s="13"/>
    </row>
    <row r="48" spans="1:6" hidden="1" x14ac:dyDescent="0.25">
      <c r="A48" s="10" t="s">
        <v>85</v>
      </c>
      <c r="B48" s="11"/>
      <c r="C48" s="102" t="s">
        <v>63</v>
      </c>
      <c r="D48" s="19">
        <f>D47/(D4*1000)</f>
        <v>342.93316437563038</v>
      </c>
      <c r="E48" s="103" t="s">
        <v>84</v>
      </c>
      <c r="F48" s="13"/>
    </row>
    <row r="49" spans="1:6" x14ac:dyDescent="0.25">
      <c r="A49" s="10"/>
      <c r="B49" s="11"/>
      <c r="C49" s="12"/>
      <c r="D49" s="12"/>
      <c r="E49" s="103"/>
      <c r="F49" s="13"/>
    </row>
    <row r="50" spans="1:6" x14ac:dyDescent="0.25">
      <c r="A50" s="10" t="s">
        <v>86</v>
      </c>
      <c r="B50" s="11"/>
      <c r="C50" s="102" t="s">
        <v>63</v>
      </c>
      <c r="D50" s="12">
        <v>0</v>
      </c>
      <c r="E50" s="103" t="s">
        <v>134</v>
      </c>
      <c r="F50" s="13"/>
    </row>
    <row r="51" spans="1:6" ht="15" thickBot="1" x14ac:dyDescent="0.3">
      <c r="A51" s="10"/>
      <c r="B51" s="11"/>
      <c r="C51" s="102"/>
      <c r="D51" s="12"/>
      <c r="E51" s="103"/>
      <c r="F51" s="13"/>
    </row>
    <row r="52" spans="1:6" ht="15.75" thickBot="1" x14ac:dyDescent="0.3">
      <c r="A52" s="9" t="s">
        <v>88</v>
      </c>
      <c r="B52" s="36"/>
      <c r="C52" s="37" t="s">
        <v>63</v>
      </c>
      <c r="D52" s="38">
        <f>D47+D50</f>
        <v>25582814.062422026</v>
      </c>
      <c r="E52" s="39" t="s">
        <v>82</v>
      </c>
      <c r="F52" s="40"/>
    </row>
    <row r="53" spans="1:6" hidden="1" x14ac:dyDescent="0.25">
      <c r="A53" s="10" t="s">
        <v>87</v>
      </c>
      <c r="B53" s="11"/>
      <c r="C53" s="102" t="s">
        <v>63</v>
      </c>
      <c r="D53" s="19">
        <f>D52/(D4*1000)</f>
        <v>342.93316437563038</v>
      </c>
      <c r="E53" s="103" t="s">
        <v>89</v>
      </c>
      <c r="F53" s="13"/>
    </row>
    <row r="54" spans="1:6" x14ac:dyDescent="0.25">
      <c r="A54" s="45"/>
      <c r="B54" s="46"/>
      <c r="C54" s="47"/>
      <c r="D54" s="47"/>
      <c r="E54" s="48"/>
      <c r="F54" s="49"/>
    </row>
    <row r="55" spans="1:6" ht="15" x14ac:dyDescent="0.25">
      <c r="A55" s="68" t="s">
        <v>109</v>
      </c>
      <c r="B55" s="64"/>
      <c r="C55" s="65"/>
      <c r="D55" s="65"/>
      <c r="E55" s="66"/>
      <c r="F55" s="67"/>
    </row>
    <row r="56" spans="1:6" ht="15" x14ac:dyDescent="0.25">
      <c r="A56" s="20" t="s">
        <v>90</v>
      </c>
      <c r="B56" s="21"/>
      <c r="C56" s="22"/>
      <c r="D56" s="22"/>
      <c r="E56" s="50"/>
      <c r="F56" s="23"/>
    </row>
    <row r="57" spans="1:6" x14ac:dyDescent="0.25">
      <c r="A57" s="10"/>
      <c r="B57" s="11"/>
      <c r="C57" s="12"/>
      <c r="D57" s="12"/>
      <c r="E57" s="103"/>
      <c r="F57" s="13"/>
    </row>
    <row r="58" spans="1:6" x14ac:dyDescent="0.25">
      <c r="A58" s="10" t="s">
        <v>91</v>
      </c>
      <c r="B58" s="11"/>
      <c r="C58" s="102" t="s">
        <v>63</v>
      </c>
      <c r="D58" s="104">
        <f>2*2080*D21/(D4*1000)</f>
        <v>3.51313672922252</v>
      </c>
      <c r="E58" s="103" t="s">
        <v>95</v>
      </c>
      <c r="F58" s="13"/>
    </row>
    <row r="59" spans="1:6" x14ac:dyDescent="0.25">
      <c r="A59" s="10" t="s">
        <v>92</v>
      </c>
      <c r="B59" s="11"/>
      <c r="C59" s="102" t="s">
        <v>63</v>
      </c>
      <c r="D59" s="104">
        <f>D30*0.01/(D5*D4*1000)</f>
        <v>1.4200131030046808</v>
      </c>
      <c r="E59" s="103" t="s">
        <v>96</v>
      </c>
      <c r="F59" s="13"/>
    </row>
    <row r="60" spans="1:6" x14ac:dyDescent="0.25">
      <c r="A60" s="10" t="s">
        <v>93</v>
      </c>
      <c r="B60" s="11"/>
      <c r="C60" s="102" t="s">
        <v>63</v>
      </c>
      <c r="D60" s="104">
        <f>0.03*(D58+0.4*D59)</f>
        <v>0.12243425911273176</v>
      </c>
      <c r="E60" s="103" t="s">
        <v>97</v>
      </c>
      <c r="F60" s="13"/>
    </row>
    <row r="61" spans="1:6" x14ac:dyDescent="0.25">
      <c r="A61" s="10"/>
      <c r="B61" s="11"/>
      <c r="C61" s="12"/>
      <c r="D61" s="104"/>
      <c r="E61" s="103"/>
      <c r="F61" s="13"/>
    </row>
    <row r="62" spans="1:6" s="2" customFormat="1" ht="15" x14ac:dyDescent="0.25">
      <c r="A62" s="17" t="s">
        <v>126</v>
      </c>
      <c r="B62" s="52"/>
      <c r="C62" s="41" t="s">
        <v>63</v>
      </c>
      <c r="D62" s="53">
        <f>D58+D59+D60</f>
        <v>5.0555840913399326</v>
      </c>
      <c r="E62" s="54" t="s">
        <v>98</v>
      </c>
      <c r="F62" s="55"/>
    </row>
    <row r="63" spans="1:6" x14ac:dyDescent="0.25">
      <c r="A63" s="10"/>
      <c r="B63" s="11"/>
      <c r="C63" s="12"/>
      <c r="D63" s="104"/>
      <c r="E63" s="103"/>
      <c r="F63" s="13"/>
    </row>
    <row r="64" spans="1:6" s="2" customFormat="1" ht="15" x14ac:dyDescent="0.25">
      <c r="A64" s="17" t="s">
        <v>94</v>
      </c>
      <c r="B64" s="52"/>
      <c r="C64" s="56"/>
      <c r="D64" s="53"/>
      <c r="E64" s="54"/>
      <c r="F64" s="55"/>
    </row>
    <row r="65" spans="1:8" s="2" customFormat="1" ht="15" x14ac:dyDescent="0.25">
      <c r="A65" s="17"/>
      <c r="B65" s="52"/>
      <c r="C65" s="56"/>
      <c r="D65" s="53"/>
      <c r="E65" s="54"/>
      <c r="F65" s="55"/>
    </row>
    <row r="66" spans="1:8" x14ac:dyDescent="0.25">
      <c r="A66" s="10" t="s">
        <v>103</v>
      </c>
      <c r="B66" s="11"/>
      <c r="C66" s="102" t="s">
        <v>63</v>
      </c>
      <c r="D66" s="106">
        <f>D14*D18/D4</f>
        <v>0.88878823914209115</v>
      </c>
      <c r="E66" s="103" t="s">
        <v>99</v>
      </c>
      <c r="F66" s="13"/>
      <c r="G66" s="109"/>
    </row>
    <row r="67" spans="1:8" x14ac:dyDescent="0.25">
      <c r="A67" s="10"/>
      <c r="B67" s="11"/>
      <c r="C67" s="12"/>
      <c r="D67" s="104"/>
      <c r="E67" s="103"/>
      <c r="F67" s="13"/>
    </row>
    <row r="68" spans="1:8" ht="13.9" customHeight="1" x14ac:dyDescent="0.25">
      <c r="A68" s="130" t="s">
        <v>104</v>
      </c>
      <c r="B68" s="131"/>
      <c r="C68" s="135" t="s">
        <v>63</v>
      </c>
      <c r="D68" s="132">
        <f>(D15+D16)*D19/D4</f>
        <v>0.38735440072455646</v>
      </c>
      <c r="E68" s="123" t="s">
        <v>100</v>
      </c>
      <c r="F68" s="124"/>
      <c r="H68" s="109"/>
    </row>
    <row r="69" spans="1:8" x14ac:dyDescent="0.25">
      <c r="A69" s="130"/>
      <c r="B69" s="131"/>
      <c r="C69" s="135"/>
      <c r="D69" s="132"/>
      <c r="E69" s="123"/>
      <c r="F69" s="124"/>
    </row>
    <row r="70" spans="1:8" x14ac:dyDescent="0.25">
      <c r="A70" s="10"/>
      <c r="B70" s="11"/>
      <c r="C70" s="12"/>
      <c r="D70" s="104"/>
      <c r="E70" s="103"/>
      <c r="F70" s="13"/>
    </row>
    <row r="71" spans="1:8" ht="28.15" customHeight="1" x14ac:dyDescent="0.25">
      <c r="A71" s="10" t="s">
        <v>105</v>
      </c>
      <c r="B71" s="11"/>
      <c r="C71" s="102" t="s">
        <v>63</v>
      </c>
      <c r="D71" s="106">
        <f>D17*D20*10</f>
        <v>3.6990144675603229E-2</v>
      </c>
      <c r="E71" s="123" t="s">
        <v>101</v>
      </c>
      <c r="F71" s="124"/>
    </row>
    <row r="72" spans="1:8" x14ac:dyDescent="0.25">
      <c r="A72" s="10"/>
      <c r="B72" s="11"/>
      <c r="C72" s="12"/>
      <c r="D72" s="104"/>
      <c r="E72" s="103"/>
      <c r="F72" s="13"/>
    </row>
    <row r="73" spans="1:8" ht="15" x14ac:dyDescent="0.25">
      <c r="A73" s="17" t="s">
        <v>102</v>
      </c>
      <c r="B73" s="52"/>
      <c r="C73" s="41" t="s">
        <v>63</v>
      </c>
      <c r="D73" s="110">
        <f>D66+D68+D71</f>
        <v>1.3131327845422507</v>
      </c>
      <c r="E73" s="103"/>
      <c r="F73" s="13"/>
    </row>
    <row r="74" spans="1:8" ht="15" thickBot="1" x14ac:dyDescent="0.3">
      <c r="A74" s="57"/>
      <c r="B74" s="58"/>
      <c r="C74" s="59"/>
      <c r="D74" s="59"/>
      <c r="E74" s="59"/>
      <c r="F74" s="60"/>
    </row>
    <row r="75" spans="1:8" ht="15" x14ac:dyDescent="0.25">
      <c r="A75" s="69" t="s">
        <v>115</v>
      </c>
      <c r="B75" s="70"/>
      <c r="C75" s="71"/>
      <c r="D75" s="71"/>
      <c r="E75" s="72"/>
      <c r="F75" s="73"/>
    </row>
    <row r="76" spans="1:8" x14ac:dyDescent="0.25">
      <c r="A76" s="74"/>
      <c r="B76" s="75"/>
      <c r="C76" s="12"/>
      <c r="D76" s="12"/>
      <c r="E76" s="12"/>
      <c r="F76" s="13"/>
    </row>
    <row r="77" spans="1:8" x14ac:dyDescent="0.25">
      <c r="A77" s="76" t="s">
        <v>110</v>
      </c>
      <c r="B77" s="11"/>
      <c r="C77" s="102" t="s">
        <v>63</v>
      </c>
      <c r="D77" s="99">
        <f>0.8*D62*D4*1000</f>
        <v>301717.25857116719</v>
      </c>
      <c r="E77" s="12"/>
      <c r="F77" s="13"/>
    </row>
    <row r="78" spans="1:8" x14ac:dyDescent="0.25">
      <c r="A78" s="76" t="s">
        <v>111</v>
      </c>
      <c r="B78" s="11"/>
      <c r="C78" s="102" t="s">
        <v>63</v>
      </c>
      <c r="D78" s="99">
        <f>0.02*D52</f>
        <v>511656.28124844056</v>
      </c>
      <c r="E78" s="12"/>
      <c r="F78" s="13"/>
    </row>
    <row r="79" spans="1:8" x14ac:dyDescent="0.25">
      <c r="A79" s="76" t="s">
        <v>112</v>
      </c>
      <c r="B79" s="11"/>
      <c r="C79" s="102" t="s">
        <v>63</v>
      </c>
      <c r="D79" s="99">
        <f>0.01*D52</f>
        <v>255828.14062422028</v>
      </c>
      <c r="E79" s="12"/>
      <c r="F79" s="13"/>
    </row>
    <row r="80" spans="1:8" x14ac:dyDescent="0.25">
      <c r="A80" s="76" t="s">
        <v>113</v>
      </c>
      <c r="B80" s="11"/>
      <c r="C80" s="102" t="s">
        <v>63</v>
      </c>
      <c r="D80" s="99">
        <f>0.01*D52</f>
        <v>255828.14062422028</v>
      </c>
      <c r="E80" s="12"/>
      <c r="F80" s="13"/>
    </row>
    <row r="81" spans="1:6" x14ac:dyDescent="0.25">
      <c r="A81" s="76" t="s">
        <v>116</v>
      </c>
      <c r="B81" s="11"/>
      <c r="C81" s="102" t="s">
        <v>63</v>
      </c>
      <c r="D81" s="99">
        <f>0.16275*D52</f>
        <v>4163602.9886591849</v>
      </c>
      <c r="E81" s="12"/>
      <c r="F81" s="13"/>
    </row>
    <row r="82" spans="1:6" x14ac:dyDescent="0.25">
      <c r="A82" s="78" t="s">
        <v>117</v>
      </c>
      <c r="B82" s="11"/>
      <c r="C82" s="102"/>
      <c r="D82" s="99"/>
      <c r="E82" s="12"/>
      <c r="F82" s="13"/>
    </row>
    <row r="83" spans="1:6" x14ac:dyDescent="0.25">
      <c r="A83" s="74"/>
      <c r="B83" s="11"/>
      <c r="C83" s="12"/>
      <c r="D83" s="99"/>
      <c r="E83" s="12"/>
      <c r="F83" s="13"/>
    </row>
    <row r="84" spans="1:6" ht="15" x14ac:dyDescent="0.25">
      <c r="A84" s="79" t="s">
        <v>114</v>
      </c>
      <c r="B84" s="11"/>
      <c r="C84" s="102" t="s">
        <v>63</v>
      </c>
      <c r="D84" s="82">
        <f>SUM(D77:D81)</f>
        <v>5488632.8097272329</v>
      </c>
      <c r="E84" s="12"/>
      <c r="F84" s="13"/>
    </row>
    <row r="85" spans="1:6" x14ac:dyDescent="0.25">
      <c r="A85" s="74"/>
      <c r="B85" s="11"/>
      <c r="C85" s="12"/>
      <c r="D85" s="77"/>
      <c r="E85" s="12"/>
      <c r="F85" s="13"/>
    </row>
    <row r="86" spans="1:6" ht="15" x14ac:dyDescent="0.25">
      <c r="A86" s="79" t="s">
        <v>125</v>
      </c>
      <c r="B86" s="52"/>
      <c r="C86" s="41" t="s">
        <v>63</v>
      </c>
      <c r="D86" s="82">
        <f>D62*D4*1000+D73*D4*8760+D84</f>
        <v>6723906.4051084146</v>
      </c>
      <c r="E86" s="12"/>
      <c r="F86" s="13"/>
    </row>
    <row r="87" spans="1:6" ht="15.75" thickBot="1" x14ac:dyDescent="0.3">
      <c r="A87" s="80"/>
      <c r="B87" s="81"/>
      <c r="C87" s="59"/>
      <c r="D87" s="59"/>
      <c r="E87" s="59"/>
      <c r="F87" s="60"/>
    </row>
    <row r="88" spans="1:6" x14ac:dyDescent="0.25">
      <c r="A88" s="42"/>
      <c r="B88" s="84"/>
      <c r="C88" s="43"/>
      <c r="D88" s="43"/>
      <c r="E88" s="43"/>
      <c r="F88" s="44"/>
    </row>
    <row r="89" spans="1:6" x14ac:dyDescent="0.2">
      <c r="A89" s="85" t="s">
        <v>119</v>
      </c>
      <c r="B89" s="11"/>
      <c r="C89" s="102" t="s">
        <v>63</v>
      </c>
      <c r="D89" s="86">
        <v>584.6</v>
      </c>
      <c r="E89" s="12"/>
      <c r="F89" s="13"/>
    </row>
    <row r="90" spans="1:6" x14ac:dyDescent="0.2">
      <c r="A90" s="85" t="s">
        <v>118</v>
      </c>
      <c r="B90" s="11"/>
      <c r="C90" s="102" t="s">
        <v>63</v>
      </c>
      <c r="D90" s="87">
        <v>578.4</v>
      </c>
      <c r="E90" s="12"/>
      <c r="F90" s="13"/>
    </row>
    <row r="91" spans="1:6" x14ac:dyDescent="0.25">
      <c r="A91" s="10"/>
      <c r="B91" s="11"/>
      <c r="C91" s="12"/>
      <c r="D91" s="12"/>
      <c r="E91" s="12"/>
      <c r="F91" s="13"/>
    </row>
    <row r="92" spans="1:6" ht="15" x14ac:dyDescent="0.25">
      <c r="A92" s="17" t="s">
        <v>120</v>
      </c>
      <c r="B92" s="52"/>
      <c r="C92" s="41" t="s">
        <v>63</v>
      </c>
      <c r="D92" s="101">
        <f>D86*D90/D89</f>
        <v>6652595.7316365149</v>
      </c>
      <c r="E92" s="12"/>
      <c r="F92" s="13"/>
    </row>
    <row r="93" spans="1:6" ht="15.75" thickBot="1" x14ac:dyDescent="0.3">
      <c r="A93" s="80"/>
      <c r="B93" s="58"/>
      <c r="C93" s="59"/>
      <c r="D93" s="81"/>
      <c r="E93" s="59"/>
      <c r="F93" s="60"/>
    </row>
    <row r="94" spans="1:6" x14ac:dyDescent="0.25">
      <c r="A94" s="88"/>
      <c r="B94" s="11"/>
      <c r="C94" s="12"/>
      <c r="D94" s="89"/>
      <c r="E94" s="12"/>
      <c r="F94" s="13"/>
    </row>
    <row r="95" spans="1:6" ht="18.75" x14ac:dyDescent="0.25">
      <c r="A95" s="95" t="s">
        <v>122</v>
      </c>
      <c r="B95" s="96"/>
      <c r="C95" s="102" t="s">
        <v>63</v>
      </c>
      <c r="D95" s="90">
        <f>D7*(D12/1000000)*8760/2000</f>
        <v>357.40800000000007</v>
      </c>
      <c r="E95" s="12"/>
      <c r="F95" s="13"/>
    </row>
    <row r="96" spans="1:6" ht="18.75" x14ac:dyDescent="0.25">
      <c r="A96" s="94" t="s">
        <v>121</v>
      </c>
      <c r="B96" s="11"/>
      <c r="C96" s="102" t="s">
        <v>63</v>
      </c>
      <c r="D96" s="111">
        <f>D11</f>
        <v>40</v>
      </c>
      <c r="E96" s="12"/>
      <c r="F96" s="13"/>
    </row>
    <row r="97" spans="1:6" ht="18.75" x14ac:dyDescent="0.25">
      <c r="A97" s="93" t="s">
        <v>123</v>
      </c>
      <c r="B97" s="11"/>
      <c r="C97" s="102" t="s">
        <v>63</v>
      </c>
      <c r="D97" s="91">
        <f>D95*D96/100</f>
        <v>142.96320000000003</v>
      </c>
      <c r="E97" s="12"/>
      <c r="F97" s="13"/>
    </row>
    <row r="98" spans="1:6" ht="16.5" x14ac:dyDescent="0.25">
      <c r="A98" s="97" t="s">
        <v>124</v>
      </c>
      <c r="B98" s="98"/>
      <c r="C98" s="102" t="s">
        <v>63</v>
      </c>
      <c r="D98" s="100">
        <f>D92/D97</f>
        <v>46533.623559325155</v>
      </c>
      <c r="E98" s="12"/>
      <c r="F98" s="13"/>
    </row>
    <row r="99" spans="1:6" ht="15" thickBot="1" x14ac:dyDescent="0.3">
      <c r="A99" s="92"/>
      <c r="B99" s="58"/>
      <c r="C99" s="59"/>
      <c r="D99" s="83"/>
      <c r="E99" s="59"/>
      <c r="F99" s="60"/>
    </row>
  </sheetData>
  <mergeCells count="28">
    <mergeCell ref="E71:F71"/>
    <mergeCell ref="E7:F7"/>
    <mergeCell ref="A1:F1"/>
    <mergeCell ref="E3:F3"/>
    <mergeCell ref="E4:F4"/>
    <mergeCell ref="E5:F5"/>
    <mergeCell ref="E6:F6"/>
    <mergeCell ref="E19:F19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20:F20"/>
    <mergeCell ref="E21:F21"/>
    <mergeCell ref="E22:F22"/>
    <mergeCell ref="A23:F24"/>
    <mergeCell ref="E44:F45"/>
    <mergeCell ref="A68:B69"/>
    <mergeCell ref="C68:C69"/>
    <mergeCell ref="D68:D69"/>
    <mergeCell ref="E68:F69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 altText="">
                <anchor moveWithCells="1">
                  <from>
                    <xdr:col>0</xdr:col>
                    <xdr:colOff>1123950</xdr:colOff>
                    <xdr:row>15</xdr:row>
                    <xdr:rowOff>400050</xdr:rowOff>
                  </from>
                  <to>
                    <xdr:col>0</xdr:col>
                    <xdr:colOff>1123950</xdr:colOff>
                    <xdr:row>15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0</xdr:col>
                    <xdr:colOff>1200150</xdr:colOff>
                    <xdr:row>16</xdr:row>
                    <xdr:rowOff>161925</xdr:rowOff>
                  </from>
                  <to>
                    <xdr:col>0</xdr:col>
                    <xdr:colOff>1200150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Injection after Combination</vt:lpstr>
      <vt:lpstr>Large Boiler only</vt:lpstr>
    </vt:vector>
  </TitlesOfParts>
  <Company>ERM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 Hand</dc:creator>
  <cp:lastModifiedBy>Simpson, Aaron</cp:lastModifiedBy>
  <cp:lastPrinted>2017-12-22T16:57:53Z</cp:lastPrinted>
  <dcterms:created xsi:type="dcterms:W3CDTF">2017-10-23T20:23:20Z</dcterms:created>
  <dcterms:modified xsi:type="dcterms:W3CDTF">2018-02-02T00:58:20Z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ESRI_WORKBOOK_ID">
    <vt:lpwstr>6b4f06b70f0f494da3ced384f2d9d5c5</vt:lpwstr>
  </property>
</Properties>
</file>