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-svrfile\groups\AQ\General\SIP_BACT_2017\BACT Determinations\Final\Aurora\BACT Economic Analyses\"/>
    </mc:Choice>
  </mc:AlternateContent>
  <bookViews>
    <workbookView xWindow="0" yWindow="1350" windowWidth="15360" windowHeight="8300" activeTab="1"/>
  </bookViews>
  <sheets>
    <sheet name="Dry Sorbent Injection" sheetId="1" r:id="rId1"/>
    <sheet name="Spray Dry Absorber" sheetId="6" r:id="rId2"/>
    <sheet name="Wet Scrubber" sheetId="7" r:id="rId3"/>
    <sheet name="ESRI_MAPINFO_SHEET" sheetId="5" state="veryHidden" r:id="rId4"/>
  </sheets>
  <calcPr calcId="152511"/>
</workbook>
</file>

<file path=xl/calcChain.xml><?xml version="1.0" encoding="utf-8"?>
<calcChain xmlns="http://schemas.openxmlformats.org/spreadsheetml/2006/main">
  <c r="D7" i="1" l="1"/>
  <c r="D9" i="7"/>
  <c r="D11" i="6"/>
  <c r="D14" i="7" l="1"/>
  <c r="D13" i="1"/>
  <c r="D12" i="1" l="1"/>
  <c r="D99" i="1" s="1"/>
  <c r="B103" i="7" l="1"/>
  <c r="D73" i="7"/>
  <c r="D13" i="7"/>
  <c r="D116" i="7" s="1"/>
  <c r="D118" i="7" s="1"/>
  <c r="D12" i="7"/>
  <c r="D28" i="7" s="1"/>
  <c r="D30" i="7" l="1"/>
  <c r="D16" i="7"/>
  <c r="D86" i="7" s="1"/>
  <c r="D32" i="7"/>
  <c r="D17" i="7"/>
  <c r="D88" i="7" s="1"/>
  <c r="D34" i="7"/>
  <c r="D38" i="7" l="1"/>
  <c r="D44" i="7" s="1"/>
  <c r="D82" i="7"/>
  <c r="D15" i="7"/>
  <c r="D84" i="7" s="1"/>
  <c r="D45" i="7" l="1"/>
  <c r="D39" i="7"/>
  <c r="D43" i="7"/>
  <c r="D74" i="7"/>
  <c r="D92" i="7"/>
  <c r="D75" i="7"/>
  <c r="D78" i="7" s="1"/>
  <c r="D47" i="7" l="1"/>
  <c r="D48" i="7" s="1"/>
  <c r="D50" i="7"/>
  <c r="D52" i="7" s="1"/>
  <c r="D96" i="7"/>
  <c r="D55" i="7" l="1"/>
  <c r="D57" i="7" s="1"/>
  <c r="D53" i="7"/>
  <c r="D98" i="7" l="1"/>
  <c r="D58" i="7"/>
  <c r="D97" i="7"/>
  <c r="D99" i="7"/>
  <c r="D103" i="7"/>
  <c r="B104" i="6"/>
  <c r="D77" i="6"/>
  <c r="D32" i="6"/>
  <c r="D30" i="6"/>
  <c r="D19" i="6"/>
  <c r="D91" i="6" s="1"/>
  <c r="D15" i="6"/>
  <c r="D117" i="6" s="1"/>
  <c r="D119" i="6" s="1"/>
  <c r="D14" i="6"/>
  <c r="D34" i="6" s="1"/>
  <c r="D105" i="7" l="1"/>
  <c r="D16" i="6"/>
  <c r="D85" i="6" s="1"/>
  <c r="D17" i="6"/>
  <c r="D87" i="6" s="1"/>
  <c r="D36" i="6"/>
  <c r="D42" i="6" s="1"/>
  <c r="D18" i="6"/>
  <c r="D89" i="6" s="1"/>
  <c r="D107" i="7" l="1"/>
  <c r="D113" i="7" s="1"/>
  <c r="D120" i="7" s="1"/>
  <c r="D93" i="6"/>
  <c r="D43" i="6"/>
  <c r="D37" i="6"/>
  <c r="D41" i="6"/>
  <c r="D78" i="6"/>
  <c r="D79" i="6" s="1"/>
  <c r="D81" i="6" l="1"/>
  <c r="D97" i="6" s="1"/>
  <c r="D45" i="6"/>
  <c r="D46" i="6" s="1"/>
  <c r="D48" i="6"/>
  <c r="D50" i="6" s="1"/>
  <c r="D53" i="6" s="1"/>
  <c r="D55" i="6" l="1"/>
  <c r="D98" i="6" s="1"/>
  <c r="D51" i="6"/>
  <c r="D104" i="6" l="1"/>
  <c r="D56" i="6"/>
  <c r="D99" i="6"/>
  <c r="D100" i="6"/>
  <c r="B86" i="1"/>
  <c r="D106" i="6" l="1"/>
  <c r="D108" i="6" s="1"/>
  <c r="D114" i="6" s="1"/>
  <c r="D121" i="6" s="1"/>
  <c r="D63" i="1"/>
  <c r="D16" i="1"/>
  <c r="D14" i="1" l="1"/>
  <c r="D15" i="1" l="1"/>
  <c r="D71" i="1"/>
  <c r="D17" i="1"/>
  <c r="D64" i="1"/>
  <c r="D65" i="1" s="1"/>
  <c r="D35" i="1"/>
  <c r="D36" i="1" l="1"/>
  <c r="D34" i="1"/>
  <c r="D101" i="1" l="1"/>
  <c r="D73" i="1" l="1"/>
  <c r="D72" i="1"/>
  <c r="D30" i="1"/>
  <c r="D75" i="1" l="1"/>
  <c r="D38" i="1"/>
  <c r="D41" i="1" s="1"/>
  <c r="D43" i="1" s="1"/>
  <c r="D67" i="1"/>
  <c r="D79" i="1" s="1"/>
  <c r="D39" i="1" l="1"/>
  <c r="D44" i="1"/>
  <c r="D86" i="1"/>
  <c r="D49" i="1" l="1"/>
  <c r="D81" i="1"/>
  <c r="D82" i="1"/>
  <c r="D80" i="1"/>
  <c r="D88" i="1" l="1"/>
  <c r="D90" i="1" s="1"/>
  <c r="D96" i="1" l="1"/>
  <c r="D103" i="1" s="1"/>
</calcChain>
</file>

<file path=xl/comments1.xml><?xml version="1.0" encoding="utf-8"?>
<comments xmlns="http://schemas.openxmlformats.org/spreadsheetml/2006/main">
  <authors>
    <author>Simpson, Aaron</author>
  </authors>
  <commentList>
    <comment ref="D48" authorId="0" shapeId="0">
      <text>
        <r>
          <rPr>
            <b/>
            <sz val="9"/>
            <color indexed="81"/>
            <rFont val="Tahoma"/>
            <family val="2"/>
          </rPr>
          <t>Simpson, Aaron:</t>
        </r>
        <r>
          <rPr>
            <sz val="9"/>
            <color indexed="81"/>
            <rFont val="Tahoma"/>
            <family val="2"/>
          </rPr>
          <t xml:space="preserve">
Rsp to IR #2: "Aurora Energy Preliminary Opinion of Probabale Cost.pdf" and "Aurora_DSI_Opinion_of_Probable_Cost_rev0.pdf" and Comment No. 9 by Aurora Energy on draft SIP Public Notice.</t>
        </r>
      </text>
    </comment>
  </commentList>
</comments>
</file>

<file path=xl/sharedStrings.xml><?xml version="1.0" encoding="utf-8"?>
<sst xmlns="http://schemas.openxmlformats.org/spreadsheetml/2006/main" count="581" uniqueCount="233">
  <si>
    <t>Variable</t>
  </si>
  <si>
    <t>Designation</t>
  </si>
  <si>
    <t>Units</t>
  </si>
  <si>
    <t>Value</t>
  </si>
  <si>
    <t>Calculation</t>
  </si>
  <si>
    <t>A</t>
  </si>
  <si>
    <t>B</t>
  </si>
  <si>
    <t>C</t>
  </si>
  <si>
    <t>E</t>
  </si>
  <si>
    <t>F</t>
  </si>
  <si>
    <t>G</t>
  </si>
  <si>
    <t>H</t>
  </si>
  <si>
    <t>J</t>
  </si>
  <si>
    <t>K</t>
  </si>
  <si>
    <t>M</t>
  </si>
  <si>
    <t>N</t>
  </si>
  <si>
    <t>P</t>
  </si>
  <si>
    <t>Q</t>
  </si>
  <si>
    <t>R</t>
  </si>
  <si>
    <t>S</t>
  </si>
  <si>
    <t>T</t>
  </si>
  <si>
    <t>U</t>
  </si>
  <si>
    <t>D</t>
  </si>
  <si>
    <t>(MW)</t>
  </si>
  <si>
    <t>(Btu/kWh)</t>
  </si>
  <si>
    <t>(lb/MMBtu)</t>
  </si>
  <si>
    <t>(%)</t>
  </si>
  <si>
    <t>(Btu/hr)</t>
  </si>
  <si>
    <t>(ton/hr)</t>
  </si>
  <si>
    <t>($/ton)</t>
  </si>
  <si>
    <t>($/kWh)</t>
  </si>
  <si>
    <t>($/hr)</t>
  </si>
  <si>
    <t>Unit Size (Gross)</t>
  </si>
  <si>
    <t>&lt;-- User Input</t>
  </si>
  <si>
    <t>Based on in-line milling equipment</t>
  </si>
  <si>
    <t>Maximum Removal Targets:
Unmilled Trona with an ESP = 65%
Milled Trona with an ESP = 80%
Unmilled Trona with a Baghouse = 80%
Milled Trona with Baghouse = 90%</t>
  </si>
  <si>
    <t>=if Milled Trona M*20/A else M*18/A</t>
  </si>
  <si>
    <t>Retrofit Factor</t>
  </si>
  <si>
    <t>Gross Heat Rate</t>
  </si>
  <si>
    <t>SO2 Rate</t>
  </si>
  <si>
    <t>Type of Coal</t>
  </si>
  <si>
    <t>Particulate Capture</t>
  </si>
  <si>
    <t>Baghouse</t>
  </si>
  <si>
    <t>Milled Trona</t>
  </si>
  <si>
    <t>Removal Target</t>
  </si>
  <si>
    <t>sub-bituminous</t>
  </si>
  <si>
    <t>Heat Input</t>
  </si>
  <si>
    <t>NSR</t>
  </si>
  <si>
    <t>Trona Feed Rate</t>
  </si>
  <si>
    <t>Sorbent Waste Rate</t>
  </si>
  <si>
    <t>Trona Cost</t>
  </si>
  <si>
    <t>Waste Disposal Cost</t>
  </si>
  <si>
    <t>Aux Power Cost</t>
  </si>
  <si>
    <t>Operating Labor Rate</t>
  </si>
  <si>
    <t>Base Module (BM) ($)</t>
  </si>
  <si>
    <t>=</t>
  </si>
  <si>
    <t>Comments</t>
  </si>
  <si>
    <t>Base DSI module includes all equipment from unloading to injection</t>
  </si>
  <si>
    <t>BM ($/kW)</t>
  </si>
  <si>
    <t>Base module cost per kW</t>
  </si>
  <si>
    <t>Total Project Cost</t>
  </si>
  <si>
    <t>Labor adjustment for 6 x 10 hour shift premium, per diem, etc.</t>
  </si>
  <si>
    <t>Contractor profit and fees</t>
  </si>
  <si>
    <t>CECC ($) - Excludes Owner's Costs = BM + A1 + A2 + A3</t>
  </si>
  <si>
    <t>CECC ($/kW) - Excludes Owner's Costs</t>
  </si>
  <si>
    <t>Capital, engineering, and construction costst subtotal per kW</t>
  </si>
  <si>
    <t>B1 = 5% of CECC</t>
  </si>
  <si>
    <t>Owner's costs including all "home office" costs (owner's engineering, management, and procurement activities)</t>
  </si>
  <si>
    <t>Engineering and construction management costs</t>
  </si>
  <si>
    <t>TPC ($) - Includes Owners Costs = CECC + B1</t>
  </si>
  <si>
    <t>Total project cost</t>
  </si>
  <si>
    <t>Total project cost per kW without AFUDC</t>
  </si>
  <si>
    <t>TPC ($/kW) - Include Owner's Costs</t>
  </si>
  <si>
    <t>B2 = 0% of (CECC + B1)</t>
  </si>
  <si>
    <t>TPC ($/kW)</t>
  </si>
  <si>
    <t>TPC ($) = CECC + B1 + B2</t>
  </si>
  <si>
    <t>Total project cost per kW</t>
  </si>
  <si>
    <t>Fixed O&amp;M Cost</t>
  </si>
  <si>
    <t>Variable O&amp;M Cost</t>
  </si>
  <si>
    <t>Fixed O&amp;M additional operating labor costs</t>
  </si>
  <si>
    <t>Fixed O&amp;M additional maintenance material and labor costs</t>
  </si>
  <si>
    <t>Fixed O&amp;M additional administrative labor costs</t>
  </si>
  <si>
    <t>Total Fixed O&amp;M costs</t>
  </si>
  <si>
    <t>Variable O&amp;M costs for Trona reagent</t>
  </si>
  <si>
    <t>Variable O&amp;M costs for waste disposal that includes both the sorbent and the fly ash waste not removed prior to the sorbent injection</t>
  </si>
  <si>
    <t>Variable O&amp;M costs for additional auxiliary power required (Refer to Aux Power % above)</t>
  </si>
  <si>
    <t>Capital Cost Calculation (2012 dollars)</t>
  </si>
  <si>
    <t>Direct Annual Costs</t>
  </si>
  <si>
    <t>Administrative charges (2% of total capital investment)</t>
  </si>
  <si>
    <t>Insurance (1% of total capital investment)</t>
  </si>
  <si>
    <t>Property tax (1% of total capital investment)</t>
  </si>
  <si>
    <t>TOTAL INDIRECT ANNUAL OPERATING COSTS</t>
  </si>
  <si>
    <t>Indirect Annual Costs</t>
  </si>
  <si>
    <t>Composite CE Index for 2012 (cost year of equation)</t>
  </si>
  <si>
    <r>
      <t>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REMOVAL EFFICIENCY, %</t>
    </r>
  </si>
  <si>
    <r>
      <t>TOTAL UNCONTROLLED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EMISSIONS, tons</t>
    </r>
  </si>
  <si>
    <r>
      <t>TOTAL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REMOVED, tons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</si>
  <si>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COST-EFFECTIVENESS, $/ton removed</t>
    </r>
  </si>
  <si>
    <t>TOTAL ANNUALIZED OPERATING COSTS (2012 $)</t>
  </si>
  <si>
    <t>AFUDC (Zero for less than 1 year engineering and construction cycle)</t>
  </si>
  <si>
    <t xml:space="preserve">Fly Ash Waste Rate </t>
  </si>
  <si>
    <t>Aux Power</t>
  </si>
  <si>
    <t>Capital, engineering, and construction costs subtotal</t>
  </si>
  <si>
    <t>TOTAL ANNUALIZED OPERATING COSTS (2016 $)</t>
  </si>
  <si>
    <t>Composite CE Index for 2016 (cost year of review)</t>
  </si>
  <si>
    <t>Total project cost without Allowance for Funds Used During Construction (AFUDC)</t>
  </si>
  <si>
    <t>Overhead (60% of total labor and material costs)</t>
  </si>
  <si>
    <t>CC Manual</t>
  </si>
  <si>
    <t>A1 = 10% of BM</t>
  </si>
  <si>
    <t>A2 = 10% of BM</t>
  </si>
  <si>
    <t>A3 = 10% of BM</t>
  </si>
  <si>
    <t>Fixed Operating and Maintenance (O&amp;M) Cost</t>
  </si>
  <si>
    <t>Dry Sorbent Injection System - Chena Power Plant</t>
  </si>
  <si>
    <t xml:space="preserve">&lt;-- User Input (An "average" retrofit has a factor of 1.0. Site-specific considerations provided by Aurora in 12/22/17 BACT Addendum) </t>
  </si>
  <si>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*1000</t>
    </r>
  </si>
  <si>
    <r>
      <t>(1.2011x10^-06)*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C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/>
    </r>
  </si>
  <si>
    <r>
      <t>(0.7035-0.00073696*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/</t>
    </r>
    <r>
      <rPr>
        <sz val="11"/>
        <color rgb="FFFF0000"/>
        <rFont val="Arial"/>
        <family val="2"/>
      </rPr>
      <t>K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M</t>
    </r>
    <r>
      <rPr>
        <sz val="11"/>
        <color theme="1"/>
        <rFont val="Arial"/>
        <family val="2"/>
      </rPr>
      <t xml:space="preserve">  Based on a final reaction product of Na2SO4 and unreacted dry sorbent as Na2CO3. </t>
    </r>
  </si>
  <si>
    <r>
      <t>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 xml:space="preserve">)*Ash incoal*(1-Boiler Ash Removal)/(2*HHV)
For Bituminous Coal: Ash in Coal = 0.12; Boiler Ash Removal = 0.2, HHV = 11,000
For PRB Coal: Ash in Coal = 0.06; Boiler Ash Removal = 0.2, HHV = 8,400
For Lignite Coal: Ash in Coal = 0.08; Boiler Ash Removal = 0.2, HHV = 7,200
&lt;-- </t>
    </r>
    <r>
      <rPr>
        <sz val="11"/>
        <rFont val="Arial"/>
        <family val="2"/>
      </rPr>
      <t>User Input (Usibelli Coal: Ash in Coal = 0.07; Boiler Ash Removal = 0.6; HHV = 7,560)</t>
    </r>
  </si>
  <si>
    <r>
      <t>&lt;-- User Input (</t>
    </r>
    <r>
      <rPr>
        <sz val="11"/>
        <color rgb="FF0070C0"/>
        <rFont val="Arial"/>
        <family val="2"/>
      </rPr>
      <t>http://www.gvea.com/rates/rates</t>
    </r>
    <r>
      <rPr>
        <sz val="11"/>
        <rFont val="Arial"/>
        <family val="2"/>
      </rPr>
      <t xml:space="preserve">) </t>
    </r>
  </si>
  <si>
    <r>
      <t>Unmilled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(682,000*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6,833,000*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</si>
  <si>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r>
      <t>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(750,000*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7,516,000*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</si>
  <si>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t>Engineering and construction management costs (CC Manual)</t>
  </si>
  <si>
    <t>Labor adjustment for 6 x 10 hour shift premium, per diem, etc. (CC Manual)</t>
  </si>
  <si>
    <t>Contractor profit and fees (CC Manual)</t>
  </si>
  <si>
    <r>
      <t>FOMO ($/kW yr) = (1 additional operators)*(2080)*</t>
    </r>
    <r>
      <rPr>
        <sz val="11"/>
        <color rgb="FF0070C0"/>
        <rFont val="Arial"/>
        <family val="2"/>
      </rPr>
      <t>U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</si>
  <si>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</si>
  <si>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>FOMA ($/kW yr) = 0.03*(</t>
    </r>
    <r>
      <rPr>
        <sz val="11"/>
        <color rgb="FF0070C0"/>
        <rFont val="Arial"/>
        <family val="2"/>
      </rPr>
      <t>FOMO</t>
    </r>
    <r>
      <rPr>
        <sz val="11"/>
        <color theme="1"/>
        <rFont val="Arial"/>
        <family val="2"/>
      </rPr>
      <t>+0.4*</t>
    </r>
    <r>
      <rPr>
        <sz val="11"/>
        <color rgb="FFFF0000"/>
        <rFont val="Arial"/>
        <family val="2"/>
      </rPr>
      <t>FOMM</t>
    </r>
    <r>
      <rPr>
        <sz val="11"/>
        <color theme="1"/>
        <rFont val="Arial"/>
        <family val="2"/>
      </rPr>
      <t>)</t>
    </r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</si>
  <si>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FOMA</t>
    </r>
  </si>
  <si>
    <r>
      <t xml:space="preserve">VOMR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</si>
  <si>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r>
      <t>VOMW ($/MWh) = (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+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00B050"/>
        <rFont val="Arial"/>
        <family val="2"/>
      </rPr>
      <t>A</t>
    </r>
  </si>
  <si>
    <r>
      <t xml:space="preserve">VOMP ($/MWh) = </t>
    </r>
    <r>
      <rPr>
        <sz val="11"/>
        <color rgb="FF0070C0"/>
        <rFont val="Arial"/>
        <family val="2"/>
      </rPr>
      <t>Q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T</t>
    </r>
    <r>
      <rPr>
        <sz val="11"/>
        <color theme="1"/>
        <rFont val="Arial"/>
        <family val="2"/>
      </rPr>
      <t>*10</t>
    </r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</si>
  <si>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</si>
  <si>
    <t>Total Fixed O&amp;M costs ($/kW yr)</t>
  </si>
  <si>
    <t>Total Variable O&amp;M Costs ($/MW yr)</t>
  </si>
  <si>
    <r>
      <t>Capital Recovery Factor (CRF) = [ i (1+i)</t>
    </r>
    <r>
      <rPr>
        <vertAlign val="superscript"/>
        <sz val="11"/>
        <rFont val="Arial"/>
        <family val="2"/>
      </rPr>
      <t xml:space="preserve">n </t>
    </r>
    <r>
      <rPr>
        <sz val="11"/>
        <rFont val="Arial"/>
        <family val="2"/>
      </rPr>
      <t>] / [ (1+i)</t>
    </r>
    <r>
      <rPr>
        <vertAlign val="superscript"/>
        <sz val="11"/>
        <rFont val="Arial"/>
        <family val="2"/>
      </rPr>
      <t>n</t>
    </r>
    <r>
      <rPr>
        <sz val="11"/>
        <rFont val="Arial"/>
        <family val="2"/>
      </rPr>
      <t xml:space="preserve"> - 1 ]</t>
    </r>
  </si>
  <si>
    <t xml:space="preserve">i  = Interest rate (%)                               </t>
  </si>
  <si>
    <t>n = Equipment life (years)</t>
  </si>
  <si>
    <t>CRF =</t>
  </si>
  <si>
    <r>
      <t xml:space="preserve">IPM Model - Updates to Cost and Performance for APC Technologies - Dry Sorbent Injection for SO2 Control Cost Development Methodology, March 2013, prepared by Sargent &amp; Lundy LLC for USEPA. </t>
    </r>
    <r>
      <rPr>
        <sz val="11"/>
        <color rgb="FF0070C0"/>
        <rFont val="Arial"/>
        <family val="2"/>
      </rPr>
      <t xml:space="preserve">https://www.epa.gov/sites/production/files/2015-07/documents/append5_4.pdf  </t>
    </r>
  </si>
  <si>
    <t>Includes - Equipment, installation, building, foundations, electrical, and a retrofit difficulty factor of 1.5</t>
  </si>
  <si>
    <r>
      <t>Unmilled Trona with an ESP = if(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&lt;40,0.0350*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,0.352e^(0.0345*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))                                                                                                                    Milled Trona with an ESP =      if(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&lt;40,0.0270*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,0.353e^(0.0280*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))                                                                                                                       Unmilled Trona with an BGH = if(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&lt;40,0.0215*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,0.295e^(0.0267*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 </t>
    </r>
    <r>
      <rPr>
        <sz val="11"/>
        <rFont val="Arial"/>
        <family val="2"/>
      </rPr>
      <t>Milled Trona with an BGH =      if(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&lt;40,0.0160*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,0.208e^(0.0281*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))</t>
    </r>
  </si>
  <si>
    <t>Spray Dry Absorber - Chena Power Plant</t>
  </si>
  <si>
    <t>Coal Factor</t>
  </si>
  <si>
    <t>Bituminous = 1, Sub-Bituminous=1.05, Lignite=1.07</t>
  </si>
  <si>
    <t>Heat Rate Factor</t>
  </si>
  <si>
    <t>C/10000</t>
  </si>
  <si>
    <t>A*C*1000</t>
  </si>
  <si>
    <t>Lime Rate</t>
  </si>
  <si>
    <r>
      <t>(0.6702*(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)+13.42*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 (Based on 95% SO2 Removal)</t>
    </r>
  </si>
  <si>
    <t>Waste Rate</t>
  </si>
  <si>
    <t>L</t>
  </si>
  <si>
    <r>
      <t>(0.8016*(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)+31.1917*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/2000 </t>
    </r>
  </si>
  <si>
    <r>
      <t>(0.000547*(</t>
    </r>
    <r>
      <rPr>
        <sz val="11"/>
        <color rgb="FF0070C0"/>
        <rFont val="Arial"/>
        <family val="2"/>
      </rPr>
      <t>D^2)</t>
    </r>
    <r>
      <rPr>
        <sz val="11"/>
        <color theme="1"/>
        <rFont val="Arial"/>
        <family val="2"/>
      </rPr>
      <t>+0.00649*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+1.3)*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Should be used for model input</t>
    </r>
  </si>
  <si>
    <t>Makeup Water Rate</t>
  </si>
  <si>
    <t>(1000 gph)</t>
  </si>
  <si>
    <r>
      <t>(0.04898*(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)+0.5925*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+55.11)*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</si>
  <si>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 Cost</t>
  </si>
  <si>
    <r>
      <t>&lt;-- User Input (</t>
    </r>
    <r>
      <rPr>
        <sz val="11"/>
        <color rgb="FF0070C0"/>
        <rFont val="Arial"/>
        <family val="2"/>
      </rPr>
      <t>https://www3.epa.gov/ttncatc1/dir1/ffdg.pdf</t>
    </r>
    <r>
      <rPr>
        <sz val="11"/>
        <rFont val="Arial"/>
        <family val="2"/>
      </rPr>
      <t>)</t>
    </r>
  </si>
  <si>
    <t>Makeup Water Cost</t>
  </si>
  <si>
    <t>($/1000 gal)</t>
  </si>
  <si>
    <r>
      <t>&lt;-- User Input (</t>
    </r>
    <r>
      <rPr>
        <sz val="11"/>
        <color rgb="FF0070C0"/>
        <rFont val="Arial"/>
        <family val="2"/>
      </rPr>
      <t>http://www.newsminer.com/water-rates/article_11a2ba10-c211-562e-8da9-87dd16a7b104.html</t>
    </r>
    <r>
      <rPr>
        <sz val="11"/>
        <rFont val="Arial"/>
        <family val="2"/>
      </rPr>
      <t>)</t>
    </r>
  </si>
  <si>
    <t>Labor cost including all benefits</t>
  </si>
  <si>
    <r>
      <t xml:space="preserve">IPM Model - Updates to Cost and Performance for APC Technologies - SDA FGD for SO2 Control Cost Development Methodology, March 2013, prepared by Sargent &amp; Lundy LLC for US EPA.                          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https://www.epa.gov/sites/production/files/2015-07/documents/chapter_5_appendix_5-1b_sda_fgd.pdf</t>
    </r>
    <r>
      <rPr>
        <sz val="11"/>
        <color theme="1"/>
        <rFont val="Arial"/>
        <family val="2"/>
      </rPr>
      <t xml:space="preserve">  </t>
    </r>
  </si>
  <si>
    <r>
      <t>BMR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*92,000) else 566,000*(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)^0.6*(</t>
    </r>
    <r>
      <rPr>
        <sz val="11"/>
        <color rgb="FFC00000"/>
        <rFont val="Arial"/>
        <family val="2"/>
      </rPr>
      <t>D</t>
    </r>
    <r>
      <rPr>
        <sz val="11"/>
        <color theme="1"/>
        <rFont val="Arial"/>
        <family val="2"/>
      </rPr>
      <t>/4)^0.01</t>
    </r>
  </si>
  <si>
    <t>Base module absorber island cost</t>
  </si>
  <si>
    <r>
      <t>BMF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*48,700) else 300,000*(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)^0.2</t>
    </r>
  </si>
  <si>
    <t>Base module reagent preparation and waste recycle/handling cost</t>
  </si>
  <si>
    <r>
      <t>BMB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*129,900) else 799,000*(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)^0.4</t>
    </r>
  </si>
  <si>
    <t>Base module balance of plan costs inlcuding: ID or booster fans, piping, ductwork, electrical, etc.</t>
  </si>
  <si>
    <t>BM ($) =   BMR + BMF + BMB</t>
  </si>
  <si>
    <t>Total base module cost including retrofit factor</t>
  </si>
  <si>
    <t>CECC ($/kW) - Excludes Owner's Costs =</t>
  </si>
  <si>
    <t>TPC ($/kW) - Include Owner's Costs =</t>
  </si>
  <si>
    <t>B2 = 10% of (CECC + B1)</t>
  </si>
  <si>
    <t>AFUDC (based on a 3 year engineering and construction cycle)</t>
  </si>
  <si>
    <t>TPC ($) - Includes Owner's Costs and AFUDC = CECC + B1 + B2</t>
  </si>
  <si>
    <t>TPC ($/kW) - Includes Owner's Costs and AFUDC =</t>
  </si>
  <si>
    <r>
      <t>FOMO ($/kW yr) = (4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</si>
  <si>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*0.015/(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</si>
  <si>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VOMR ($/MWh) = 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</si>
  <si>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lime reagent</t>
  </si>
  <si>
    <r>
      <t xml:space="preserve">VOMW ($/MWh) = </t>
    </r>
    <r>
      <rPr>
        <sz val="11"/>
        <color rgb="FF0070C0"/>
        <rFont val="Arial"/>
        <family val="2"/>
      </rPr>
      <t>L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Q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</si>
  <si>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waste disposal</t>
  </si>
  <si>
    <r>
      <t xml:space="preserve">VOMP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*10</t>
    </r>
  </si>
  <si>
    <t>Variable O&amp;M costs for additional auxiliary power required including additional fan power (Refer to Aux Power % above)</t>
  </si>
  <si>
    <r>
      <t xml:space="preserve">VOMM ($/MWh) = 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</si>
  <si>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makeup water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</si>
  <si>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>VOMM</t>
    </r>
  </si>
  <si>
    <t>Total Variable O&amp;M Costs</t>
  </si>
  <si>
    <t>Wet Scrubber - Chena Power Plant</t>
  </si>
  <si>
    <t>Bituminous = 1, Sub-Bituminous = 1.05, Lignite = 1.07</t>
  </si>
  <si>
    <r>
      <rPr>
        <sz val="11"/>
        <color rgb="FF0070C0"/>
        <rFont val="Arial"/>
        <family val="2"/>
      </rPr>
      <t>C</t>
    </r>
    <r>
      <rPr>
        <sz val="11"/>
        <color theme="1"/>
        <rFont val="Arial"/>
        <family val="2"/>
      </rPr>
      <t>/10000</t>
    </r>
  </si>
  <si>
    <t>Limestone Rate</t>
  </si>
  <si>
    <r>
      <t>17.52*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</t>
    </r>
  </si>
  <si>
    <r>
      <t>1.811*</t>
    </r>
    <r>
      <rPr>
        <sz val="11"/>
        <color rgb="FF0070C0"/>
        <rFont val="Arial"/>
        <family val="2"/>
      </rPr>
      <t>K</t>
    </r>
  </si>
  <si>
    <r>
      <t>(1.05e^(0.155*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 xml:space="preserve">G </t>
    </r>
  </si>
  <si>
    <r>
      <t>(1.674*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+74.68)*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</si>
  <si>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Limestone Cost</t>
  </si>
  <si>
    <r>
      <t xml:space="preserve">IPM Model - Updates to Cost and Performance for APC Technologies - Wet FGD for SO2 Control Cost Development Methodology, August 2010, prepared by Sargent &amp; Lundy LLC for US EPA.                        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https://www.epa.gov/sites/production/files/2015-07/documents/chapter_5_appendix_5-1a_wet_fgd.pdf</t>
    </r>
  </si>
  <si>
    <t>Includes - Equipment, installation, building, foundations, electrical, minor physical/chemical waste water treatment, and a retrofit difficulty factor of 1.5</t>
  </si>
  <si>
    <r>
      <t>BMR ($) = 550,000*(</t>
    </r>
    <r>
      <rPr>
        <sz val="11"/>
        <color rgb="FF0070C0"/>
        <rFont val="Arial"/>
        <family val="2"/>
      </rPr>
      <t>B)</t>
    </r>
    <r>
      <rPr>
        <sz val="11"/>
        <color theme="1"/>
        <rFont val="Arial"/>
        <family val="2"/>
      </rPr>
      <t>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)^0.6)*((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>/2)^0.02)*(</t>
    </r>
    <r>
      <rPr>
        <sz val="11"/>
        <color rgb="FFD576DC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</si>
  <si>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absorber island cost</t>
  </si>
  <si>
    <r>
      <t>BMF ($) = 190,000*(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)^0.3)*(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</si>
  <si>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reagent preparation cost</t>
  </si>
  <si>
    <r>
      <t>BMW ($) = 100,000*(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)^0.45)*(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</si>
  <si>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waste handling cost</t>
  </si>
  <si>
    <r>
      <t>BMB ($) = 1,010,000*(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</si>
  <si>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balance of plan cost including: ID or booster fans, new wet chimney, piping, ductwork, minor waste water treatment, etc…</t>
  </si>
  <si>
    <t xml:space="preserve">BMWW ($) = </t>
  </si>
  <si>
    <t>Base wastewater treatment facility, beyond minor physical/chemcial treatment</t>
  </si>
  <si>
    <r>
      <t xml:space="preserve">Base Module (BM) ($) = </t>
    </r>
    <r>
      <rPr>
        <sz val="11"/>
        <color rgb="FF0070C0"/>
        <rFont val="Arial"/>
        <family val="2"/>
      </rPr>
      <t>BMR</t>
    </r>
    <r>
      <rPr>
        <sz val="11"/>
        <color theme="1"/>
        <rFont val="Arial"/>
        <family val="2"/>
      </rPr>
      <t xml:space="preserve"> + </t>
    </r>
    <r>
      <rPr>
        <sz val="11"/>
        <color rgb="FFFF0000"/>
        <rFont val="Arial"/>
        <family val="2"/>
      </rPr>
      <t>BMF</t>
    </r>
    <r>
      <rPr>
        <sz val="11"/>
        <color theme="1"/>
        <rFont val="Arial"/>
        <family val="2"/>
      </rPr>
      <t xml:space="preserve"> + </t>
    </r>
    <r>
      <rPr>
        <sz val="11"/>
        <color rgb="FF7030A0"/>
        <rFont val="Arial"/>
        <family val="2"/>
      </rPr>
      <t>BMW</t>
    </r>
    <r>
      <rPr>
        <sz val="11"/>
        <color theme="1"/>
        <rFont val="Arial"/>
        <family val="2"/>
      </rPr>
      <t xml:space="preserve"> + </t>
    </r>
    <r>
      <rPr>
        <sz val="11"/>
        <color rgb="FF00B050"/>
        <rFont val="Arial"/>
        <family val="2"/>
      </rPr>
      <t>BMB</t>
    </r>
    <r>
      <rPr>
        <sz val="11"/>
        <color theme="1"/>
        <rFont val="Arial"/>
        <family val="2"/>
      </rPr>
      <t xml:space="preserve"> + </t>
    </r>
    <r>
      <rPr>
        <sz val="11"/>
        <color rgb="FFD576DC"/>
        <rFont val="Arial"/>
        <family val="2"/>
      </rPr>
      <t>BMWW</t>
    </r>
  </si>
  <si>
    <t>Total base cost including retrofit factor</t>
  </si>
  <si>
    <t>Base cost per kW</t>
  </si>
  <si>
    <t xml:space="preserve">TPC ($/kW) - Includes Owner's Costs and AFUDC = </t>
  </si>
  <si>
    <r>
      <t>FOMO ($/kW yr) = (6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</si>
  <si>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FOMWW ($/kW yr) =</t>
  </si>
  <si>
    <t>Fixed O&amp;M costs for wastewater treatment facility</t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</si>
  <si>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 xml:space="preserve">FOMA + </t>
    </r>
    <r>
      <rPr>
        <b/>
        <sz val="11"/>
        <color rgb="FF00B050"/>
        <rFont val="Arial"/>
        <family val="2"/>
      </rPr>
      <t>FOMWW</t>
    </r>
  </si>
  <si>
    <t>Variable O&amp;M costs for limestone reagent</t>
  </si>
  <si>
    <t xml:space="preserve">Variable O&amp;M costs for waste disposal </t>
  </si>
  <si>
    <t>VOMWW ($/MWh) =</t>
  </si>
  <si>
    <t>Variable O&amp;M costs for wastewater treatment facility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</si>
  <si>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 xml:space="preserve">VOMM </t>
    </r>
    <r>
      <rPr>
        <b/>
        <sz val="11"/>
        <rFont val="Arial"/>
        <family val="2"/>
      </rPr>
      <t>+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color rgb="FFD576DC"/>
        <rFont val="Arial"/>
        <family val="2"/>
      </rPr>
      <t>VOMWW</t>
    </r>
  </si>
  <si>
    <t>Does not include costs associated with building and maintaining a wastewater treatment facility</t>
  </si>
  <si>
    <t>Four Boilers Dry Sorbent Injection System - Chena Power Plant</t>
  </si>
  <si>
    <t>Four Boilers Spray Dry Absorber - Chena Power Plant</t>
  </si>
  <si>
    <t>Four Boilers Wet Scrubber - Chena Power Plant</t>
  </si>
  <si>
    <t>&lt;-- User Input (based on Stanly DSI quote)</t>
  </si>
  <si>
    <r>
      <t xml:space="preserve">&lt;-- User Input </t>
    </r>
    <r>
      <rPr>
        <sz val="11"/>
        <color rgb="FF00B050"/>
        <rFont val="Arial"/>
        <family val="2"/>
      </rPr>
      <t>(Gross Output based on sum of turbines rated size; 20MW, 5MW, and 2.5 MW)</t>
    </r>
  </si>
  <si>
    <r>
      <t xml:space="preserve">&lt;-- User Input </t>
    </r>
    <r>
      <rPr>
        <sz val="11"/>
        <color rgb="FF00B050"/>
        <rFont val="Arial"/>
        <family val="2"/>
      </rPr>
      <t>(Heat Rate is higher because district heating is not included in unit size, cell D4)</t>
    </r>
  </si>
  <si>
    <t>&lt;-- User Input (Labor cost including all benefits[AE 2016])</t>
  </si>
  <si>
    <r>
      <t xml:space="preserve">&lt;-- User Input </t>
    </r>
    <r>
      <rPr>
        <sz val="11"/>
        <color rgb="FF00B050"/>
        <rFont val="Arial"/>
        <family val="2"/>
      </rPr>
      <t>(Heat Rate is higher than default input because district heating is not included in unit size, cell D4)</t>
    </r>
  </si>
  <si>
    <t>E.F. is average from two most recent SO2 source tests accepted by the Department which occurred on November 19, 2011 and July 12,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</si>
</sst>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"/>
    <numFmt numFmtId="167" formatCode="_(&quot;$&quot;* #,##0.000_);_(&quot;$&quot;* \(#,##0.000\);_(&quot;$&quot;* &quot;-&quot;??_);_(@_)"/>
    <numFmt numFmtId="168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70C0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7030A0"/>
      <name val="Arial"/>
      <family val="2"/>
    </font>
    <font>
      <sz val="11"/>
      <color rgb="FF00B050"/>
      <name val="Arial"/>
      <family val="2"/>
    </font>
    <font>
      <b/>
      <sz val="11"/>
      <color rgb="FF7030A0"/>
      <name val="Arial"/>
      <family val="2"/>
    </font>
    <font>
      <sz val="11"/>
      <color rgb="FFC00000"/>
      <name val="Arial"/>
      <family val="2"/>
    </font>
    <font>
      <b/>
      <sz val="11"/>
      <color rgb="FF00B050"/>
      <name val="Arial"/>
      <family val="2"/>
    </font>
    <font>
      <sz val="11"/>
      <color rgb="FFD576DC"/>
      <name val="Arial"/>
      <family val="2"/>
    </font>
    <font>
      <b/>
      <sz val="11"/>
      <color rgb="FFD576D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44" fontId="6" fillId="0" borderId="0" xfId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top" indent="2"/>
    </xf>
    <xf numFmtId="0" fontId="7" fillId="0" borderId="11" xfId="0" applyFont="1" applyFill="1" applyBorder="1" applyAlignment="1">
      <alignment horizontal="justify" vertical="top" wrapText="1"/>
    </xf>
    <xf numFmtId="38" fontId="7" fillId="0" borderId="12" xfId="0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vertical="top"/>
    </xf>
    <xf numFmtId="0" fontId="1" fillId="0" borderId="6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justify" vertical="top" wrapText="1"/>
    </xf>
    <xf numFmtId="38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1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0" xfId="1" applyNumberFormat="1" applyFont="1" applyBorder="1" applyAlignment="1">
      <alignment horizontal="center" vertical="center"/>
    </xf>
    <xf numFmtId="1" fontId="6" fillId="0" borderId="0" xfId="2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4" fontId="1" fillId="0" borderId="0" xfId="1" applyFont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3"/>
    </xf>
    <xf numFmtId="0" fontId="2" fillId="0" borderId="8" xfId="0" applyFont="1" applyBorder="1" applyAlignment="1">
      <alignment horizontal="left" vertical="center" indent="2"/>
    </xf>
    <xf numFmtId="0" fontId="1" fillId="0" borderId="8" xfId="0" applyFont="1" applyBorder="1" applyAlignment="1">
      <alignment horizontal="left" vertical="center" indent="4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2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2" fontId="1" fillId="0" borderId="0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6" xfId="0" quotePrefix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2" xfId="0" quotePrefix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justify" vertical="center" wrapText="1"/>
    </xf>
    <xf numFmtId="38" fontId="7" fillId="0" borderId="12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justify" vertical="center" wrapText="1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top" indent="2"/>
    </xf>
    <xf numFmtId="44" fontId="1" fillId="0" borderId="0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top" indent="4"/>
    </xf>
    <xf numFmtId="166" fontId="10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sminer.com/water-rates/article_11a2ba10-c211-562e-8da9-87dd16a7b104.html" TargetMode="External"/><Relationship Id="rId2" Type="http://schemas.openxmlformats.org/officeDocument/2006/relationships/hyperlink" Target="https://www3.epa.gov/ttncatc1/dir1/ffdg.pdf" TargetMode="External"/><Relationship Id="rId1" Type="http://schemas.openxmlformats.org/officeDocument/2006/relationships/hyperlink" Target="https://www3.epa.gov/ttncatc1/dir1/ffdg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sminer.com/water-rates/article_11a2ba10-c211-562e-8da9-87dd16a7b104.html" TargetMode="External"/><Relationship Id="rId2" Type="http://schemas.openxmlformats.org/officeDocument/2006/relationships/hyperlink" Target="https://www3.epa.gov/ttncatc1/dir1/ffdg.pdf" TargetMode="External"/><Relationship Id="rId1" Type="http://schemas.openxmlformats.org/officeDocument/2006/relationships/hyperlink" Target="https://www3.epa.gov/ttncatc1/dir1/ffdg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view="pageLayout" zoomScale="80" zoomScaleNormal="100" zoomScalePageLayoutView="80" workbookViewId="0">
      <selection activeCell="D7" sqref="D7"/>
    </sheetView>
  </sheetViews>
  <sheetFormatPr defaultColWidth="8.81640625" defaultRowHeight="14" x14ac:dyDescent="0.35"/>
  <cols>
    <col min="1" max="1" width="38.1796875" style="1" customWidth="1"/>
    <col min="2" max="2" width="24.7265625" style="1" customWidth="1"/>
    <col min="3" max="3" width="13.26953125" style="3" customWidth="1"/>
    <col min="4" max="4" width="15.7265625" style="3" bestFit="1" customWidth="1"/>
    <col min="5" max="5" width="16.453125" style="3" customWidth="1"/>
    <col min="6" max="6" width="101.81640625" style="1" customWidth="1"/>
    <col min="7" max="7" width="11" style="1" bestFit="1" customWidth="1"/>
    <col min="8" max="8" width="14.26953125" style="1" bestFit="1" customWidth="1"/>
    <col min="9" max="16384" width="8.81640625" style="1"/>
  </cols>
  <sheetData>
    <row r="1" spans="1:7" ht="15.5" x14ac:dyDescent="0.35">
      <c r="A1" s="177" t="s">
        <v>224</v>
      </c>
      <c r="B1" s="177"/>
      <c r="C1" s="177"/>
      <c r="D1" s="177"/>
      <c r="E1" s="177"/>
      <c r="F1" s="177"/>
      <c r="G1" s="10"/>
    </row>
    <row r="2" spans="1:7" ht="14.5" thickBot="1" x14ac:dyDescent="0.4">
      <c r="A2" s="10"/>
      <c r="B2" s="10"/>
      <c r="C2" s="11"/>
      <c r="D2" s="11"/>
      <c r="E2" s="11"/>
      <c r="F2" s="10"/>
      <c r="G2" s="10"/>
    </row>
    <row r="3" spans="1:7" s="2" customFormat="1" x14ac:dyDescent="0.35">
      <c r="A3" s="99" t="s">
        <v>0</v>
      </c>
      <c r="B3" s="100" t="s">
        <v>1</v>
      </c>
      <c r="C3" s="100" t="s">
        <v>2</v>
      </c>
      <c r="D3" s="100" t="s">
        <v>3</v>
      </c>
      <c r="E3" s="178" t="s">
        <v>4</v>
      </c>
      <c r="F3" s="179"/>
    </row>
    <row r="4" spans="1:7" x14ac:dyDescent="0.35">
      <c r="A4" s="46" t="s">
        <v>32</v>
      </c>
      <c r="B4" s="5" t="s">
        <v>5</v>
      </c>
      <c r="C4" s="5" t="s">
        <v>23</v>
      </c>
      <c r="D4" s="84">
        <v>27.5</v>
      </c>
      <c r="E4" s="174" t="s">
        <v>228</v>
      </c>
      <c r="F4" s="173"/>
    </row>
    <row r="5" spans="1:7" ht="30" customHeight="1" x14ac:dyDescent="0.35">
      <c r="A5" s="46" t="s">
        <v>37</v>
      </c>
      <c r="B5" s="5" t="s">
        <v>6</v>
      </c>
      <c r="C5" s="5"/>
      <c r="D5" s="84">
        <v>1.5</v>
      </c>
      <c r="E5" s="174" t="s">
        <v>113</v>
      </c>
      <c r="F5" s="173"/>
    </row>
    <row r="6" spans="1:7" x14ac:dyDescent="0.35">
      <c r="A6" s="46" t="s">
        <v>38</v>
      </c>
      <c r="B6" s="5" t="s">
        <v>7</v>
      </c>
      <c r="C6" s="5" t="s">
        <v>24</v>
      </c>
      <c r="D6" s="85">
        <v>18000</v>
      </c>
      <c r="E6" s="174" t="s">
        <v>229</v>
      </c>
      <c r="F6" s="173"/>
    </row>
    <row r="7" spans="1:7" x14ac:dyDescent="0.35">
      <c r="A7" s="46" t="s">
        <v>39</v>
      </c>
      <c r="B7" s="5" t="s">
        <v>22</v>
      </c>
      <c r="C7" s="5" t="s">
        <v>25</v>
      </c>
      <c r="D7" s="171">
        <f>AVERAGE(0.471,0.131)</f>
        <v>0.30099999999999999</v>
      </c>
      <c r="E7" s="172" t="s">
        <v>232</v>
      </c>
      <c r="F7" s="173"/>
    </row>
    <row r="8" spans="1:7" x14ac:dyDescent="0.35">
      <c r="A8" s="46" t="s">
        <v>40</v>
      </c>
      <c r="B8" s="5" t="s">
        <v>8</v>
      </c>
      <c r="C8" s="5"/>
      <c r="D8" s="5" t="s">
        <v>45</v>
      </c>
      <c r="E8" s="174" t="s">
        <v>33</v>
      </c>
      <c r="F8" s="173"/>
    </row>
    <row r="9" spans="1:7" x14ac:dyDescent="0.35">
      <c r="A9" s="46" t="s">
        <v>41</v>
      </c>
      <c r="B9" s="5" t="s">
        <v>9</v>
      </c>
      <c r="C9" s="5"/>
      <c r="D9" s="5" t="s">
        <v>42</v>
      </c>
      <c r="E9" s="174" t="s">
        <v>33</v>
      </c>
      <c r="F9" s="173"/>
    </row>
    <row r="10" spans="1:7" x14ac:dyDescent="0.35">
      <c r="A10" s="46" t="s">
        <v>43</v>
      </c>
      <c r="B10" s="5" t="s">
        <v>10</v>
      </c>
      <c r="C10" s="26"/>
      <c r="D10" s="4" t="b">
        <v>1</v>
      </c>
      <c r="E10" s="174" t="s">
        <v>34</v>
      </c>
      <c r="F10" s="173"/>
    </row>
    <row r="11" spans="1:7" ht="75" customHeight="1" x14ac:dyDescent="0.35">
      <c r="A11" s="46" t="s">
        <v>44</v>
      </c>
      <c r="B11" s="5" t="s">
        <v>11</v>
      </c>
      <c r="C11" s="5" t="s">
        <v>26</v>
      </c>
      <c r="D11" s="84">
        <v>80</v>
      </c>
      <c r="E11" s="175" t="s">
        <v>35</v>
      </c>
      <c r="F11" s="176"/>
    </row>
    <row r="12" spans="1:7" x14ac:dyDescent="0.35">
      <c r="A12" s="46" t="s">
        <v>46</v>
      </c>
      <c r="B12" s="5" t="s">
        <v>12</v>
      </c>
      <c r="C12" s="5" t="s">
        <v>27</v>
      </c>
      <c r="D12" s="85">
        <f>D4*D6*1000</f>
        <v>495000000</v>
      </c>
      <c r="E12" s="174" t="s">
        <v>114</v>
      </c>
      <c r="F12" s="173"/>
    </row>
    <row r="13" spans="1:7" ht="63" customHeight="1" x14ac:dyDescent="0.35">
      <c r="A13" s="46" t="s">
        <v>47</v>
      </c>
      <c r="B13" s="5" t="s">
        <v>13</v>
      </c>
      <c r="C13" s="5"/>
      <c r="D13" s="7">
        <f>IF(D11&lt;40,0.016*D11,0.208*EXP(0.0281*D11))</f>
        <v>1.9695061001228062</v>
      </c>
      <c r="E13" s="175" t="s">
        <v>140</v>
      </c>
      <c r="F13" s="176"/>
    </row>
    <row r="14" spans="1:7" ht="15" customHeight="1" x14ac:dyDescent="0.35">
      <c r="A14" s="46" t="s">
        <v>48</v>
      </c>
      <c r="B14" s="5" t="s">
        <v>14</v>
      </c>
      <c r="C14" s="5" t="s">
        <v>28</v>
      </c>
      <c r="D14" s="7">
        <f>(0.0000012011)*D13*D4*D6*D7</f>
        <v>0.35245866488288363</v>
      </c>
      <c r="E14" s="174" t="s">
        <v>115</v>
      </c>
      <c r="F14" s="173"/>
    </row>
    <row r="15" spans="1:7" ht="14.25" customHeight="1" x14ac:dyDescent="0.35">
      <c r="A15" s="46" t="s">
        <v>49</v>
      </c>
      <c r="B15" s="5" t="s">
        <v>15</v>
      </c>
      <c r="C15" s="5" t="s">
        <v>28</v>
      </c>
      <c r="D15" s="79">
        <f>(0.7035-0.00073696*D11/D13)*D14</f>
        <v>0.23740388595065104</v>
      </c>
      <c r="E15" s="175" t="s">
        <v>116</v>
      </c>
      <c r="F15" s="176"/>
    </row>
    <row r="16" spans="1:7" ht="78" customHeight="1" x14ac:dyDescent="0.35">
      <c r="A16" s="47" t="s">
        <v>100</v>
      </c>
      <c r="B16" s="5" t="s">
        <v>16</v>
      </c>
      <c r="C16" s="5" t="s">
        <v>28</v>
      </c>
      <c r="D16" s="86">
        <f>(D12/1000)*0.07*(1-0.6)/(2*7560)</f>
        <v>0.91666666666666663</v>
      </c>
      <c r="E16" s="175" t="s">
        <v>117</v>
      </c>
      <c r="F16" s="176"/>
    </row>
    <row r="17" spans="1:6" x14ac:dyDescent="0.35">
      <c r="A17" s="98" t="s">
        <v>101</v>
      </c>
      <c r="B17" s="4" t="s">
        <v>17</v>
      </c>
      <c r="C17" s="4" t="s">
        <v>26</v>
      </c>
      <c r="D17" s="127">
        <f>D14*20/D4</f>
        <v>0.25633357446027899</v>
      </c>
      <c r="E17" s="174" t="s">
        <v>36</v>
      </c>
      <c r="F17" s="173"/>
    </row>
    <row r="18" spans="1:6" x14ac:dyDescent="0.35">
      <c r="A18" s="46" t="s">
        <v>50</v>
      </c>
      <c r="B18" s="5" t="s">
        <v>18</v>
      </c>
      <c r="C18" s="5" t="s">
        <v>29</v>
      </c>
      <c r="D18" s="84">
        <v>550</v>
      </c>
      <c r="E18" s="182" t="s">
        <v>227</v>
      </c>
      <c r="F18" s="183"/>
    </row>
    <row r="19" spans="1:6" x14ac:dyDescent="0.35">
      <c r="A19" s="46" t="s">
        <v>51</v>
      </c>
      <c r="B19" s="5" t="s">
        <v>19</v>
      </c>
      <c r="C19" s="5" t="s">
        <v>29</v>
      </c>
      <c r="D19" s="88">
        <v>50</v>
      </c>
      <c r="E19" s="175"/>
      <c r="F19" s="176"/>
    </row>
    <row r="20" spans="1:6" x14ac:dyDescent="0.35">
      <c r="A20" s="46" t="s">
        <v>52</v>
      </c>
      <c r="B20" s="5" t="s">
        <v>20</v>
      </c>
      <c r="C20" s="5" t="s">
        <v>30</v>
      </c>
      <c r="D20" s="86">
        <v>0.21</v>
      </c>
      <c r="E20" s="182" t="s">
        <v>118</v>
      </c>
      <c r="F20" s="183"/>
    </row>
    <row r="21" spans="1:6" ht="14.5" thickBot="1" x14ac:dyDescent="0.4">
      <c r="A21" s="105" t="s">
        <v>53</v>
      </c>
      <c r="B21" s="106" t="s">
        <v>21</v>
      </c>
      <c r="C21" s="106" t="s">
        <v>31</v>
      </c>
      <c r="D21" s="107">
        <v>63</v>
      </c>
      <c r="E21" s="184" t="s">
        <v>230</v>
      </c>
      <c r="F21" s="185"/>
    </row>
    <row r="22" spans="1:6" ht="30" customHeight="1" thickBot="1" x14ac:dyDescent="0.4">
      <c r="A22" s="186" t="s">
        <v>138</v>
      </c>
      <c r="B22" s="187"/>
      <c r="C22" s="187"/>
      <c r="D22" s="187"/>
      <c r="E22" s="187"/>
      <c r="F22" s="188"/>
    </row>
    <row r="23" spans="1:6" ht="14.5" thickBot="1" x14ac:dyDescent="0.4">
      <c r="A23" s="27" t="s">
        <v>86</v>
      </c>
      <c r="B23" s="28"/>
      <c r="C23" s="29"/>
      <c r="D23" s="29"/>
      <c r="E23" s="102" t="s">
        <v>56</v>
      </c>
      <c r="F23" s="31"/>
    </row>
    <row r="24" spans="1:6" x14ac:dyDescent="0.35">
      <c r="A24" s="121"/>
      <c r="B24" s="122"/>
      <c r="C24" s="123"/>
      <c r="D24" s="123"/>
      <c r="E24" s="124"/>
      <c r="F24" s="125"/>
    </row>
    <row r="25" spans="1:6" x14ac:dyDescent="0.35">
      <c r="A25" s="25" t="s">
        <v>139</v>
      </c>
      <c r="B25" s="10"/>
      <c r="C25" s="11"/>
      <c r="D25" s="11"/>
      <c r="E25" s="11"/>
      <c r="F25" s="12"/>
    </row>
    <row r="26" spans="1:6" x14ac:dyDescent="0.35">
      <c r="A26" s="9"/>
      <c r="B26" s="10"/>
      <c r="C26" s="11"/>
      <c r="D26" s="11"/>
      <c r="E26" s="11"/>
      <c r="F26" s="12"/>
    </row>
    <row r="27" spans="1:6" x14ac:dyDescent="0.35">
      <c r="A27" s="25" t="s">
        <v>54</v>
      </c>
      <c r="B27" s="10"/>
      <c r="C27" s="109" t="s">
        <v>55</v>
      </c>
      <c r="D27" s="13">
        <v>14169111</v>
      </c>
      <c r="E27" s="108" t="s">
        <v>57</v>
      </c>
      <c r="F27" s="12"/>
    </row>
    <row r="28" spans="1:6" x14ac:dyDescent="0.35">
      <c r="A28" s="110" t="s">
        <v>119</v>
      </c>
      <c r="B28" s="10"/>
      <c r="C28" s="11"/>
      <c r="D28" s="11"/>
      <c r="E28" s="108"/>
      <c r="F28" s="12"/>
    </row>
    <row r="29" spans="1:6" x14ac:dyDescent="0.35">
      <c r="A29" s="110" t="s">
        <v>120</v>
      </c>
      <c r="B29" s="10"/>
      <c r="C29" s="11"/>
      <c r="D29" s="11"/>
      <c r="E29" s="108"/>
      <c r="F29" s="12"/>
    </row>
    <row r="30" spans="1:6" x14ac:dyDescent="0.35">
      <c r="A30" s="25" t="s">
        <v>58</v>
      </c>
      <c r="B30" s="10"/>
      <c r="C30" s="109" t="s">
        <v>55</v>
      </c>
      <c r="D30" s="13">
        <f>D27/(D4*1000)</f>
        <v>515.24040000000002</v>
      </c>
      <c r="E30" s="108" t="s">
        <v>59</v>
      </c>
      <c r="F30" s="12"/>
    </row>
    <row r="31" spans="1:6" x14ac:dyDescent="0.35">
      <c r="A31" s="9"/>
      <c r="B31" s="10"/>
      <c r="C31" s="11"/>
      <c r="D31" s="11"/>
      <c r="E31" s="108"/>
      <c r="F31" s="12"/>
    </row>
    <row r="32" spans="1:6" x14ac:dyDescent="0.35">
      <c r="A32" s="14" t="s">
        <v>60</v>
      </c>
      <c r="B32" s="10"/>
      <c r="C32" s="11"/>
      <c r="D32" s="11"/>
      <c r="E32" s="108"/>
      <c r="F32" s="12"/>
    </row>
    <row r="33" spans="1:6" x14ac:dyDescent="0.35">
      <c r="A33" s="14"/>
      <c r="B33" s="10"/>
      <c r="C33" s="11"/>
      <c r="D33" s="11"/>
      <c r="E33" s="108"/>
      <c r="F33" s="12"/>
    </row>
    <row r="34" spans="1:6" x14ac:dyDescent="0.35">
      <c r="A34" s="25" t="s">
        <v>108</v>
      </c>
      <c r="B34" s="10"/>
      <c r="C34" s="109" t="s">
        <v>55</v>
      </c>
      <c r="D34" s="15">
        <f>0.1*$D$27</f>
        <v>1416911.1</v>
      </c>
      <c r="E34" s="97" t="s">
        <v>121</v>
      </c>
      <c r="F34" s="12"/>
    </row>
    <row r="35" spans="1:6" x14ac:dyDescent="0.35">
      <c r="A35" s="25" t="s">
        <v>109</v>
      </c>
      <c r="B35" s="10"/>
      <c r="C35" s="109" t="s">
        <v>55</v>
      </c>
      <c r="D35" s="15">
        <f>0.1*$D$27</f>
        <v>1416911.1</v>
      </c>
      <c r="E35" s="97" t="s">
        <v>122</v>
      </c>
      <c r="F35" s="12"/>
    </row>
    <row r="36" spans="1:6" x14ac:dyDescent="0.35">
      <c r="A36" s="25" t="s">
        <v>110</v>
      </c>
      <c r="B36" s="10"/>
      <c r="C36" s="109" t="s">
        <v>55</v>
      </c>
      <c r="D36" s="15">
        <f>0.1*$D$27</f>
        <v>1416911.1</v>
      </c>
      <c r="E36" s="97" t="s">
        <v>123</v>
      </c>
      <c r="F36" s="12"/>
    </row>
    <row r="37" spans="1:6" x14ac:dyDescent="0.35">
      <c r="A37" s="9"/>
      <c r="B37" s="10"/>
      <c r="C37" s="11"/>
      <c r="D37" s="11"/>
      <c r="E37" s="108"/>
      <c r="F37" s="12"/>
    </row>
    <row r="38" spans="1:6" x14ac:dyDescent="0.35">
      <c r="A38" s="111" t="s">
        <v>63</v>
      </c>
      <c r="B38" s="10"/>
      <c r="C38" s="109" t="s">
        <v>55</v>
      </c>
      <c r="D38" s="78">
        <f>D27+D34+D35+D36</f>
        <v>18419844.300000001</v>
      </c>
      <c r="E38" s="108" t="s">
        <v>102</v>
      </c>
      <c r="F38" s="12"/>
    </row>
    <row r="39" spans="1:6" x14ac:dyDescent="0.35">
      <c r="A39" s="111" t="s">
        <v>64</v>
      </c>
      <c r="B39" s="10"/>
      <c r="C39" s="109" t="s">
        <v>55</v>
      </c>
      <c r="D39" s="87">
        <f>D38/(D4*1000)</f>
        <v>669.81252000000006</v>
      </c>
      <c r="E39" s="108" t="s">
        <v>65</v>
      </c>
      <c r="F39" s="12"/>
    </row>
    <row r="40" spans="1:6" x14ac:dyDescent="0.35">
      <c r="A40" s="111"/>
      <c r="B40" s="10"/>
      <c r="C40" s="109"/>
      <c r="D40" s="87"/>
      <c r="E40" s="108"/>
      <c r="F40" s="12"/>
    </row>
    <row r="41" spans="1:6" ht="14.25" customHeight="1" x14ac:dyDescent="0.35">
      <c r="A41" s="25" t="s">
        <v>66</v>
      </c>
      <c r="B41" s="10"/>
      <c r="C41" s="109" t="s">
        <v>55</v>
      </c>
      <c r="D41" s="15">
        <f>0.05*D38</f>
        <v>920992.21500000008</v>
      </c>
      <c r="E41" s="180" t="s">
        <v>67</v>
      </c>
      <c r="F41" s="181"/>
    </row>
    <row r="42" spans="1:6" x14ac:dyDescent="0.35">
      <c r="A42" s="9"/>
      <c r="B42" s="10"/>
      <c r="C42" s="109"/>
      <c r="D42" s="15"/>
      <c r="E42" s="108"/>
      <c r="F42" s="12"/>
    </row>
    <row r="43" spans="1:6" x14ac:dyDescent="0.35">
      <c r="A43" s="111" t="s">
        <v>69</v>
      </c>
      <c r="B43" s="10"/>
      <c r="C43" s="109" t="s">
        <v>55</v>
      </c>
      <c r="D43" s="78">
        <f>D38+D41</f>
        <v>19340836.515000001</v>
      </c>
      <c r="E43" s="108" t="s">
        <v>105</v>
      </c>
      <c r="F43" s="12"/>
    </row>
    <row r="44" spans="1:6" x14ac:dyDescent="0.35">
      <c r="A44" s="111" t="s">
        <v>72</v>
      </c>
      <c r="B44" s="10"/>
      <c r="C44" s="109" t="s">
        <v>55</v>
      </c>
      <c r="D44" s="87">
        <f>D43/(D4*1000)</f>
        <v>703.30314599999997</v>
      </c>
      <c r="E44" s="108" t="s">
        <v>71</v>
      </c>
      <c r="F44" s="12"/>
    </row>
    <row r="45" spans="1:6" x14ac:dyDescent="0.35">
      <c r="A45" s="111"/>
      <c r="B45" s="10"/>
      <c r="C45" s="109"/>
      <c r="D45" s="87"/>
      <c r="E45" s="108"/>
      <c r="F45" s="12"/>
    </row>
    <row r="46" spans="1:6" x14ac:dyDescent="0.35">
      <c r="A46" s="25" t="s">
        <v>73</v>
      </c>
      <c r="B46" s="10"/>
      <c r="C46" s="109" t="s">
        <v>55</v>
      </c>
      <c r="D46" s="11"/>
      <c r="E46" s="108" t="s">
        <v>99</v>
      </c>
      <c r="F46" s="12"/>
    </row>
    <row r="47" spans="1:6" x14ac:dyDescent="0.35">
      <c r="A47" s="9"/>
      <c r="B47" s="10"/>
      <c r="C47" s="109"/>
      <c r="D47" s="11"/>
      <c r="E47" s="108"/>
      <c r="F47" s="12"/>
    </row>
    <row r="48" spans="1:6" x14ac:dyDescent="0.35">
      <c r="A48" s="111" t="s">
        <v>75</v>
      </c>
      <c r="B48" s="37"/>
      <c r="C48" s="32" t="s">
        <v>55</v>
      </c>
      <c r="D48" s="78">
        <v>20604000</v>
      </c>
      <c r="E48" s="39" t="s">
        <v>70</v>
      </c>
      <c r="F48" s="40"/>
    </row>
    <row r="49" spans="1:6" x14ac:dyDescent="0.35">
      <c r="A49" s="111" t="s">
        <v>74</v>
      </c>
      <c r="B49" s="10"/>
      <c r="C49" s="109" t="s">
        <v>55</v>
      </c>
      <c r="D49" s="87">
        <f>D48/(D4*1000)</f>
        <v>749.23636363636365</v>
      </c>
      <c r="E49" s="39" t="s">
        <v>76</v>
      </c>
      <c r="F49" s="40"/>
    </row>
    <row r="50" spans="1:6" ht="14.5" thickBot="1" x14ac:dyDescent="0.4">
      <c r="A50" s="42"/>
      <c r="B50" s="43"/>
      <c r="C50" s="43"/>
      <c r="D50" s="43"/>
      <c r="E50" s="43"/>
      <c r="F50" s="45"/>
    </row>
    <row r="51" spans="1:6" x14ac:dyDescent="0.35">
      <c r="A51" s="120"/>
      <c r="B51" s="10"/>
      <c r="C51" s="109"/>
      <c r="D51" s="87"/>
      <c r="E51" s="39"/>
      <c r="F51" s="10"/>
    </row>
    <row r="52" spans="1:6" x14ac:dyDescent="0.35">
      <c r="A52" s="120"/>
      <c r="B52" s="10"/>
      <c r="C52" s="109"/>
      <c r="D52" s="87"/>
      <c r="E52" s="39"/>
      <c r="F52" s="10"/>
    </row>
    <row r="53" spans="1:6" x14ac:dyDescent="0.35">
      <c r="A53" s="120"/>
      <c r="B53" s="10"/>
      <c r="C53" s="109"/>
      <c r="D53" s="87"/>
      <c r="E53" s="39"/>
      <c r="F53" s="10"/>
    </row>
    <row r="54" spans="1:6" x14ac:dyDescent="0.35">
      <c r="A54" s="120"/>
      <c r="B54" s="10"/>
      <c r="C54" s="109"/>
      <c r="D54" s="87"/>
      <c r="E54" s="39"/>
      <c r="F54" s="10"/>
    </row>
    <row r="55" spans="1:6" x14ac:dyDescent="0.35">
      <c r="A55" s="120"/>
      <c r="B55" s="10"/>
      <c r="C55" s="109"/>
      <c r="D55" s="87"/>
      <c r="E55" s="39"/>
      <c r="F55" s="10"/>
    </row>
    <row r="56" spans="1:6" x14ac:dyDescent="0.35">
      <c r="A56" s="120"/>
      <c r="B56" s="10"/>
      <c r="C56" s="109"/>
      <c r="D56" s="87"/>
      <c r="E56" s="39"/>
      <c r="F56" s="10"/>
    </row>
    <row r="57" spans="1:6" ht="15.5" x14ac:dyDescent="0.35">
      <c r="A57" s="177" t="s">
        <v>112</v>
      </c>
      <c r="B57" s="177"/>
      <c r="C57" s="177"/>
      <c r="D57" s="177"/>
      <c r="E57" s="177"/>
      <c r="F57" s="177"/>
    </row>
    <row r="58" spans="1:6" ht="14.5" thickBot="1" x14ac:dyDescent="0.4">
      <c r="A58" s="37"/>
      <c r="B58" s="10"/>
      <c r="C58" s="91"/>
      <c r="D58" s="87"/>
      <c r="E58" s="89"/>
      <c r="F58" s="10"/>
    </row>
    <row r="59" spans="1:6" x14ac:dyDescent="0.35">
      <c r="A59" s="92"/>
      <c r="B59" s="93"/>
      <c r="C59" s="94"/>
      <c r="D59" s="94"/>
      <c r="E59" s="95"/>
      <c r="F59" s="96"/>
    </row>
    <row r="60" spans="1:6" x14ac:dyDescent="0.35">
      <c r="A60" s="52" t="s">
        <v>87</v>
      </c>
      <c r="B60" s="48"/>
      <c r="C60" s="49"/>
      <c r="D60" s="49"/>
      <c r="E60" s="101"/>
      <c r="F60" s="51"/>
    </row>
    <row r="61" spans="1:6" x14ac:dyDescent="0.35">
      <c r="A61" s="16" t="s">
        <v>111</v>
      </c>
      <c r="B61" s="17"/>
      <c r="C61" s="18"/>
      <c r="D61" s="18"/>
      <c r="E61" s="36"/>
      <c r="F61" s="19"/>
    </row>
    <row r="62" spans="1:6" x14ac:dyDescent="0.35">
      <c r="A62" s="9"/>
      <c r="B62" s="10"/>
      <c r="C62" s="11"/>
      <c r="D62" s="11"/>
      <c r="E62" s="89"/>
      <c r="F62" s="12"/>
    </row>
    <row r="63" spans="1:6" x14ac:dyDescent="0.35">
      <c r="A63" s="25" t="s">
        <v>124</v>
      </c>
      <c r="B63" s="10"/>
      <c r="C63" s="91" t="s">
        <v>55</v>
      </c>
      <c r="D63" s="90">
        <f>1*2080*D21/(D4*1000)</f>
        <v>4.765090909090909</v>
      </c>
      <c r="E63" s="89" t="s">
        <v>79</v>
      </c>
      <c r="F63" s="12"/>
    </row>
    <row r="64" spans="1:6" x14ac:dyDescent="0.35">
      <c r="A64" s="25" t="s">
        <v>125</v>
      </c>
      <c r="B64" s="10"/>
      <c r="C64" s="91" t="s">
        <v>55</v>
      </c>
      <c r="D64" s="90">
        <f>D27*0.01/(D5*D4*1000)</f>
        <v>3.4349360000000004</v>
      </c>
      <c r="E64" s="89" t="s">
        <v>80</v>
      </c>
      <c r="F64" s="12"/>
    </row>
    <row r="65" spans="1:8" x14ac:dyDescent="0.35">
      <c r="A65" s="25" t="s">
        <v>126</v>
      </c>
      <c r="B65" s="10"/>
      <c r="C65" s="91" t="s">
        <v>55</v>
      </c>
      <c r="D65" s="90">
        <f>0.03*(D63+0.4*D64)</f>
        <v>0.18417195927272728</v>
      </c>
      <c r="E65" s="89" t="s">
        <v>81</v>
      </c>
      <c r="F65" s="12"/>
    </row>
    <row r="66" spans="1:8" x14ac:dyDescent="0.35">
      <c r="A66" s="9"/>
      <c r="B66" s="10"/>
      <c r="C66" s="11"/>
      <c r="D66" s="90"/>
      <c r="E66" s="89"/>
      <c r="F66" s="12"/>
    </row>
    <row r="67" spans="1:8" s="2" customFormat="1" x14ac:dyDescent="0.35">
      <c r="A67" s="111" t="s">
        <v>127</v>
      </c>
      <c r="B67" s="37"/>
      <c r="C67" s="32" t="s">
        <v>55</v>
      </c>
      <c r="D67" s="38">
        <f>D63+D64+D65</f>
        <v>8.3841988683636366</v>
      </c>
      <c r="E67" s="39" t="s">
        <v>132</v>
      </c>
      <c r="F67" s="40"/>
    </row>
    <row r="68" spans="1:8" x14ac:dyDescent="0.35">
      <c r="A68" s="9"/>
      <c r="B68" s="10"/>
      <c r="C68" s="11"/>
      <c r="D68" s="90"/>
      <c r="E68" s="89"/>
      <c r="F68" s="12"/>
    </row>
    <row r="69" spans="1:8" s="2" customFormat="1" x14ac:dyDescent="0.35">
      <c r="A69" s="16" t="s">
        <v>78</v>
      </c>
      <c r="B69" s="17"/>
      <c r="C69" s="18"/>
      <c r="D69" s="18"/>
      <c r="E69" s="36"/>
      <c r="F69" s="19"/>
    </row>
    <row r="70" spans="1:8" s="2" customFormat="1" x14ac:dyDescent="0.35">
      <c r="A70" s="14"/>
      <c r="B70" s="37"/>
      <c r="C70" s="41"/>
      <c r="D70" s="38"/>
      <c r="E70" s="39"/>
      <c r="F70" s="40"/>
    </row>
    <row r="71" spans="1:8" x14ac:dyDescent="0.35">
      <c r="A71" s="25" t="s">
        <v>128</v>
      </c>
      <c r="B71" s="10"/>
      <c r="C71" s="91" t="s">
        <v>55</v>
      </c>
      <c r="D71" s="90">
        <f>D14*D18/D4</f>
        <v>7.0491732976576724</v>
      </c>
      <c r="E71" s="89" t="s">
        <v>83</v>
      </c>
      <c r="F71" s="12"/>
    </row>
    <row r="72" spans="1:8" ht="13.9" customHeight="1" x14ac:dyDescent="0.35">
      <c r="A72" s="25" t="s">
        <v>129</v>
      </c>
      <c r="B72" s="10"/>
      <c r="C72" s="109" t="s">
        <v>55</v>
      </c>
      <c r="D72" s="103">
        <f>(D15+D16)*D19/D4</f>
        <v>2.0983100956678502</v>
      </c>
      <c r="E72" s="108" t="s">
        <v>84</v>
      </c>
      <c r="F72" s="126"/>
      <c r="H72" s="81"/>
    </row>
    <row r="73" spans="1:8" x14ac:dyDescent="0.35">
      <c r="A73" s="25" t="s">
        <v>130</v>
      </c>
      <c r="B73" s="10"/>
      <c r="C73" s="91" t="s">
        <v>55</v>
      </c>
      <c r="D73" s="80">
        <f>D17*D20*10</f>
        <v>0.53830050636658588</v>
      </c>
      <c r="E73" s="180" t="s">
        <v>85</v>
      </c>
      <c r="F73" s="181"/>
    </row>
    <row r="74" spans="1:8" x14ac:dyDescent="0.35">
      <c r="A74" s="9"/>
      <c r="B74" s="10"/>
      <c r="C74" s="11"/>
      <c r="D74" s="90"/>
      <c r="E74" s="89"/>
      <c r="F74" s="12"/>
    </row>
    <row r="75" spans="1:8" x14ac:dyDescent="0.35">
      <c r="A75" s="111" t="s">
        <v>131</v>
      </c>
      <c r="B75" s="37"/>
      <c r="C75" s="32" t="s">
        <v>55</v>
      </c>
      <c r="D75" s="82">
        <f>D71+D72+D73</f>
        <v>9.6857838996921082</v>
      </c>
      <c r="E75" s="39" t="s">
        <v>133</v>
      </c>
      <c r="F75" s="12"/>
    </row>
    <row r="76" spans="1:8" ht="14.5" thickBot="1" x14ac:dyDescent="0.4">
      <c r="A76" s="42"/>
      <c r="B76" s="43"/>
      <c r="C76" s="44"/>
      <c r="D76" s="44"/>
      <c r="E76" s="44"/>
      <c r="F76" s="45"/>
    </row>
    <row r="77" spans="1:8" x14ac:dyDescent="0.35">
      <c r="A77" s="53" t="s">
        <v>92</v>
      </c>
      <c r="B77" s="54"/>
      <c r="C77" s="55"/>
      <c r="D77" s="55"/>
      <c r="E77" s="56"/>
      <c r="F77" s="57"/>
    </row>
    <row r="78" spans="1:8" x14ac:dyDescent="0.35">
      <c r="A78" s="58"/>
      <c r="B78" s="59"/>
      <c r="C78" s="11"/>
      <c r="D78" s="11"/>
      <c r="E78" s="11"/>
      <c r="F78" s="12"/>
    </row>
    <row r="79" spans="1:8" x14ac:dyDescent="0.35">
      <c r="A79" s="25" t="s">
        <v>106</v>
      </c>
      <c r="B79" s="10"/>
      <c r="C79" s="91" t="s">
        <v>55</v>
      </c>
      <c r="D79" s="76">
        <f>0.6*D67*D4*1000</f>
        <v>138339.28132800001</v>
      </c>
      <c r="E79" s="89" t="s">
        <v>107</v>
      </c>
      <c r="F79" s="12"/>
    </row>
    <row r="80" spans="1:8" x14ac:dyDescent="0.35">
      <c r="A80" s="25" t="s">
        <v>88</v>
      </c>
      <c r="B80" s="10"/>
      <c r="C80" s="91" t="s">
        <v>55</v>
      </c>
      <c r="D80" s="76">
        <f>0.02*D48</f>
        <v>412080</v>
      </c>
      <c r="E80" s="89" t="s">
        <v>107</v>
      </c>
      <c r="F80" s="12"/>
    </row>
    <row r="81" spans="1:6" x14ac:dyDescent="0.35">
      <c r="A81" s="25" t="s">
        <v>90</v>
      </c>
      <c r="B81" s="10"/>
      <c r="C81" s="91" t="s">
        <v>55</v>
      </c>
      <c r="D81" s="76">
        <f>0.01*D48</f>
        <v>206040</v>
      </c>
      <c r="E81" s="89" t="s">
        <v>107</v>
      </c>
      <c r="F81" s="12"/>
    </row>
    <row r="82" spans="1:6" x14ac:dyDescent="0.35">
      <c r="A82" s="25" t="s">
        <v>89</v>
      </c>
      <c r="B82" s="10"/>
      <c r="C82" s="91" t="s">
        <v>55</v>
      </c>
      <c r="D82" s="76">
        <f>0.01*D48</f>
        <v>206040</v>
      </c>
      <c r="E82" s="89" t="s">
        <v>107</v>
      </c>
      <c r="F82" s="12"/>
    </row>
    <row r="83" spans="1:6" ht="16.5" x14ac:dyDescent="0.35">
      <c r="A83" s="25" t="s">
        <v>134</v>
      </c>
      <c r="B83" s="10"/>
      <c r="C83" s="1"/>
      <c r="D83" s="1"/>
      <c r="E83" s="1"/>
      <c r="F83" s="12"/>
    </row>
    <row r="84" spans="1:6" x14ac:dyDescent="0.35">
      <c r="A84" s="112" t="s">
        <v>135</v>
      </c>
      <c r="B84" s="89">
        <v>5</v>
      </c>
      <c r="C84" s="91"/>
      <c r="D84" s="76"/>
      <c r="E84" s="89"/>
      <c r="F84" s="12"/>
    </row>
    <row r="85" spans="1:6" x14ac:dyDescent="0.35">
      <c r="A85" s="112" t="s">
        <v>136</v>
      </c>
      <c r="B85" s="89">
        <v>15</v>
      </c>
      <c r="C85" s="91"/>
      <c r="D85" s="76"/>
      <c r="E85" s="89"/>
      <c r="F85" s="12"/>
    </row>
    <row r="86" spans="1:6" x14ac:dyDescent="0.35">
      <c r="A86" s="25" t="s">
        <v>137</v>
      </c>
      <c r="B86" s="104">
        <f>((B84/100)*((1+(B84/100))^B85))/(((1+(B84/100))^B85)-1)</f>
        <v>9.6342287609244348E-2</v>
      </c>
      <c r="C86" s="91" t="s">
        <v>55</v>
      </c>
      <c r="D86" s="76">
        <f>B86*D48</f>
        <v>1985036.4939008704</v>
      </c>
      <c r="E86" s="89" t="s">
        <v>107</v>
      </c>
      <c r="F86" s="12"/>
    </row>
    <row r="87" spans="1:6" x14ac:dyDescent="0.35">
      <c r="A87" s="61"/>
      <c r="B87" s="10"/>
      <c r="C87" s="91"/>
      <c r="D87" s="76"/>
      <c r="E87" s="11"/>
      <c r="F87" s="12"/>
    </row>
    <row r="88" spans="1:6" x14ac:dyDescent="0.35">
      <c r="A88" s="111" t="s">
        <v>91</v>
      </c>
      <c r="B88" s="10"/>
      <c r="C88" s="91" t="s">
        <v>55</v>
      </c>
      <c r="D88" s="64">
        <f>SUM(D79:D86)</f>
        <v>2947535.7752288706</v>
      </c>
      <c r="E88" s="11"/>
      <c r="F88" s="12"/>
    </row>
    <row r="89" spans="1:6" x14ac:dyDescent="0.35">
      <c r="A89" s="58"/>
      <c r="B89" s="10"/>
      <c r="C89" s="11"/>
      <c r="D89" s="60"/>
      <c r="E89" s="11"/>
      <c r="F89" s="12"/>
    </row>
    <row r="90" spans="1:6" x14ac:dyDescent="0.35">
      <c r="A90" s="111" t="s">
        <v>98</v>
      </c>
      <c r="B90" s="37"/>
      <c r="C90" s="32" t="s">
        <v>55</v>
      </c>
      <c r="D90" s="64">
        <f>D67*D4*1000+D75*D4*8760+D88</f>
        <v>5511406.5855446998</v>
      </c>
      <c r="E90" s="11"/>
      <c r="F90" s="12"/>
    </row>
    <row r="91" spans="1:6" ht="14.5" thickBot="1" x14ac:dyDescent="0.4">
      <c r="A91" s="62"/>
      <c r="B91" s="63"/>
      <c r="C91" s="44"/>
      <c r="D91" s="44"/>
      <c r="E91" s="44"/>
      <c r="F91" s="45"/>
    </row>
    <row r="92" spans="1:6" x14ac:dyDescent="0.35">
      <c r="A92" s="33"/>
      <c r="B92" s="66"/>
      <c r="C92" s="34"/>
      <c r="D92" s="34"/>
      <c r="E92" s="34"/>
      <c r="F92" s="35"/>
    </row>
    <row r="93" spans="1:6" x14ac:dyDescent="0.3">
      <c r="A93" s="25" t="s">
        <v>93</v>
      </c>
      <c r="B93" s="10"/>
      <c r="C93" s="91" t="s">
        <v>55</v>
      </c>
      <c r="D93" s="67">
        <v>584.6</v>
      </c>
      <c r="E93" s="11"/>
      <c r="F93" s="12"/>
    </row>
    <row r="94" spans="1:6" x14ac:dyDescent="0.3">
      <c r="A94" s="25" t="s">
        <v>104</v>
      </c>
      <c r="B94" s="10"/>
      <c r="C94" s="91" t="s">
        <v>55</v>
      </c>
      <c r="D94" s="68">
        <v>536.4</v>
      </c>
      <c r="E94" s="11"/>
      <c r="F94" s="12"/>
    </row>
    <row r="95" spans="1:6" x14ac:dyDescent="0.35">
      <c r="A95" s="9"/>
      <c r="B95" s="10"/>
      <c r="C95" s="11"/>
      <c r="D95" s="11"/>
      <c r="E95" s="11"/>
      <c r="F95" s="12"/>
    </row>
    <row r="96" spans="1:6" x14ac:dyDescent="0.35">
      <c r="A96" s="111" t="s">
        <v>103</v>
      </c>
      <c r="B96" s="37"/>
      <c r="C96" s="32" t="s">
        <v>55</v>
      </c>
      <c r="D96" s="78">
        <f>D90*D94/D93</f>
        <v>5056993.6580331456</v>
      </c>
      <c r="E96" s="11"/>
      <c r="F96" s="12"/>
    </row>
    <row r="97" spans="1:6" ht="14.5" thickBot="1" x14ac:dyDescent="0.4">
      <c r="A97" s="62"/>
      <c r="B97" s="43"/>
      <c r="C97" s="44"/>
      <c r="D97" s="63"/>
      <c r="E97" s="44"/>
      <c r="F97" s="45"/>
    </row>
    <row r="98" spans="1:6" x14ac:dyDescent="0.35">
      <c r="A98" s="69"/>
      <c r="B98" s="10"/>
      <c r="C98" s="11"/>
      <c r="D98" s="70"/>
      <c r="E98" s="11"/>
      <c r="F98" s="12"/>
    </row>
    <row r="99" spans="1:6" ht="16" x14ac:dyDescent="0.35">
      <c r="A99" s="25" t="s">
        <v>95</v>
      </c>
      <c r="B99" s="74"/>
      <c r="C99" s="91" t="s">
        <v>55</v>
      </c>
      <c r="D99" s="71">
        <f>D7*(D12/1000000)*8760/2000</f>
        <v>652.59809999999993</v>
      </c>
      <c r="E99" s="11"/>
      <c r="F99" s="12"/>
    </row>
    <row r="100" spans="1:6" ht="16" x14ac:dyDescent="0.35">
      <c r="A100" s="25" t="s">
        <v>94</v>
      </c>
      <c r="B100" s="10"/>
      <c r="C100" s="91" t="s">
        <v>55</v>
      </c>
      <c r="D100" s="83">
        <v>80</v>
      </c>
      <c r="E100" s="11"/>
      <c r="F100" s="12"/>
    </row>
    <row r="101" spans="1:6" ht="16" x14ac:dyDescent="0.35">
      <c r="A101" s="25" t="s">
        <v>96</v>
      </c>
      <c r="B101" s="10"/>
      <c r="C101" s="91" t="s">
        <v>55</v>
      </c>
      <c r="D101" s="72">
        <f>D99*D100/100</f>
        <v>522.07848000000001</v>
      </c>
      <c r="E101" s="11"/>
      <c r="F101" s="12"/>
    </row>
    <row r="102" spans="1:6" x14ac:dyDescent="0.35">
      <c r="A102" s="25"/>
      <c r="B102" s="10"/>
      <c r="C102" s="109"/>
      <c r="D102" s="72"/>
      <c r="E102" s="11"/>
      <c r="F102" s="12"/>
    </row>
    <row r="103" spans="1:6" ht="17" x14ac:dyDescent="0.35">
      <c r="A103" s="111" t="s">
        <v>97</v>
      </c>
      <c r="B103" s="75"/>
      <c r="C103" s="91" t="s">
        <v>55</v>
      </c>
      <c r="D103" s="77">
        <f>D96/D101</f>
        <v>9686.271033491259</v>
      </c>
      <c r="E103" s="11"/>
      <c r="F103" s="12"/>
    </row>
    <row r="104" spans="1:6" ht="14.5" thickBot="1" x14ac:dyDescent="0.4">
      <c r="A104" s="73"/>
      <c r="B104" s="43"/>
      <c r="C104" s="44"/>
      <c r="D104" s="65"/>
      <c r="E104" s="44"/>
      <c r="F104" s="45"/>
    </row>
  </sheetData>
  <mergeCells count="24">
    <mergeCell ref="A57:F57"/>
    <mergeCell ref="E73:F73"/>
    <mergeCell ref="E41:F41"/>
    <mergeCell ref="E8:F8"/>
    <mergeCell ref="E9:F9"/>
    <mergeCell ref="E10:F10"/>
    <mergeCell ref="E11:F11"/>
    <mergeCell ref="E18:F18"/>
    <mergeCell ref="E20:F20"/>
    <mergeCell ref="E21:F21"/>
    <mergeCell ref="E19:F19"/>
    <mergeCell ref="E16:F16"/>
    <mergeCell ref="E17:F17"/>
    <mergeCell ref="A22:F22"/>
    <mergeCell ref="A1:F1"/>
    <mergeCell ref="E3:F3"/>
    <mergeCell ref="E4:F4"/>
    <mergeCell ref="E5:F5"/>
    <mergeCell ref="E6:F6"/>
    <mergeCell ref="E7:F7"/>
    <mergeCell ref="E12:F12"/>
    <mergeCell ref="E13:F13"/>
    <mergeCell ref="E14:F14"/>
    <mergeCell ref="E15:F15"/>
  </mergeCells>
  <pageMargins left="0.7" right="0.7" top="0.582843137254902" bottom="0.77475490196078434" header="0.3" footer="0.3"/>
  <pageSetup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22"/>
  <sheetViews>
    <sheetView tabSelected="1" view="pageLayout" zoomScale="85" zoomScaleNormal="100" zoomScalePageLayoutView="85" workbookViewId="0">
      <selection activeCell="D55" sqref="D55"/>
    </sheetView>
  </sheetViews>
  <sheetFormatPr defaultColWidth="8.81640625" defaultRowHeight="14" x14ac:dyDescent="0.35"/>
  <cols>
    <col min="1" max="1" width="38.1796875" style="1" customWidth="1"/>
    <col min="2" max="2" width="38.26953125" style="1" customWidth="1"/>
    <col min="3" max="3" width="13.26953125" style="3" customWidth="1"/>
    <col min="4" max="4" width="15.7265625" style="3" bestFit="1" customWidth="1"/>
    <col min="5" max="5" width="16.453125" style="3" customWidth="1"/>
    <col min="6" max="6" width="107.26953125" style="1" customWidth="1"/>
    <col min="7" max="7" width="11" style="1" bestFit="1" customWidth="1"/>
    <col min="8" max="8" width="14.26953125" style="1" bestFit="1" customWidth="1"/>
    <col min="9" max="16384" width="8.81640625" style="1"/>
  </cols>
  <sheetData>
    <row r="5" spans="1:7" ht="15.5" x14ac:dyDescent="0.35">
      <c r="A5" s="177" t="s">
        <v>225</v>
      </c>
      <c r="B5" s="177"/>
      <c r="C5" s="177"/>
      <c r="D5" s="177"/>
      <c r="E5" s="177"/>
      <c r="F5" s="177"/>
      <c r="G5" s="10"/>
    </row>
    <row r="6" spans="1:7" ht="14.5" thickBot="1" x14ac:dyDescent="0.4">
      <c r="A6" s="43"/>
      <c r="B6" s="43"/>
      <c r="C6" s="44"/>
      <c r="D6" s="44"/>
      <c r="E6" s="44"/>
      <c r="F6" s="43"/>
      <c r="G6" s="10"/>
    </row>
    <row r="7" spans="1:7" s="2" customFormat="1" x14ac:dyDescent="0.35">
      <c r="A7" s="99" t="s">
        <v>0</v>
      </c>
      <c r="B7" s="100" t="s">
        <v>1</v>
      </c>
      <c r="C7" s="100" t="s">
        <v>2</v>
      </c>
      <c r="D7" s="100" t="s">
        <v>3</v>
      </c>
      <c r="E7" s="178" t="s">
        <v>4</v>
      </c>
      <c r="F7" s="179"/>
    </row>
    <row r="8" spans="1:7" x14ac:dyDescent="0.35">
      <c r="A8" s="46" t="s">
        <v>32</v>
      </c>
      <c r="B8" s="5" t="s">
        <v>5</v>
      </c>
      <c r="C8" s="5" t="s">
        <v>23</v>
      </c>
      <c r="D8" s="84">
        <v>27.5</v>
      </c>
      <c r="E8" s="174" t="s">
        <v>228</v>
      </c>
      <c r="F8" s="173"/>
    </row>
    <row r="9" spans="1:7" x14ac:dyDescent="0.35">
      <c r="A9" s="46" t="s">
        <v>37</v>
      </c>
      <c r="B9" s="5" t="s">
        <v>6</v>
      </c>
      <c r="C9" s="5"/>
      <c r="D9" s="84">
        <v>1.5</v>
      </c>
      <c r="E9" s="174" t="s">
        <v>113</v>
      </c>
      <c r="F9" s="173"/>
    </row>
    <row r="10" spans="1:7" x14ac:dyDescent="0.35">
      <c r="A10" s="46" t="s">
        <v>38</v>
      </c>
      <c r="B10" s="5" t="s">
        <v>7</v>
      </c>
      <c r="C10" s="5" t="s">
        <v>24</v>
      </c>
      <c r="D10" s="85">
        <v>18000</v>
      </c>
      <c r="E10" s="174" t="s">
        <v>229</v>
      </c>
      <c r="F10" s="173"/>
    </row>
    <row r="11" spans="1:7" x14ac:dyDescent="0.35">
      <c r="A11" s="46" t="s">
        <v>39</v>
      </c>
      <c r="B11" s="5" t="s">
        <v>22</v>
      </c>
      <c r="C11" s="5" t="s">
        <v>25</v>
      </c>
      <c r="D11" s="171">
        <f>AVERAGE(0.471,0.131)</f>
        <v>0.30099999999999999</v>
      </c>
      <c r="E11" s="172" t="s">
        <v>232</v>
      </c>
      <c r="F11" s="173"/>
    </row>
    <row r="12" spans="1:7" x14ac:dyDescent="0.35">
      <c r="A12" s="46" t="s">
        <v>40</v>
      </c>
      <c r="B12" s="5" t="s">
        <v>8</v>
      </c>
      <c r="C12" s="5"/>
      <c r="D12" s="128" t="s">
        <v>45</v>
      </c>
      <c r="E12" s="174" t="s">
        <v>33</v>
      </c>
      <c r="F12" s="173"/>
    </row>
    <row r="13" spans="1:7" x14ac:dyDescent="0.35">
      <c r="A13" s="46" t="s">
        <v>142</v>
      </c>
      <c r="B13" s="5" t="s">
        <v>9</v>
      </c>
      <c r="C13" s="113"/>
      <c r="D13" s="128">
        <v>1.05</v>
      </c>
      <c r="E13" s="174" t="s">
        <v>143</v>
      </c>
      <c r="F13" s="173"/>
    </row>
    <row r="14" spans="1:7" x14ac:dyDescent="0.35">
      <c r="A14" s="46" t="s">
        <v>144</v>
      </c>
      <c r="B14" s="5" t="s">
        <v>10</v>
      </c>
      <c r="C14" s="113"/>
      <c r="D14" s="129">
        <f>D10/10000</f>
        <v>1.8</v>
      </c>
      <c r="E14" s="192" t="s">
        <v>145</v>
      </c>
      <c r="F14" s="193"/>
    </row>
    <row r="15" spans="1:7" x14ac:dyDescent="0.35">
      <c r="A15" s="46" t="s">
        <v>46</v>
      </c>
      <c r="B15" s="5" t="s">
        <v>11</v>
      </c>
      <c r="C15" s="5" t="s">
        <v>27</v>
      </c>
      <c r="D15" s="6">
        <f>D8*D10*1000</f>
        <v>495000000</v>
      </c>
      <c r="E15" s="174" t="s">
        <v>146</v>
      </c>
      <c r="F15" s="173"/>
    </row>
    <row r="16" spans="1:7" x14ac:dyDescent="0.35">
      <c r="A16" s="46" t="s">
        <v>147</v>
      </c>
      <c r="B16" s="5" t="s">
        <v>13</v>
      </c>
      <c r="C16" s="5" t="s">
        <v>28</v>
      </c>
      <c r="D16" s="79">
        <f>(0.6702*(D11^2)+13.42*D11)*D8*D14/2000</f>
        <v>0.10147848455745001</v>
      </c>
      <c r="E16" s="192" t="s">
        <v>148</v>
      </c>
      <c r="F16" s="193"/>
    </row>
    <row r="17" spans="1:6" ht="14.25" customHeight="1" x14ac:dyDescent="0.35">
      <c r="A17" s="46" t="s">
        <v>149</v>
      </c>
      <c r="B17" s="5" t="s">
        <v>150</v>
      </c>
      <c r="C17" s="5" t="s">
        <v>28</v>
      </c>
      <c r="D17" s="79">
        <f>(0.8016*(D11^2)+31.1917*D11)*D8*D14/2000</f>
        <v>0.23416785467460002</v>
      </c>
      <c r="E17" s="175" t="s">
        <v>151</v>
      </c>
      <c r="F17" s="176"/>
    </row>
    <row r="18" spans="1:6" x14ac:dyDescent="0.35">
      <c r="A18" s="98" t="s">
        <v>101</v>
      </c>
      <c r="B18" s="4" t="s">
        <v>14</v>
      </c>
      <c r="C18" s="4" t="s">
        <v>26</v>
      </c>
      <c r="D18" s="130">
        <f>(0.000547*(D11^2)+0.00649*D11+1.3)*D13*D14</f>
        <v>2.4607857621318301</v>
      </c>
      <c r="E18" s="192" t="s">
        <v>152</v>
      </c>
      <c r="F18" s="193"/>
    </row>
    <row r="19" spans="1:6" x14ac:dyDescent="0.35">
      <c r="A19" s="46" t="s">
        <v>153</v>
      </c>
      <c r="B19" s="5" t="s">
        <v>15</v>
      </c>
      <c r="C19" s="5" t="s">
        <v>154</v>
      </c>
      <c r="D19" s="79">
        <f>(0.04898*(D11^2)+0.5925*D11+55.11)*D8*D13*D14/1000</f>
        <v>2.8738422476195362</v>
      </c>
      <c r="E19" s="174" t="s">
        <v>155</v>
      </c>
      <c r="F19" s="173"/>
    </row>
    <row r="20" spans="1:6" ht="15" customHeight="1" x14ac:dyDescent="0.35">
      <c r="A20" s="46" t="s">
        <v>156</v>
      </c>
      <c r="B20" s="5" t="s">
        <v>16</v>
      </c>
      <c r="C20" s="5" t="s">
        <v>29</v>
      </c>
      <c r="D20" s="84">
        <v>240</v>
      </c>
      <c r="E20" s="182" t="s">
        <v>157</v>
      </c>
      <c r="F20" s="183"/>
    </row>
    <row r="21" spans="1:6" ht="15" customHeight="1" x14ac:dyDescent="0.35">
      <c r="A21" s="46" t="s">
        <v>51</v>
      </c>
      <c r="B21" s="5" t="s">
        <v>17</v>
      </c>
      <c r="C21" s="5" t="s">
        <v>29</v>
      </c>
      <c r="D21" s="84">
        <v>30</v>
      </c>
      <c r="E21" s="182" t="s">
        <v>157</v>
      </c>
      <c r="F21" s="183"/>
    </row>
    <row r="22" spans="1:6" x14ac:dyDescent="0.35">
      <c r="A22" s="46" t="s">
        <v>52</v>
      </c>
      <c r="B22" s="5" t="s">
        <v>18</v>
      </c>
      <c r="C22" s="5" t="s">
        <v>30</v>
      </c>
      <c r="D22" s="86">
        <v>0.21</v>
      </c>
      <c r="E22" s="182" t="s">
        <v>118</v>
      </c>
      <c r="F22" s="183"/>
    </row>
    <row r="23" spans="1:6" x14ac:dyDescent="0.35">
      <c r="A23" s="105" t="s">
        <v>158</v>
      </c>
      <c r="B23" s="106" t="s">
        <v>19</v>
      </c>
      <c r="C23" s="106" t="s">
        <v>159</v>
      </c>
      <c r="D23" s="131">
        <v>7.17</v>
      </c>
      <c r="E23" s="182" t="s">
        <v>160</v>
      </c>
      <c r="F23" s="183"/>
    </row>
    <row r="24" spans="1:6" ht="14.5" thickBot="1" x14ac:dyDescent="0.4">
      <c r="A24" s="132" t="s">
        <v>53</v>
      </c>
      <c r="B24" s="133" t="s">
        <v>20</v>
      </c>
      <c r="C24" s="133" t="s">
        <v>31</v>
      </c>
      <c r="D24" s="134">
        <v>63</v>
      </c>
      <c r="E24" s="194" t="s">
        <v>161</v>
      </c>
      <c r="F24" s="195"/>
    </row>
    <row r="25" spans="1:6" ht="34.5" customHeight="1" thickBot="1" x14ac:dyDescent="0.4">
      <c r="A25" s="189" t="s">
        <v>162</v>
      </c>
      <c r="B25" s="190"/>
      <c r="C25" s="190"/>
      <c r="D25" s="190"/>
      <c r="E25" s="190"/>
      <c r="F25" s="191"/>
    </row>
    <row r="26" spans="1:6" ht="14.5" thickBot="1" x14ac:dyDescent="0.4">
      <c r="A26" s="27" t="s">
        <v>86</v>
      </c>
      <c r="B26" s="28"/>
      <c r="C26" s="29"/>
      <c r="D26" s="29"/>
      <c r="E26" s="30" t="s">
        <v>56</v>
      </c>
      <c r="F26" s="31"/>
    </row>
    <row r="27" spans="1:6" s="8" customFormat="1" x14ac:dyDescent="0.35">
      <c r="A27" s="20"/>
      <c r="B27" s="21"/>
      <c r="C27" s="22"/>
      <c r="D27" s="22"/>
      <c r="E27" s="23"/>
      <c r="F27" s="24"/>
    </row>
    <row r="28" spans="1:6" x14ac:dyDescent="0.35">
      <c r="A28" s="25" t="s">
        <v>139</v>
      </c>
      <c r="B28" s="10"/>
      <c r="C28" s="11"/>
      <c r="D28" s="11"/>
      <c r="E28" s="11"/>
      <c r="F28" s="12"/>
    </row>
    <row r="29" spans="1:6" x14ac:dyDescent="0.35">
      <c r="A29" s="9"/>
      <c r="B29" s="10"/>
      <c r="C29" s="11"/>
      <c r="D29" s="11"/>
      <c r="E29" s="11"/>
      <c r="F29" s="12"/>
    </row>
    <row r="30" spans="1:6" x14ac:dyDescent="0.35">
      <c r="A30" s="25" t="s">
        <v>163</v>
      </c>
      <c r="B30" s="10"/>
      <c r="C30" s="118" t="s">
        <v>55</v>
      </c>
      <c r="D30" s="13">
        <f>IF(D8&gt;600,(D8*92000),(566000*(D8^0.716))*D9*(D13*D14)^0.6*(D11/4)^0.01)</f>
        <v>13005050.608581588</v>
      </c>
      <c r="E30" s="117" t="s">
        <v>164</v>
      </c>
      <c r="F30" s="12"/>
    </row>
    <row r="31" spans="1:6" x14ac:dyDescent="0.35">
      <c r="A31" s="25"/>
      <c r="B31" s="10"/>
      <c r="C31" s="11"/>
      <c r="D31" s="11"/>
      <c r="E31" s="117"/>
      <c r="F31" s="12"/>
    </row>
    <row r="32" spans="1:6" x14ac:dyDescent="0.35">
      <c r="A32" s="25" t="s">
        <v>165</v>
      </c>
      <c r="B32" s="10"/>
      <c r="C32" s="11" t="s">
        <v>55</v>
      </c>
      <c r="D32" s="13">
        <f>IF(D8&gt;600,(D8*48700),(300000*(D8^0.716))*D9*(D11*D14)^0.2)</f>
        <v>4271127.369107944</v>
      </c>
      <c r="E32" s="117" t="s">
        <v>166</v>
      </c>
      <c r="F32" s="12"/>
    </row>
    <row r="33" spans="1:6" x14ac:dyDescent="0.35">
      <c r="A33" s="25"/>
      <c r="B33" s="10"/>
      <c r="C33" s="11"/>
      <c r="D33" s="13"/>
      <c r="E33" s="117"/>
      <c r="F33" s="12"/>
    </row>
    <row r="34" spans="1:6" x14ac:dyDescent="0.35">
      <c r="A34" s="25" t="s">
        <v>167</v>
      </c>
      <c r="B34" s="10"/>
      <c r="C34" s="11" t="s">
        <v>55</v>
      </c>
      <c r="D34" s="13">
        <f>IF(D8&gt;600,(D8*129900),(799000*(D8^0.716))*D9*(D13*D14)^0.4)</f>
        <v>16587654.03569247</v>
      </c>
      <c r="E34" s="117" t="s">
        <v>168</v>
      </c>
      <c r="F34" s="12"/>
    </row>
    <row r="35" spans="1:6" x14ac:dyDescent="0.35">
      <c r="A35" s="25"/>
      <c r="B35" s="10"/>
      <c r="C35" s="11"/>
      <c r="D35" s="11"/>
      <c r="E35" s="117"/>
      <c r="F35" s="12"/>
    </row>
    <row r="36" spans="1:6" x14ac:dyDescent="0.35">
      <c r="A36" s="25" t="s">
        <v>169</v>
      </c>
      <c r="B36" s="10"/>
      <c r="C36" s="11" t="s">
        <v>55</v>
      </c>
      <c r="D36" s="15">
        <f>D30+D32+D34</f>
        <v>33863832.013382003</v>
      </c>
      <c r="E36" s="117" t="s">
        <v>170</v>
      </c>
      <c r="F36" s="12"/>
    </row>
    <row r="37" spans="1:6" x14ac:dyDescent="0.35">
      <c r="A37" s="25" t="s">
        <v>58</v>
      </c>
      <c r="B37" s="10"/>
      <c r="C37" s="118" t="s">
        <v>55</v>
      </c>
      <c r="D37" s="13">
        <f>D36/(D8*1000)</f>
        <v>1231.4120732138911</v>
      </c>
      <c r="E37" s="117" t="s">
        <v>59</v>
      </c>
      <c r="F37" s="12"/>
    </row>
    <row r="38" spans="1:6" x14ac:dyDescent="0.35">
      <c r="A38" s="9"/>
      <c r="B38" s="10"/>
      <c r="C38" s="11"/>
      <c r="D38" s="11"/>
      <c r="E38" s="117"/>
      <c r="F38" s="12"/>
    </row>
    <row r="39" spans="1:6" x14ac:dyDescent="0.35">
      <c r="A39" s="14" t="s">
        <v>60</v>
      </c>
      <c r="B39" s="10"/>
      <c r="C39" s="11"/>
      <c r="D39" s="11"/>
      <c r="E39" s="117"/>
      <c r="F39" s="12"/>
    </row>
    <row r="40" spans="1:6" x14ac:dyDescent="0.35">
      <c r="A40" s="14"/>
      <c r="B40" s="10"/>
      <c r="C40" s="11"/>
      <c r="D40" s="11"/>
      <c r="E40" s="117"/>
      <c r="F40" s="12"/>
    </row>
    <row r="41" spans="1:6" x14ac:dyDescent="0.35">
      <c r="A41" s="25" t="s">
        <v>108</v>
      </c>
      <c r="B41" s="10"/>
      <c r="C41" s="118" t="s">
        <v>55</v>
      </c>
      <c r="D41" s="15">
        <f>0.1*$D$36</f>
        <v>3386383.2013382004</v>
      </c>
      <c r="E41" s="117" t="s">
        <v>68</v>
      </c>
      <c r="F41" s="12"/>
    </row>
    <row r="42" spans="1:6" x14ac:dyDescent="0.35">
      <c r="A42" s="25" t="s">
        <v>109</v>
      </c>
      <c r="B42" s="10"/>
      <c r="C42" s="118" t="s">
        <v>55</v>
      </c>
      <c r="D42" s="15">
        <f>0.1*$D$36</f>
        <v>3386383.2013382004</v>
      </c>
      <c r="E42" s="117" t="s">
        <v>61</v>
      </c>
      <c r="F42" s="12"/>
    </row>
    <row r="43" spans="1:6" x14ac:dyDescent="0.35">
      <c r="A43" s="25" t="s">
        <v>110</v>
      </c>
      <c r="B43" s="10"/>
      <c r="C43" s="118" t="s">
        <v>55</v>
      </c>
      <c r="D43" s="15">
        <f>0.1*$D$36</f>
        <v>3386383.2013382004</v>
      </c>
      <c r="E43" s="117" t="s">
        <v>62</v>
      </c>
      <c r="F43" s="12"/>
    </row>
    <row r="44" spans="1:6" x14ac:dyDescent="0.35">
      <c r="A44" s="9"/>
      <c r="B44" s="10"/>
      <c r="C44" s="11"/>
      <c r="D44" s="11"/>
      <c r="E44" s="117"/>
      <c r="F44" s="12"/>
    </row>
    <row r="45" spans="1:6" x14ac:dyDescent="0.35">
      <c r="A45" s="111" t="s">
        <v>63</v>
      </c>
      <c r="B45" s="10"/>
      <c r="C45" s="118" t="s">
        <v>55</v>
      </c>
      <c r="D45" s="78">
        <f>D36+D41+D42+D43</f>
        <v>44022981.617396608</v>
      </c>
      <c r="E45" s="117" t="s">
        <v>102</v>
      </c>
      <c r="F45" s="12"/>
    </row>
    <row r="46" spans="1:6" x14ac:dyDescent="0.35">
      <c r="A46" s="111" t="s">
        <v>171</v>
      </c>
      <c r="B46" s="10"/>
      <c r="C46" s="118" t="s">
        <v>55</v>
      </c>
      <c r="D46" s="87">
        <f>D45/(D8*1000)</f>
        <v>1600.8356951780586</v>
      </c>
      <c r="E46" s="117" t="s">
        <v>65</v>
      </c>
      <c r="F46" s="12"/>
    </row>
    <row r="47" spans="1:6" x14ac:dyDescent="0.35">
      <c r="A47" s="14"/>
      <c r="B47" s="10"/>
      <c r="C47" s="118"/>
      <c r="D47" s="87"/>
      <c r="E47" s="117"/>
      <c r="F47" s="12"/>
    </row>
    <row r="48" spans="1:6" ht="14.25" customHeight="1" x14ac:dyDescent="0.35">
      <c r="A48" s="25" t="s">
        <v>66</v>
      </c>
      <c r="B48" s="10"/>
      <c r="C48" s="118" t="s">
        <v>55</v>
      </c>
      <c r="D48" s="15">
        <f>0.05*D45</f>
        <v>2201149.0808698307</v>
      </c>
      <c r="E48" s="180" t="s">
        <v>67</v>
      </c>
      <c r="F48" s="181"/>
    </row>
    <row r="49" spans="1:6" x14ac:dyDescent="0.35">
      <c r="A49" s="9"/>
      <c r="B49" s="10"/>
      <c r="C49" s="118"/>
      <c r="D49" s="15"/>
      <c r="E49" s="117"/>
      <c r="F49" s="12"/>
    </row>
    <row r="50" spans="1:6" x14ac:dyDescent="0.35">
      <c r="A50" s="111" t="s">
        <v>69</v>
      </c>
      <c r="B50" s="10"/>
      <c r="C50" s="118" t="s">
        <v>55</v>
      </c>
      <c r="D50" s="78">
        <f>D45+D48</f>
        <v>46224130.698266439</v>
      </c>
      <c r="E50" s="117" t="s">
        <v>105</v>
      </c>
      <c r="F50" s="12"/>
    </row>
    <row r="51" spans="1:6" x14ac:dyDescent="0.35">
      <c r="A51" s="111" t="s">
        <v>172</v>
      </c>
      <c r="B51" s="10"/>
      <c r="C51" s="118" t="s">
        <v>55</v>
      </c>
      <c r="D51" s="87">
        <f>D50/(D8*1000)</f>
        <v>1680.8774799369614</v>
      </c>
      <c r="E51" s="117" t="s">
        <v>71</v>
      </c>
      <c r="F51" s="12"/>
    </row>
    <row r="52" spans="1:6" x14ac:dyDescent="0.35">
      <c r="A52" s="14"/>
      <c r="B52" s="10"/>
      <c r="C52" s="118"/>
      <c r="D52" s="87"/>
      <c r="E52" s="117"/>
      <c r="F52" s="12"/>
    </row>
    <row r="53" spans="1:6" x14ac:dyDescent="0.35">
      <c r="A53" s="25" t="s">
        <v>173</v>
      </c>
      <c r="B53" s="10"/>
      <c r="C53" s="118" t="s">
        <v>55</v>
      </c>
      <c r="D53" s="135">
        <f>0.1*D50</f>
        <v>4622413.0698266439</v>
      </c>
      <c r="E53" s="117" t="s">
        <v>174</v>
      </c>
      <c r="F53" s="12"/>
    </row>
    <row r="54" spans="1:6" x14ac:dyDescent="0.35">
      <c r="A54" s="9"/>
      <c r="B54" s="10"/>
      <c r="C54" s="118"/>
      <c r="D54" s="11"/>
      <c r="E54" s="117"/>
      <c r="F54" s="12"/>
    </row>
    <row r="55" spans="1:6" x14ac:dyDescent="0.35">
      <c r="A55" s="111" t="s">
        <v>175</v>
      </c>
      <c r="B55" s="136"/>
      <c r="C55" s="137" t="s">
        <v>55</v>
      </c>
      <c r="D55" s="138">
        <f>D45+D48+D53</f>
        <v>50846543.768093079</v>
      </c>
      <c r="E55" s="139" t="s">
        <v>70</v>
      </c>
      <c r="F55" s="140"/>
    </row>
    <row r="56" spans="1:6" x14ac:dyDescent="0.35">
      <c r="A56" s="111" t="s">
        <v>176</v>
      </c>
      <c r="B56" s="10"/>
      <c r="C56" s="118" t="s">
        <v>55</v>
      </c>
      <c r="D56" s="87">
        <f>D55/(D8*1000)</f>
        <v>1848.9652279306574</v>
      </c>
      <c r="E56" s="39" t="s">
        <v>76</v>
      </c>
      <c r="F56" s="12"/>
    </row>
    <row r="57" spans="1:6" ht="14.5" thickBot="1" x14ac:dyDescent="0.4">
      <c r="A57" s="141"/>
      <c r="B57" s="43"/>
      <c r="C57" s="142"/>
      <c r="D57" s="143"/>
      <c r="E57" s="144"/>
      <c r="F57" s="45"/>
    </row>
    <row r="58" spans="1:6" x14ac:dyDescent="0.35">
      <c r="A58" s="37"/>
      <c r="B58" s="10"/>
      <c r="C58" s="118"/>
      <c r="D58" s="87"/>
      <c r="E58" s="117"/>
      <c r="F58" s="10"/>
    </row>
    <row r="59" spans="1:6" x14ac:dyDescent="0.35">
      <c r="A59" s="37"/>
      <c r="B59" s="10"/>
      <c r="C59" s="118"/>
      <c r="D59" s="87"/>
      <c r="E59" s="117"/>
      <c r="F59" s="10"/>
    </row>
    <row r="60" spans="1:6" x14ac:dyDescent="0.35">
      <c r="A60" s="37"/>
      <c r="B60" s="10"/>
      <c r="C60" s="118"/>
      <c r="D60" s="87"/>
      <c r="E60" s="117"/>
      <c r="F60" s="10"/>
    </row>
    <row r="61" spans="1:6" x14ac:dyDescent="0.35">
      <c r="A61" s="37"/>
      <c r="B61" s="10"/>
      <c r="C61" s="118"/>
      <c r="D61" s="87"/>
      <c r="E61" s="117"/>
      <c r="F61" s="10"/>
    </row>
    <row r="62" spans="1:6" x14ac:dyDescent="0.35">
      <c r="A62" s="37"/>
      <c r="B62" s="10"/>
      <c r="C62" s="118"/>
      <c r="D62" s="87"/>
      <c r="E62" s="117"/>
      <c r="F62" s="10"/>
    </row>
    <row r="63" spans="1:6" x14ac:dyDescent="0.35">
      <c r="A63" s="37"/>
      <c r="B63" s="10"/>
      <c r="C63" s="118"/>
      <c r="D63" s="87"/>
      <c r="E63" s="117"/>
      <c r="F63" s="10"/>
    </row>
    <row r="64" spans="1:6" x14ac:dyDescent="0.35">
      <c r="A64" s="37"/>
      <c r="B64" s="10"/>
      <c r="C64" s="118"/>
      <c r="D64" s="87"/>
      <c r="E64" s="117"/>
      <c r="F64" s="10"/>
    </row>
    <row r="65" spans="1:6" x14ac:dyDescent="0.35">
      <c r="A65" s="37"/>
      <c r="B65" s="10"/>
      <c r="C65" s="118"/>
      <c r="D65" s="87"/>
      <c r="E65" s="117"/>
      <c r="F65" s="10"/>
    </row>
    <row r="66" spans="1:6" x14ac:dyDescent="0.35">
      <c r="A66" s="37"/>
      <c r="B66" s="10"/>
      <c r="C66" s="118"/>
      <c r="D66" s="87"/>
      <c r="E66" s="117"/>
      <c r="F66" s="10"/>
    </row>
    <row r="67" spans="1:6" x14ac:dyDescent="0.35">
      <c r="A67" s="37"/>
      <c r="B67" s="10"/>
      <c r="C67" s="118"/>
      <c r="D67" s="87"/>
      <c r="E67" s="117"/>
      <c r="F67" s="10"/>
    </row>
    <row r="68" spans="1:6" x14ac:dyDescent="0.35">
      <c r="A68" s="37"/>
      <c r="B68" s="10"/>
      <c r="C68" s="118"/>
      <c r="D68" s="87"/>
      <c r="E68" s="117"/>
      <c r="F68" s="10"/>
    </row>
    <row r="69" spans="1:6" x14ac:dyDescent="0.35">
      <c r="A69" s="37"/>
      <c r="B69" s="10"/>
      <c r="C69" s="118"/>
      <c r="D69" s="87"/>
      <c r="E69" s="117"/>
      <c r="F69" s="10"/>
    </row>
    <row r="70" spans="1:6" x14ac:dyDescent="0.35">
      <c r="A70" s="37"/>
      <c r="B70" s="10"/>
      <c r="C70" s="118"/>
      <c r="D70" s="87"/>
      <c r="E70" s="117"/>
      <c r="F70" s="10"/>
    </row>
    <row r="71" spans="1:6" ht="15.5" x14ac:dyDescent="0.35">
      <c r="A71" s="177" t="s">
        <v>141</v>
      </c>
      <c r="B71" s="177"/>
      <c r="C71" s="177"/>
      <c r="D71" s="177"/>
      <c r="E71" s="177"/>
      <c r="F71" s="177"/>
    </row>
    <row r="72" spans="1:6" ht="14.5" thickBot="1" x14ac:dyDescent="0.4">
      <c r="A72" s="37"/>
      <c r="B72" s="10"/>
      <c r="C72" s="118"/>
      <c r="D72" s="87"/>
      <c r="E72" s="117"/>
      <c r="F72" s="10"/>
    </row>
    <row r="73" spans="1:6" x14ac:dyDescent="0.35">
      <c r="A73" s="92"/>
      <c r="B73" s="93"/>
      <c r="C73" s="94"/>
      <c r="D73" s="94"/>
      <c r="E73" s="95"/>
      <c r="F73" s="96"/>
    </row>
    <row r="74" spans="1:6" x14ac:dyDescent="0.35">
      <c r="A74" s="52" t="s">
        <v>87</v>
      </c>
      <c r="B74" s="48"/>
      <c r="C74" s="49"/>
      <c r="D74" s="49"/>
      <c r="E74" s="145"/>
      <c r="F74" s="51"/>
    </row>
    <row r="75" spans="1:6" x14ac:dyDescent="0.35">
      <c r="A75" s="16" t="s">
        <v>111</v>
      </c>
      <c r="B75" s="17"/>
      <c r="C75" s="18"/>
      <c r="D75" s="18"/>
      <c r="E75" s="36"/>
      <c r="F75" s="19"/>
    </row>
    <row r="76" spans="1:6" x14ac:dyDescent="0.35">
      <c r="A76" s="9"/>
      <c r="B76" s="10"/>
      <c r="C76" s="11"/>
      <c r="D76" s="11"/>
      <c r="E76" s="117"/>
      <c r="F76" s="12"/>
    </row>
    <row r="77" spans="1:6" x14ac:dyDescent="0.35">
      <c r="A77" s="25" t="s">
        <v>177</v>
      </c>
      <c r="B77" s="10"/>
      <c r="C77" s="118" t="s">
        <v>55</v>
      </c>
      <c r="D77" s="119">
        <f>8*2080*D24/(D8*1000)</f>
        <v>38.120727272727272</v>
      </c>
      <c r="E77" s="117" t="s">
        <v>79</v>
      </c>
      <c r="F77" s="12"/>
    </row>
    <row r="78" spans="1:6" x14ac:dyDescent="0.35">
      <c r="A78" s="25" t="s">
        <v>178</v>
      </c>
      <c r="B78" s="10"/>
      <c r="C78" s="118" t="s">
        <v>55</v>
      </c>
      <c r="D78" s="119">
        <f>D36*0.015/(D9*D8*1000)</f>
        <v>12.31412073213891</v>
      </c>
      <c r="E78" s="117" t="s">
        <v>80</v>
      </c>
      <c r="F78" s="12"/>
    </row>
    <row r="79" spans="1:6" x14ac:dyDescent="0.35">
      <c r="A79" s="25" t="s">
        <v>126</v>
      </c>
      <c r="B79" s="10"/>
      <c r="C79" s="118" t="s">
        <v>55</v>
      </c>
      <c r="D79" s="119">
        <f>0.03*(D77+0.4*D78)</f>
        <v>1.291391266967485</v>
      </c>
      <c r="E79" s="117" t="s">
        <v>81</v>
      </c>
      <c r="F79" s="12"/>
    </row>
    <row r="80" spans="1:6" x14ac:dyDescent="0.35">
      <c r="A80" s="9"/>
      <c r="B80" s="10"/>
      <c r="C80" s="11"/>
      <c r="D80" s="119"/>
      <c r="E80" s="117"/>
      <c r="F80" s="12"/>
    </row>
    <row r="81" spans="1:8" s="2" customFormat="1" x14ac:dyDescent="0.35">
      <c r="A81" s="111" t="s">
        <v>127</v>
      </c>
      <c r="B81" s="37"/>
      <c r="C81" s="32" t="s">
        <v>55</v>
      </c>
      <c r="D81" s="38">
        <f>D77+D78+D79</f>
        <v>51.72623927183367</v>
      </c>
      <c r="E81" s="39" t="s">
        <v>82</v>
      </c>
      <c r="F81" s="40"/>
    </row>
    <row r="82" spans="1:8" x14ac:dyDescent="0.35">
      <c r="A82" s="9"/>
      <c r="B82" s="10"/>
      <c r="C82" s="11"/>
      <c r="D82" s="119"/>
      <c r="E82" s="117"/>
      <c r="F82" s="12"/>
    </row>
    <row r="83" spans="1:8" s="2" customFormat="1" x14ac:dyDescent="0.35">
      <c r="A83" s="16" t="s">
        <v>78</v>
      </c>
      <c r="B83" s="17"/>
      <c r="C83" s="18"/>
      <c r="D83" s="18"/>
      <c r="E83" s="36"/>
      <c r="F83" s="19"/>
    </row>
    <row r="84" spans="1:8" s="2" customFormat="1" x14ac:dyDescent="0.35">
      <c r="A84" s="14"/>
      <c r="B84" s="37"/>
      <c r="C84" s="41"/>
      <c r="D84" s="38"/>
      <c r="E84" s="39"/>
      <c r="F84" s="40"/>
    </row>
    <row r="85" spans="1:8" x14ac:dyDescent="0.35">
      <c r="A85" s="25" t="s">
        <v>179</v>
      </c>
      <c r="B85" s="10"/>
      <c r="C85" s="118" t="s">
        <v>55</v>
      </c>
      <c r="D85" s="103">
        <f>D16*D20/D8</f>
        <v>0.88563041068320014</v>
      </c>
      <c r="E85" s="117" t="s">
        <v>180</v>
      </c>
      <c r="F85" s="12"/>
    </row>
    <row r="86" spans="1:8" x14ac:dyDescent="0.35">
      <c r="A86" s="25"/>
      <c r="B86" s="10"/>
      <c r="C86" s="11"/>
      <c r="D86" s="119"/>
      <c r="E86" s="117"/>
      <c r="F86" s="12"/>
    </row>
    <row r="87" spans="1:8" ht="13.9" customHeight="1" x14ac:dyDescent="0.35">
      <c r="A87" s="25" t="s">
        <v>181</v>
      </c>
      <c r="B87" s="10"/>
      <c r="C87" s="118" t="s">
        <v>55</v>
      </c>
      <c r="D87" s="103">
        <f>D17*D21/D8</f>
        <v>0.2554558414632</v>
      </c>
      <c r="E87" s="180" t="s">
        <v>182</v>
      </c>
      <c r="F87" s="181"/>
      <c r="H87" s="81"/>
    </row>
    <row r="88" spans="1:8" x14ac:dyDescent="0.35">
      <c r="A88" s="25"/>
      <c r="B88" s="10"/>
      <c r="C88" s="11"/>
      <c r="D88" s="119"/>
      <c r="E88" s="117"/>
      <c r="F88" s="12"/>
    </row>
    <row r="89" spans="1:8" x14ac:dyDescent="0.35">
      <c r="A89" s="25" t="s">
        <v>183</v>
      </c>
      <c r="B89" s="10"/>
      <c r="C89" s="118" t="s">
        <v>55</v>
      </c>
      <c r="D89" s="103">
        <f>D18*D22*10</f>
        <v>5.1676501004768429</v>
      </c>
      <c r="E89" s="180" t="s">
        <v>184</v>
      </c>
      <c r="F89" s="181"/>
    </row>
    <row r="90" spans="1:8" x14ac:dyDescent="0.35">
      <c r="A90" s="25"/>
      <c r="B90" s="10"/>
      <c r="C90" s="118"/>
      <c r="D90" s="80"/>
      <c r="E90" s="115"/>
      <c r="F90" s="116"/>
    </row>
    <row r="91" spans="1:8" x14ac:dyDescent="0.35">
      <c r="A91" s="25" t="s">
        <v>185</v>
      </c>
      <c r="B91" s="10"/>
      <c r="C91" s="118" t="s">
        <v>55</v>
      </c>
      <c r="D91" s="103">
        <f>D19*D23/D8</f>
        <v>0.74928905147025726</v>
      </c>
      <c r="E91" s="180" t="s">
        <v>186</v>
      </c>
      <c r="F91" s="181"/>
    </row>
    <row r="92" spans="1:8" x14ac:dyDescent="0.35">
      <c r="A92" s="9"/>
      <c r="B92" s="10"/>
      <c r="C92" s="11"/>
      <c r="D92" s="119"/>
      <c r="E92" s="117"/>
      <c r="F92" s="12"/>
    </row>
    <row r="93" spans="1:8" x14ac:dyDescent="0.35">
      <c r="A93" s="111" t="s">
        <v>187</v>
      </c>
      <c r="B93" s="37"/>
      <c r="C93" s="32" t="s">
        <v>55</v>
      </c>
      <c r="D93" s="146">
        <f>D85+D87+D89+D91</f>
        <v>7.0580254040935007</v>
      </c>
      <c r="E93" s="39" t="s">
        <v>188</v>
      </c>
      <c r="F93" s="12"/>
    </row>
    <row r="94" spans="1:8" ht="14.5" thickBot="1" x14ac:dyDescent="0.4">
      <c r="A94" s="42"/>
      <c r="B94" s="43"/>
      <c r="C94" s="44"/>
      <c r="D94" s="44"/>
      <c r="E94" s="44"/>
      <c r="F94" s="45"/>
    </row>
    <row r="95" spans="1:8" x14ac:dyDescent="0.35">
      <c r="A95" s="53" t="s">
        <v>92</v>
      </c>
      <c r="B95" s="54"/>
      <c r="C95" s="55"/>
      <c r="D95" s="55"/>
      <c r="E95" s="56"/>
      <c r="F95" s="57"/>
    </row>
    <row r="96" spans="1:8" x14ac:dyDescent="0.35">
      <c r="A96" s="147"/>
      <c r="B96" s="148"/>
      <c r="C96" s="11"/>
      <c r="D96" s="11"/>
      <c r="E96" s="11"/>
      <c r="F96" s="12"/>
    </row>
    <row r="97" spans="1:6" x14ac:dyDescent="0.35">
      <c r="A97" s="25" t="s">
        <v>106</v>
      </c>
      <c r="B97" s="10"/>
      <c r="C97" s="118" t="s">
        <v>55</v>
      </c>
      <c r="D97" s="149">
        <f>0.6*D81*D8*1000</f>
        <v>853482.94798525563</v>
      </c>
      <c r="E97" s="117" t="s">
        <v>107</v>
      </c>
      <c r="F97" s="12"/>
    </row>
    <row r="98" spans="1:6" x14ac:dyDescent="0.35">
      <c r="A98" s="25" t="s">
        <v>88</v>
      </c>
      <c r="B98" s="10"/>
      <c r="C98" s="118" t="s">
        <v>55</v>
      </c>
      <c r="D98" s="149">
        <f>0.02*D55</f>
        <v>1016930.8753618617</v>
      </c>
      <c r="E98" s="117" t="s">
        <v>107</v>
      </c>
      <c r="F98" s="12"/>
    </row>
    <row r="99" spans="1:6" x14ac:dyDescent="0.35">
      <c r="A99" s="25" t="s">
        <v>90</v>
      </c>
      <c r="B99" s="10"/>
      <c r="C99" s="118" t="s">
        <v>55</v>
      </c>
      <c r="D99" s="149">
        <f>0.01*D55</f>
        <v>508465.43768093083</v>
      </c>
      <c r="E99" s="117" t="s">
        <v>107</v>
      </c>
      <c r="F99" s="12"/>
    </row>
    <row r="100" spans="1:6" x14ac:dyDescent="0.35">
      <c r="A100" s="25" t="s">
        <v>89</v>
      </c>
      <c r="B100" s="10"/>
      <c r="C100" s="118" t="s">
        <v>55</v>
      </c>
      <c r="D100" s="149">
        <f>0.01*D55</f>
        <v>508465.43768093083</v>
      </c>
      <c r="E100" s="117" t="s">
        <v>107</v>
      </c>
      <c r="F100" s="12"/>
    </row>
    <row r="101" spans="1:6" ht="16.5" x14ac:dyDescent="0.35">
      <c r="A101" s="25" t="s">
        <v>134</v>
      </c>
      <c r="B101" s="10"/>
      <c r="C101" s="11"/>
      <c r="D101" s="11"/>
      <c r="E101" s="11"/>
      <c r="F101" s="12"/>
    </row>
    <row r="102" spans="1:6" x14ac:dyDescent="0.35">
      <c r="A102" s="112" t="s">
        <v>135</v>
      </c>
      <c r="B102" s="117">
        <v>5</v>
      </c>
      <c r="C102" s="118"/>
      <c r="D102" s="149"/>
      <c r="E102" s="11"/>
      <c r="F102" s="12"/>
    </row>
    <row r="103" spans="1:6" x14ac:dyDescent="0.35">
      <c r="A103" s="112" t="s">
        <v>136</v>
      </c>
      <c r="B103" s="117">
        <v>15</v>
      </c>
      <c r="C103" s="118"/>
      <c r="D103" s="149"/>
      <c r="E103" s="11"/>
      <c r="F103" s="12"/>
    </row>
    <row r="104" spans="1:6" x14ac:dyDescent="0.35">
      <c r="A104" s="25" t="s">
        <v>137</v>
      </c>
      <c r="B104" s="104">
        <f>((B102/100)*((1+(B102/100))^B103))/(((1+(B102/100))^B103)-1)</f>
        <v>9.6342287609244348E-2</v>
      </c>
      <c r="C104" s="118" t="s">
        <v>55</v>
      </c>
      <c r="D104" s="149">
        <f>B104*D55</f>
        <v>4898672.3436416546</v>
      </c>
      <c r="E104" s="117" t="s">
        <v>107</v>
      </c>
      <c r="F104" s="12"/>
    </row>
    <row r="105" spans="1:6" x14ac:dyDescent="0.35">
      <c r="A105" s="147"/>
      <c r="B105" s="10"/>
      <c r="C105" s="11"/>
      <c r="D105" s="149"/>
      <c r="E105" s="11"/>
      <c r="F105" s="12"/>
    </row>
    <row r="106" spans="1:6" x14ac:dyDescent="0.35">
      <c r="A106" s="111" t="s">
        <v>91</v>
      </c>
      <c r="B106" s="10"/>
      <c r="C106" s="118" t="s">
        <v>55</v>
      </c>
      <c r="D106" s="150">
        <f>SUM(D97:D104)</f>
        <v>7786017.0423506331</v>
      </c>
      <c r="E106" s="11"/>
      <c r="F106" s="12"/>
    </row>
    <row r="107" spans="1:6" x14ac:dyDescent="0.35">
      <c r="A107" s="111"/>
      <c r="B107" s="10"/>
      <c r="C107" s="11"/>
      <c r="D107" s="151"/>
      <c r="E107" s="11"/>
      <c r="F107" s="12"/>
    </row>
    <row r="108" spans="1:6" x14ac:dyDescent="0.35">
      <c r="A108" s="111" t="s">
        <v>98</v>
      </c>
      <c r="B108" s="37"/>
      <c r="C108" s="32" t="s">
        <v>55</v>
      </c>
      <c r="D108" s="150">
        <f>D81*D8*1000+D93*D8*8760+D106</f>
        <v>10908766.942172183</v>
      </c>
      <c r="E108" s="11"/>
      <c r="F108" s="12"/>
    </row>
    <row r="109" spans="1:6" ht="14.5" thickBot="1" x14ac:dyDescent="0.4">
      <c r="A109" s="152"/>
      <c r="B109" s="153"/>
      <c r="C109" s="44"/>
      <c r="D109" s="44"/>
      <c r="E109" s="44"/>
      <c r="F109" s="45"/>
    </row>
    <row r="110" spans="1:6" x14ac:dyDescent="0.35">
      <c r="A110" s="33"/>
      <c r="B110" s="66"/>
      <c r="C110" s="34"/>
      <c r="D110" s="34"/>
      <c r="E110" s="34"/>
      <c r="F110" s="35"/>
    </row>
    <row r="111" spans="1:6" x14ac:dyDescent="0.35">
      <c r="A111" s="25" t="s">
        <v>93</v>
      </c>
      <c r="B111" s="10"/>
      <c r="C111" s="118" t="s">
        <v>55</v>
      </c>
      <c r="D111" s="154">
        <v>584.6</v>
      </c>
      <c r="E111" s="11"/>
      <c r="F111" s="12"/>
    </row>
    <row r="112" spans="1:6" x14ac:dyDescent="0.35">
      <c r="A112" s="25" t="s">
        <v>104</v>
      </c>
      <c r="B112" s="10"/>
      <c r="C112" s="118" t="s">
        <v>55</v>
      </c>
      <c r="D112" s="155">
        <v>536.4</v>
      </c>
      <c r="E112" s="11"/>
      <c r="F112" s="12"/>
    </row>
    <row r="113" spans="1:6" x14ac:dyDescent="0.35">
      <c r="A113" s="9"/>
      <c r="B113" s="10"/>
      <c r="C113" s="11"/>
      <c r="D113" s="11"/>
      <c r="E113" s="11"/>
      <c r="F113" s="12"/>
    </row>
    <row r="114" spans="1:6" x14ac:dyDescent="0.35">
      <c r="A114" s="111" t="s">
        <v>103</v>
      </c>
      <c r="B114" s="37"/>
      <c r="C114" s="32" t="s">
        <v>55</v>
      </c>
      <c r="D114" s="78">
        <f>D108*D112/D111</f>
        <v>10009344.146050561</v>
      </c>
      <c r="E114" s="11"/>
      <c r="F114" s="12"/>
    </row>
    <row r="115" spans="1:6" ht="14.5" thickBot="1" x14ac:dyDescent="0.4">
      <c r="A115" s="152"/>
      <c r="B115" s="43"/>
      <c r="C115" s="44"/>
      <c r="D115" s="153"/>
      <c r="E115" s="44"/>
      <c r="F115" s="45"/>
    </row>
    <row r="116" spans="1:6" x14ac:dyDescent="0.35">
      <c r="A116" s="156"/>
      <c r="B116" s="10"/>
      <c r="C116" s="11"/>
      <c r="D116" s="157"/>
      <c r="E116" s="11"/>
      <c r="F116" s="12"/>
    </row>
    <row r="117" spans="1:6" ht="16" x14ac:dyDescent="0.35">
      <c r="A117" s="25" t="s">
        <v>95</v>
      </c>
      <c r="B117" s="158"/>
      <c r="C117" s="118" t="s">
        <v>55</v>
      </c>
      <c r="D117" s="159">
        <f>D11*(D15/1000000)*8760/2000</f>
        <v>652.59809999999993</v>
      </c>
      <c r="E117" s="11"/>
      <c r="F117" s="12"/>
    </row>
    <row r="118" spans="1:6" ht="16" x14ac:dyDescent="0.35">
      <c r="A118" s="25" t="s">
        <v>94</v>
      </c>
      <c r="B118" s="10"/>
      <c r="C118" s="118" t="s">
        <v>55</v>
      </c>
      <c r="D118" s="83">
        <v>90</v>
      </c>
      <c r="E118" s="11"/>
      <c r="F118" s="12"/>
    </row>
    <row r="119" spans="1:6" ht="16" x14ac:dyDescent="0.35">
      <c r="A119" s="25" t="s">
        <v>96</v>
      </c>
      <c r="B119" s="10"/>
      <c r="C119" s="118" t="s">
        <v>55</v>
      </c>
      <c r="D119" s="160">
        <f>D117*D118/100</f>
        <v>587.33828999999992</v>
      </c>
      <c r="E119" s="11"/>
      <c r="F119" s="12"/>
    </row>
    <row r="120" spans="1:6" x14ac:dyDescent="0.35">
      <c r="A120" s="25"/>
      <c r="B120" s="10"/>
      <c r="C120" s="118"/>
      <c r="D120" s="160"/>
      <c r="E120" s="11"/>
      <c r="F120" s="12"/>
    </row>
    <row r="121" spans="1:6" ht="17" x14ac:dyDescent="0.35">
      <c r="A121" s="111" t="s">
        <v>97</v>
      </c>
      <c r="B121" s="161"/>
      <c r="C121" s="118" t="s">
        <v>55</v>
      </c>
      <c r="D121" s="162">
        <f>D114/D119</f>
        <v>17041.872318677815</v>
      </c>
      <c r="E121" s="11"/>
      <c r="F121" s="12"/>
    </row>
    <row r="122" spans="1:6" ht="14.5" thickBot="1" x14ac:dyDescent="0.4">
      <c r="A122" s="163"/>
      <c r="B122" s="43"/>
      <c r="C122" s="44"/>
      <c r="D122" s="164"/>
      <c r="E122" s="44"/>
      <c r="F122" s="45"/>
    </row>
  </sheetData>
  <mergeCells count="25">
    <mergeCell ref="E13:F13"/>
    <mergeCell ref="E7:F7"/>
    <mergeCell ref="A5:F5"/>
    <mergeCell ref="E8:F8"/>
    <mergeCell ref="E9:F9"/>
    <mergeCell ref="E10:F10"/>
    <mergeCell ref="E11:F11"/>
    <mergeCell ref="E12:F12"/>
    <mergeCell ref="A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48:F48"/>
    <mergeCell ref="A71:F71"/>
    <mergeCell ref="E87:F87"/>
    <mergeCell ref="E89:F89"/>
    <mergeCell ref="E91:F91"/>
  </mergeCells>
  <hyperlinks>
    <hyperlink ref="E20" r:id="rId1" display="https://www3.epa.gov/ttncatc1/dir1/ffdg.pdf"/>
    <hyperlink ref="E21" r:id="rId2" display="https://www3.epa.gov/ttncatc1/dir1/ffdg.pdf"/>
    <hyperlink ref="E23" r:id="rId3" display="http://www.newsminer.com/water-rates/article_11a2ba10-c211-562e-8da9-87dd16a7b104.html"/>
  </hyperlinks>
  <pageMargins left="0.7" right="0.7" top="0.582843137254902" bottom="0.77475490196078434" header="0.3" footer="0.3"/>
  <pageSetup scale="53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1"/>
  <sheetViews>
    <sheetView view="pageLayout" topLeftCell="A43" zoomScale="85" zoomScaleNormal="100" zoomScalePageLayoutView="85" workbookViewId="0">
      <selection activeCell="D57" sqref="D57"/>
    </sheetView>
  </sheetViews>
  <sheetFormatPr defaultColWidth="8.81640625" defaultRowHeight="14" x14ac:dyDescent="0.35"/>
  <cols>
    <col min="1" max="1" width="38.1796875" style="1" customWidth="1"/>
    <col min="2" max="2" width="40.7265625" style="1" customWidth="1"/>
    <col min="3" max="3" width="13.26953125" style="3" customWidth="1"/>
    <col min="4" max="4" width="18" style="3" customWidth="1"/>
    <col min="5" max="5" width="16.453125" style="3" customWidth="1"/>
    <col min="6" max="6" width="99" style="1" customWidth="1"/>
    <col min="7" max="7" width="11" style="1" bestFit="1" customWidth="1"/>
    <col min="8" max="8" width="14.26953125" style="1" bestFit="1" customWidth="1"/>
    <col min="9" max="16384" width="8.81640625" style="1"/>
  </cols>
  <sheetData>
    <row r="3" spans="1:7" ht="15.5" x14ac:dyDescent="0.35">
      <c r="A3" s="177" t="s">
        <v>226</v>
      </c>
      <c r="B3" s="177"/>
      <c r="C3" s="177"/>
      <c r="D3" s="177"/>
      <c r="E3" s="177"/>
      <c r="F3" s="177"/>
      <c r="G3" s="10"/>
    </row>
    <row r="4" spans="1:7" ht="14.5" thickBot="1" x14ac:dyDescent="0.4">
      <c r="A4" s="10"/>
      <c r="B4" s="10"/>
      <c r="C4" s="11"/>
      <c r="D4" s="11"/>
      <c r="E4" s="11"/>
      <c r="F4" s="10"/>
      <c r="G4" s="10"/>
    </row>
    <row r="5" spans="1:7" s="2" customFormat="1" x14ac:dyDescent="0.35">
      <c r="A5" s="99" t="s">
        <v>0</v>
      </c>
      <c r="B5" s="100" t="s">
        <v>1</v>
      </c>
      <c r="C5" s="100" t="s">
        <v>2</v>
      </c>
      <c r="D5" s="100" t="s">
        <v>3</v>
      </c>
      <c r="E5" s="178" t="s">
        <v>4</v>
      </c>
      <c r="F5" s="179"/>
    </row>
    <row r="6" spans="1:7" x14ac:dyDescent="0.35">
      <c r="A6" s="46" t="s">
        <v>32</v>
      </c>
      <c r="B6" s="5" t="s">
        <v>5</v>
      </c>
      <c r="C6" s="5" t="s">
        <v>23</v>
      </c>
      <c r="D6" s="84">
        <v>27.5</v>
      </c>
      <c r="E6" s="174" t="s">
        <v>228</v>
      </c>
      <c r="F6" s="173"/>
    </row>
    <row r="7" spans="1:7" ht="48" customHeight="1" x14ac:dyDescent="0.35">
      <c r="A7" s="46" t="s">
        <v>37</v>
      </c>
      <c r="B7" s="5" t="s">
        <v>6</v>
      </c>
      <c r="C7" s="5"/>
      <c r="D7" s="84">
        <v>1.5</v>
      </c>
      <c r="E7" s="174" t="s">
        <v>113</v>
      </c>
      <c r="F7" s="173"/>
    </row>
    <row r="8" spans="1:7" x14ac:dyDescent="0.35">
      <c r="A8" s="46" t="s">
        <v>38</v>
      </c>
      <c r="B8" s="5" t="s">
        <v>7</v>
      </c>
      <c r="C8" s="5" t="s">
        <v>24</v>
      </c>
      <c r="D8" s="85">
        <v>18000</v>
      </c>
      <c r="E8" s="174" t="s">
        <v>231</v>
      </c>
      <c r="F8" s="173"/>
    </row>
    <row r="9" spans="1:7" x14ac:dyDescent="0.35">
      <c r="A9" s="46" t="s">
        <v>39</v>
      </c>
      <c r="B9" s="5" t="s">
        <v>22</v>
      </c>
      <c r="C9" s="5" t="s">
        <v>25</v>
      </c>
      <c r="D9" s="171">
        <f>AVERAGE(0.471,0.131)</f>
        <v>0.30099999999999999</v>
      </c>
      <c r="E9" s="172" t="s">
        <v>232</v>
      </c>
      <c r="F9" s="173"/>
    </row>
    <row r="10" spans="1:7" x14ac:dyDescent="0.35">
      <c r="A10" s="46" t="s">
        <v>40</v>
      </c>
      <c r="B10" s="5" t="s">
        <v>8</v>
      </c>
      <c r="C10" s="5"/>
      <c r="D10" s="5" t="s">
        <v>45</v>
      </c>
      <c r="E10" s="174" t="s">
        <v>33</v>
      </c>
      <c r="F10" s="173"/>
    </row>
    <row r="11" spans="1:7" x14ac:dyDescent="0.35">
      <c r="A11" s="46" t="s">
        <v>142</v>
      </c>
      <c r="B11" s="5" t="s">
        <v>9</v>
      </c>
      <c r="C11" s="5"/>
      <c r="D11" s="5">
        <v>1.05</v>
      </c>
      <c r="E11" s="174" t="s">
        <v>190</v>
      </c>
      <c r="F11" s="173"/>
    </row>
    <row r="12" spans="1:7" x14ac:dyDescent="0.35">
      <c r="A12" s="46" t="s">
        <v>144</v>
      </c>
      <c r="B12" s="5" t="s">
        <v>10</v>
      </c>
      <c r="C12" s="5"/>
      <c r="D12" s="5">
        <f>D8/10000</f>
        <v>1.8</v>
      </c>
      <c r="E12" s="192" t="s">
        <v>191</v>
      </c>
      <c r="F12" s="193"/>
    </row>
    <row r="13" spans="1:7" x14ac:dyDescent="0.35">
      <c r="A13" s="46" t="s">
        <v>46</v>
      </c>
      <c r="B13" s="5" t="s">
        <v>11</v>
      </c>
      <c r="C13" s="5" t="s">
        <v>27</v>
      </c>
      <c r="D13" s="6">
        <f>D6*D8*1000</f>
        <v>495000000</v>
      </c>
      <c r="E13" s="174" t="s">
        <v>114</v>
      </c>
      <c r="F13" s="173"/>
    </row>
    <row r="14" spans="1:7" x14ac:dyDescent="0.35">
      <c r="A14" s="46" t="s">
        <v>192</v>
      </c>
      <c r="B14" s="5" t="s">
        <v>13</v>
      </c>
      <c r="C14" s="5" t="s">
        <v>28</v>
      </c>
      <c r="D14" s="7">
        <f>17.52*D6*D9*D12/2000</f>
        <v>0.13051962</v>
      </c>
      <c r="E14" s="174" t="s">
        <v>193</v>
      </c>
      <c r="F14" s="173"/>
    </row>
    <row r="15" spans="1:7" x14ac:dyDescent="0.35">
      <c r="A15" s="46" t="s">
        <v>149</v>
      </c>
      <c r="B15" s="5" t="s">
        <v>150</v>
      </c>
      <c r="C15" s="5" t="s">
        <v>28</v>
      </c>
      <c r="D15" s="79">
        <f>1.811*D14</f>
        <v>0.23637103181999999</v>
      </c>
      <c r="E15" s="175" t="s">
        <v>194</v>
      </c>
      <c r="F15" s="176"/>
    </row>
    <row r="16" spans="1:7" x14ac:dyDescent="0.35">
      <c r="A16" s="98" t="s">
        <v>101</v>
      </c>
      <c r="B16" s="4" t="s">
        <v>14</v>
      </c>
      <c r="C16" s="4" t="s">
        <v>26</v>
      </c>
      <c r="D16" s="130">
        <f>(1.05*EXP(0.155*D9))*D11*D12</f>
        <v>2.0792806514364099</v>
      </c>
      <c r="E16" s="174" t="s">
        <v>195</v>
      </c>
      <c r="F16" s="173"/>
    </row>
    <row r="17" spans="1:6" x14ac:dyDescent="0.35">
      <c r="A17" s="47" t="s">
        <v>153</v>
      </c>
      <c r="B17" s="5" t="s">
        <v>15</v>
      </c>
      <c r="C17" s="5" t="s">
        <v>154</v>
      </c>
      <c r="D17" s="79">
        <f>(1.674*D9+74.68)*D6*D11*D12/1000</f>
        <v>3.9076818511500004</v>
      </c>
      <c r="E17" s="113" t="s">
        <v>196</v>
      </c>
      <c r="F17" s="114"/>
    </row>
    <row r="18" spans="1:6" x14ac:dyDescent="0.35">
      <c r="A18" s="46" t="s">
        <v>197</v>
      </c>
      <c r="B18" s="5" t="s">
        <v>16</v>
      </c>
      <c r="C18" s="5" t="s">
        <v>29</v>
      </c>
      <c r="D18" s="84">
        <v>240</v>
      </c>
      <c r="E18" s="182" t="s">
        <v>157</v>
      </c>
      <c r="F18" s="183"/>
    </row>
    <row r="19" spans="1:6" x14ac:dyDescent="0.35">
      <c r="A19" s="46" t="s">
        <v>51</v>
      </c>
      <c r="B19" s="5" t="s">
        <v>17</v>
      </c>
      <c r="C19" s="5" t="s">
        <v>29</v>
      </c>
      <c r="D19" s="84">
        <v>30</v>
      </c>
      <c r="E19" s="182" t="s">
        <v>157</v>
      </c>
      <c r="F19" s="183"/>
    </row>
    <row r="20" spans="1:6" x14ac:dyDescent="0.35">
      <c r="A20" s="46" t="s">
        <v>52</v>
      </c>
      <c r="B20" s="5" t="s">
        <v>18</v>
      </c>
      <c r="C20" s="5" t="s">
        <v>30</v>
      </c>
      <c r="D20" s="86">
        <v>0.21</v>
      </c>
      <c r="E20" s="182" t="s">
        <v>118</v>
      </c>
      <c r="F20" s="183"/>
    </row>
    <row r="21" spans="1:6" x14ac:dyDescent="0.35">
      <c r="A21" s="105" t="s">
        <v>158</v>
      </c>
      <c r="B21" s="106" t="s">
        <v>19</v>
      </c>
      <c r="C21" s="106" t="s">
        <v>159</v>
      </c>
      <c r="D21" s="131">
        <v>7.17</v>
      </c>
      <c r="E21" s="182" t="s">
        <v>160</v>
      </c>
      <c r="F21" s="183"/>
    </row>
    <row r="22" spans="1:6" ht="14.5" thickBot="1" x14ac:dyDescent="0.4">
      <c r="A22" s="132" t="s">
        <v>53</v>
      </c>
      <c r="B22" s="133" t="s">
        <v>20</v>
      </c>
      <c r="C22" s="133" t="s">
        <v>31</v>
      </c>
      <c r="D22" s="165">
        <v>63</v>
      </c>
      <c r="E22" s="194" t="s">
        <v>161</v>
      </c>
      <c r="F22" s="195"/>
    </row>
    <row r="23" spans="1:6" ht="37.5" customHeight="1" thickBot="1" x14ac:dyDescent="0.4">
      <c r="A23" s="186" t="s">
        <v>198</v>
      </c>
      <c r="B23" s="187"/>
      <c r="C23" s="187"/>
      <c r="D23" s="187"/>
      <c r="E23" s="187"/>
      <c r="F23" s="188"/>
    </row>
    <row r="24" spans="1:6" ht="14.5" thickBot="1" x14ac:dyDescent="0.4">
      <c r="A24" s="27" t="s">
        <v>86</v>
      </c>
      <c r="B24" s="28"/>
      <c r="C24" s="29"/>
      <c r="D24" s="29"/>
      <c r="E24" s="30" t="s">
        <v>56</v>
      </c>
      <c r="F24" s="31"/>
    </row>
    <row r="25" spans="1:6" s="8" customFormat="1" x14ac:dyDescent="0.35">
      <c r="A25" s="20"/>
      <c r="B25" s="21"/>
      <c r="C25" s="22"/>
      <c r="D25" s="22"/>
      <c r="E25" s="23"/>
      <c r="F25" s="24"/>
    </row>
    <row r="26" spans="1:6" x14ac:dyDescent="0.35">
      <c r="A26" s="61" t="s">
        <v>199</v>
      </c>
      <c r="B26" s="10"/>
      <c r="C26" s="11"/>
      <c r="D26" s="11"/>
      <c r="E26" s="11"/>
      <c r="F26" s="12"/>
    </row>
    <row r="27" spans="1:6" x14ac:dyDescent="0.35">
      <c r="A27" s="9"/>
      <c r="B27" s="10"/>
      <c r="C27" s="11"/>
      <c r="D27" s="11"/>
      <c r="E27" s="11"/>
      <c r="F27" s="12"/>
    </row>
    <row r="28" spans="1:6" x14ac:dyDescent="0.35">
      <c r="A28" s="61" t="s">
        <v>200</v>
      </c>
      <c r="B28" s="10"/>
      <c r="C28" s="11" t="s">
        <v>55</v>
      </c>
      <c r="D28" s="13">
        <f>550000*(D7)*((D11*D12)^0.6)*((D9/2)^0.02)*(D6^0.716)</f>
        <v>12486593.393839346</v>
      </c>
      <c r="E28" s="117" t="s">
        <v>201</v>
      </c>
      <c r="F28" s="12"/>
    </row>
    <row r="29" spans="1:6" x14ac:dyDescent="0.35">
      <c r="A29" s="9"/>
      <c r="B29" s="10"/>
      <c r="C29" s="11"/>
      <c r="D29" s="11"/>
      <c r="E29" s="11"/>
      <c r="F29" s="12"/>
    </row>
    <row r="30" spans="1:6" x14ac:dyDescent="0.35">
      <c r="A30" s="61" t="s">
        <v>202</v>
      </c>
      <c r="B30" s="10"/>
      <c r="C30" s="11" t="s">
        <v>55</v>
      </c>
      <c r="D30" s="13">
        <f>190000*(D7)*((D9*D12)^0.3)*(D6^0.716)</f>
        <v>2544244.058528794</v>
      </c>
      <c r="E30" s="117" t="s">
        <v>203</v>
      </c>
      <c r="F30" s="12"/>
    </row>
    <row r="31" spans="1:6" x14ac:dyDescent="0.35">
      <c r="A31" s="9"/>
      <c r="B31" s="10"/>
      <c r="C31" s="11"/>
      <c r="D31" s="13"/>
      <c r="E31" s="117"/>
      <c r="F31" s="12"/>
    </row>
    <row r="32" spans="1:6" x14ac:dyDescent="0.35">
      <c r="A32" s="61" t="s">
        <v>204</v>
      </c>
      <c r="B32" s="10"/>
      <c r="C32" s="11" t="s">
        <v>55</v>
      </c>
      <c r="D32" s="13">
        <f>100000*(D7)*((D9*D12)^0.45)*(D6^0.716)</f>
        <v>1221464.9746553553</v>
      </c>
      <c r="E32" s="117" t="s">
        <v>205</v>
      </c>
      <c r="F32" s="12"/>
    </row>
    <row r="33" spans="1:6" x14ac:dyDescent="0.35">
      <c r="A33" s="9"/>
      <c r="B33" s="10"/>
      <c r="C33" s="11"/>
      <c r="D33" s="11"/>
      <c r="E33" s="11"/>
      <c r="F33" s="12"/>
    </row>
    <row r="34" spans="1:6" x14ac:dyDescent="0.35">
      <c r="A34" s="61" t="s">
        <v>206</v>
      </c>
      <c r="B34" s="10"/>
      <c r="C34" s="11" t="s">
        <v>55</v>
      </c>
      <c r="D34" s="13">
        <f>1010000*(D7)*((D11*D12)^0.4)*(D6^0.716)</f>
        <v>20968123.374279596</v>
      </c>
      <c r="E34" s="117" t="s">
        <v>207</v>
      </c>
      <c r="F34" s="12"/>
    </row>
    <row r="35" spans="1:6" x14ac:dyDescent="0.35">
      <c r="A35" s="25"/>
      <c r="B35" s="10"/>
      <c r="C35" s="11"/>
      <c r="D35" s="11"/>
      <c r="E35" s="117"/>
      <c r="F35" s="12"/>
    </row>
    <row r="36" spans="1:6" x14ac:dyDescent="0.35">
      <c r="A36" s="61" t="s">
        <v>208</v>
      </c>
      <c r="B36" s="10"/>
      <c r="C36" s="11" t="s">
        <v>55</v>
      </c>
      <c r="D36" s="13">
        <v>0</v>
      </c>
      <c r="E36" s="117" t="s">
        <v>209</v>
      </c>
      <c r="F36" s="12"/>
    </row>
    <row r="37" spans="1:6" x14ac:dyDescent="0.35">
      <c r="A37" s="25"/>
      <c r="B37" s="10"/>
      <c r="C37" s="11"/>
      <c r="D37" s="11"/>
      <c r="E37" s="117"/>
      <c r="F37" s="12"/>
    </row>
    <row r="38" spans="1:6" x14ac:dyDescent="0.35">
      <c r="A38" s="61" t="s">
        <v>210</v>
      </c>
      <c r="B38" s="10"/>
      <c r="C38" s="118" t="s">
        <v>55</v>
      </c>
      <c r="D38" s="13">
        <f>D28+D30+D32+D34+D36</f>
        <v>37220425.801303089</v>
      </c>
      <c r="E38" s="117" t="s">
        <v>211</v>
      </c>
      <c r="F38" s="12"/>
    </row>
    <row r="39" spans="1:6" x14ac:dyDescent="0.35">
      <c r="A39" s="61" t="s">
        <v>58</v>
      </c>
      <c r="B39" s="10"/>
      <c r="C39" s="118" t="s">
        <v>55</v>
      </c>
      <c r="D39" s="13">
        <f>D38/(D6*1000)</f>
        <v>1353.4700291382942</v>
      </c>
      <c r="E39" s="117" t="s">
        <v>212</v>
      </c>
      <c r="F39" s="12"/>
    </row>
    <row r="40" spans="1:6" x14ac:dyDescent="0.35">
      <c r="A40" s="9"/>
      <c r="B40" s="10"/>
      <c r="C40" s="11"/>
      <c r="D40" s="11"/>
      <c r="E40" s="117"/>
      <c r="F40" s="12"/>
    </row>
    <row r="41" spans="1:6" x14ac:dyDescent="0.35">
      <c r="A41" s="14" t="s">
        <v>60</v>
      </c>
      <c r="B41" s="10"/>
      <c r="C41" s="11"/>
      <c r="D41" s="11"/>
      <c r="E41" s="117"/>
      <c r="F41" s="12"/>
    </row>
    <row r="42" spans="1:6" x14ac:dyDescent="0.35">
      <c r="A42" s="14"/>
      <c r="B42" s="10"/>
      <c r="C42" s="11"/>
      <c r="D42" s="11"/>
      <c r="E42" s="117"/>
      <c r="F42" s="12"/>
    </row>
    <row r="43" spans="1:6" x14ac:dyDescent="0.35">
      <c r="A43" s="61" t="s">
        <v>108</v>
      </c>
      <c r="B43" s="10"/>
      <c r="C43" s="118" t="s">
        <v>55</v>
      </c>
      <c r="D43" s="15">
        <f>0.1*$D$38</f>
        <v>3722042.5801303089</v>
      </c>
      <c r="E43" s="97" t="s">
        <v>121</v>
      </c>
      <c r="F43" s="12"/>
    </row>
    <row r="44" spans="1:6" x14ac:dyDescent="0.35">
      <c r="A44" s="61" t="s">
        <v>109</v>
      </c>
      <c r="B44" s="10"/>
      <c r="C44" s="118" t="s">
        <v>55</v>
      </c>
      <c r="D44" s="15">
        <f>0.1*$D$38</f>
        <v>3722042.5801303089</v>
      </c>
      <c r="E44" s="97" t="s">
        <v>122</v>
      </c>
      <c r="F44" s="12"/>
    </row>
    <row r="45" spans="1:6" x14ac:dyDescent="0.35">
      <c r="A45" s="61" t="s">
        <v>110</v>
      </c>
      <c r="B45" s="10"/>
      <c r="C45" s="118" t="s">
        <v>55</v>
      </c>
      <c r="D45" s="15">
        <f>0.1*$D$38</f>
        <v>3722042.5801303089</v>
      </c>
      <c r="E45" s="97" t="s">
        <v>123</v>
      </c>
      <c r="F45" s="12"/>
    </row>
    <row r="46" spans="1:6" x14ac:dyDescent="0.35">
      <c r="A46" s="9"/>
      <c r="B46" s="10"/>
      <c r="C46" s="11"/>
      <c r="D46" s="11"/>
      <c r="E46" s="117"/>
      <c r="F46" s="12"/>
    </row>
    <row r="47" spans="1:6" x14ac:dyDescent="0.35">
      <c r="A47" s="166" t="s">
        <v>63</v>
      </c>
      <c r="B47" s="10"/>
      <c r="C47" s="118" t="s">
        <v>55</v>
      </c>
      <c r="D47" s="78">
        <f>D38+D43+D44+D45</f>
        <v>48386553.541694015</v>
      </c>
      <c r="E47" s="117" t="s">
        <v>102</v>
      </c>
      <c r="F47" s="12"/>
    </row>
    <row r="48" spans="1:6" x14ac:dyDescent="0.35">
      <c r="A48" s="166" t="s">
        <v>171</v>
      </c>
      <c r="B48" s="10"/>
      <c r="C48" s="118" t="s">
        <v>55</v>
      </c>
      <c r="D48" s="87">
        <f>D47/(D6*1000)</f>
        <v>1759.5110378797824</v>
      </c>
      <c r="E48" s="117" t="s">
        <v>65</v>
      </c>
      <c r="F48" s="12"/>
    </row>
    <row r="49" spans="1:6" x14ac:dyDescent="0.35">
      <c r="A49" s="14"/>
      <c r="B49" s="10"/>
      <c r="C49" s="118"/>
      <c r="D49" s="87"/>
      <c r="E49" s="117"/>
      <c r="F49" s="12"/>
    </row>
    <row r="50" spans="1:6" ht="14.25" customHeight="1" x14ac:dyDescent="0.35">
      <c r="A50" s="61" t="s">
        <v>66</v>
      </c>
      <c r="B50" s="10"/>
      <c r="C50" s="118" t="s">
        <v>55</v>
      </c>
      <c r="D50" s="15">
        <f>0.05*D47</f>
        <v>2419327.6770847007</v>
      </c>
      <c r="E50" s="180" t="s">
        <v>67</v>
      </c>
      <c r="F50" s="181"/>
    </row>
    <row r="51" spans="1:6" x14ac:dyDescent="0.35">
      <c r="A51" s="9"/>
      <c r="B51" s="10"/>
      <c r="C51" s="118"/>
      <c r="D51" s="15"/>
      <c r="E51" s="117"/>
      <c r="F51" s="12"/>
    </row>
    <row r="52" spans="1:6" x14ac:dyDescent="0.35">
      <c r="A52" s="166" t="s">
        <v>69</v>
      </c>
      <c r="B52" s="10"/>
      <c r="C52" s="118" t="s">
        <v>55</v>
      </c>
      <c r="D52" s="78">
        <f>D47+D50</f>
        <v>50805881.218778715</v>
      </c>
      <c r="E52" s="117" t="s">
        <v>105</v>
      </c>
      <c r="F52" s="12"/>
    </row>
    <row r="53" spans="1:6" x14ac:dyDescent="0.35">
      <c r="A53" s="166" t="s">
        <v>172</v>
      </c>
      <c r="B53" s="10"/>
      <c r="C53" s="118" t="s">
        <v>55</v>
      </c>
      <c r="D53" s="87">
        <f>D52/(D6*1000)</f>
        <v>1847.4865897737714</v>
      </c>
      <c r="E53" s="117" t="s">
        <v>71</v>
      </c>
      <c r="F53" s="12"/>
    </row>
    <row r="54" spans="1:6" x14ac:dyDescent="0.35">
      <c r="A54" s="14"/>
      <c r="B54" s="10"/>
      <c r="C54" s="118"/>
      <c r="D54" s="87"/>
      <c r="E54" s="117"/>
      <c r="F54" s="12"/>
    </row>
    <row r="55" spans="1:6" x14ac:dyDescent="0.35">
      <c r="A55" s="61" t="s">
        <v>173</v>
      </c>
      <c r="B55" s="10"/>
      <c r="C55" s="118" t="s">
        <v>55</v>
      </c>
      <c r="D55" s="167">
        <f>0.1*(D47+D50)</f>
        <v>5080588.1218778715</v>
      </c>
      <c r="E55" s="117" t="s">
        <v>174</v>
      </c>
      <c r="F55" s="12"/>
    </row>
    <row r="56" spans="1:6" x14ac:dyDescent="0.35">
      <c r="A56" s="9"/>
      <c r="B56" s="10"/>
      <c r="C56" s="118"/>
      <c r="D56" s="11"/>
      <c r="E56" s="117"/>
      <c r="F56" s="12"/>
    </row>
    <row r="57" spans="1:6" x14ac:dyDescent="0.35">
      <c r="A57" s="166" t="s">
        <v>175</v>
      </c>
      <c r="B57" s="37"/>
      <c r="C57" s="32" t="s">
        <v>55</v>
      </c>
      <c r="D57" s="78">
        <f>D52+D55</f>
        <v>55886469.340656586</v>
      </c>
      <c r="E57" s="39" t="s">
        <v>70</v>
      </c>
      <c r="F57" s="40"/>
    </row>
    <row r="58" spans="1:6" x14ac:dyDescent="0.35">
      <c r="A58" s="166" t="s">
        <v>213</v>
      </c>
      <c r="B58" s="10"/>
      <c r="C58" s="118" t="s">
        <v>55</v>
      </c>
      <c r="D58" s="87">
        <f>D57/(D6*1000)</f>
        <v>2032.2352487511487</v>
      </c>
      <c r="E58" s="39" t="s">
        <v>76</v>
      </c>
      <c r="F58" s="12"/>
    </row>
    <row r="59" spans="1:6" ht="14.5" thickBot="1" x14ac:dyDescent="0.4">
      <c r="A59" s="141"/>
      <c r="B59" s="43"/>
      <c r="C59" s="142"/>
      <c r="D59" s="143"/>
      <c r="E59" s="144"/>
      <c r="F59" s="45"/>
    </row>
    <row r="60" spans="1:6" x14ac:dyDescent="0.35">
      <c r="A60" s="37"/>
      <c r="B60" s="10"/>
      <c r="C60" s="118"/>
      <c r="D60" s="87"/>
      <c r="E60" s="117"/>
      <c r="F60" s="10"/>
    </row>
    <row r="61" spans="1:6" x14ac:dyDescent="0.35">
      <c r="A61" s="37"/>
      <c r="B61" s="10"/>
      <c r="C61" s="118"/>
      <c r="D61" s="87"/>
      <c r="E61" s="117"/>
      <c r="F61" s="10"/>
    </row>
    <row r="62" spans="1:6" x14ac:dyDescent="0.35">
      <c r="A62" s="37"/>
      <c r="B62" s="10"/>
      <c r="C62" s="118"/>
      <c r="D62" s="87"/>
      <c r="E62" s="117"/>
      <c r="F62" s="10"/>
    </row>
    <row r="63" spans="1:6" x14ac:dyDescent="0.35">
      <c r="A63" s="37"/>
      <c r="B63" s="10"/>
      <c r="C63" s="118"/>
      <c r="D63" s="87"/>
      <c r="E63" s="117"/>
      <c r="F63" s="10"/>
    </row>
    <row r="64" spans="1:6" x14ac:dyDescent="0.35">
      <c r="A64" s="37"/>
      <c r="B64" s="10"/>
      <c r="C64" s="118"/>
      <c r="D64" s="87"/>
      <c r="E64" s="117"/>
      <c r="F64" s="10"/>
    </row>
    <row r="65" spans="1:6" x14ac:dyDescent="0.35">
      <c r="A65" s="37"/>
      <c r="B65" s="10"/>
      <c r="C65" s="118"/>
      <c r="D65" s="87"/>
      <c r="E65" s="117"/>
      <c r="F65" s="10"/>
    </row>
    <row r="66" spans="1:6" x14ac:dyDescent="0.35">
      <c r="A66" s="37"/>
      <c r="B66" s="10"/>
      <c r="C66" s="118"/>
      <c r="D66" s="87"/>
      <c r="E66" s="117"/>
      <c r="F66" s="10"/>
    </row>
    <row r="67" spans="1:6" ht="15.5" x14ac:dyDescent="0.35">
      <c r="A67" s="177" t="s">
        <v>189</v>
      </c>
      <c r="B67" s="177"/>
      <c r="C67" s="177"/>
      <c r="D67" s="177"/>
      <c r="E67" s="177"/>
      <c r="F67" s="177"/>
    </row>
    <row r="68" spans="1:6" ht="14.5" thickBot="1" x14ac:dyDescent="0.4">
      <c r="A68" s="37"/>
      <c r="B68" s="10"/>
      <c r="C68" s="118"/>
      <c r="D68" s="87"/>
      <c r="E68" s="117"/>
      <c r="F68" s="10"/>
    </row>
    <row r="69" spans="1:6" x14ac:dyDescent="0.35">
      <c r="A69" s="92"/>
      <c r="B69" s="93"/>
      <c r="C69" s="94"/>
      <c r="D69" s="94"/>
      <c r="E69" s="95"/>
      <c r="F69" s="96"/>
    </row>
    <row r="70" spans="1:6" x14ac:dyDescent="0.35">
      <c r="A70" s="52" t="s">
        <v>87</v>
      </c>
      <c r="B70" s="48"/>
      <c r="C70" s="49"/>
      <c r="D70" s="49"/>
      <c r="E70" s="50"/>
      <c r="F70" s="51"/>
    </row>
    <row r="71" spans="1:6" x14ac:dyDescent="0.35">
      <c r="A71" s="16" t="s">
        <v>77</v>
      </c>
      <c r="B71" s="17"/>
      <c r="C71" s="18"/>
      <c r="D71" s="18"/>
      <c r="E71" s="36"/>
      <c r="F71" s="19"/>
    </row>
    <row r="72" spans="1:6" x14ac:dyDescent="0.35">
      <c r="A72" s="9"/>
      <c r="B72" s="10"/>
      <c r="C72" s="11"/>
      <c r="D72" s="11"/>
      <c r="E72" s="117"/>
      <c r="F72" s="12"/>
    </row>
    <row r="73" spans="1:6" x14ac:dyDescent="0.35">
      <c r="A73" s="61" t="s">
        <v>214</v>
      </c>
      <c r="B73" s="10"/>
      <c r="C73" s="118" t="s">
        <v>55</v>
      </c>
      <c r="D73" s="119">
        <f>6*2080*D22/(D6*1000)</f>
        <v>28.590545454545456</v>
      </c>
      <c r="E73" s="117" t="s">
        <v>79</v>
      </c>
      <c r="F73" s="12"/>
    </row>
    <row r="74" spans="1:6" x14ac:dyDescent="0.35">
      <c r="A74" s="61" t="s">
        <v>178</v>
      </c>
      <c r="B74" s="10"/>
      <c r="C74" s="118" t="s">
        <v>55</v>
      </c>
      <c r="D74" s="119">
        <f>D38*0.015/(D7*D6*1000)</f>
        <v>13.534700291382942</v>
      </c>
      <c r="E74" s="117" t="s">
        <v>80</v>
      </c>
      <c r="F74" s="12"/>
    </row>
    <row r="75" spans="1:6" x14ac:dyDescent="0.35">
      <c r="A75" s="61" t="s">
        <v>126</v>
      </c>
      <c r="B75" s="10"/>
      <c r="C75" s="118" t="s">
        <v>55</v>
      </c>
      <c r="D75" s="119">
        <f>0.03*(D73+0.4*D74)</f>
        <v>1.020132767132959</v>
      </c>
      <c r="E75" s="117" t="s">
        <v>81</v>
      </c>
      <c r="F75" s="12"/>
    </row>
    <row r="76" spans="1:6" x14ac:dyDescent="0.35">
      <c r="A76" s="61" t="s">
        <v>215</v>
      </c>
      <c r="B76" s="10"/>
      <c r="C76" s="118"/>
      <c r="D76" s="119">
        <v>0</v>
      </c>
      <c r="E76" s="117" t="s">
        <v>216</v>
      </c>
      <c r="F76" s="12"/>
    </row>
    <row r="77" spans="1:6" x14ac:dyDescent="0.35">
      <c r="A77" s="9"/>
      <c r="B77" s="10"/>
      <c r="C77" s="11"/>
      <c r="D77" s="119"/>
      <c r="E77" s="117"/>
      <c r="F77" s="12"/>
    </row>
    <row r="78" spans="1:6" s="2" customFormat="1" x14ac:dyDescent="0.35">
      <c r="A78" s="166" t="s">
        <v>217</v>
      </c>
      <c r="B78" s="37"/>
      <c r="C78" s="32" t="s">
        <v>55</v>
      </c>
      <c r="D78" s="38">
        <f>D73+D74+D75+D76</f>
        <v>43.145378513061353</v>
      </c>
      <c r="E78" s="39" t="s">
        <v>132</v>
      </c>
      <c r="F78" s="40"/>
    </row>
    <row r="79" spans="1:6" x14ac:dyDescent="0.35">
      <c r="A79" s="9"/>
      <c r="B79" s="10"/>
      <c r="C79" s="11"/>
      <c r="D79" s="119"/>
      <c r="E79" s="117"/>
      <c r="F79" s="12"/>
    </row>
    <row r="80" spans="1:6" s="2" customFormat="1" x14ac:dyDescent="0.35">
      <c r="A80" s="16" t="s">
        <v>78</v>
      </c>
      <c r="B80" s="17"/>
      <c r="C80" s="18"/>
      <c r="D80" s="18"/>
      <c r="E80" s="36"/>
      <c r="F80" s="19"/>
    </row>
    <row r="81" spans="1:8" s="2" customFormat="1" x14ac:dyDescent="0.35">
      <c r="A81" s="61"/>
      <c r="B81" s="37"/>
      <c r="C81" s="41"/>
      <c r="D81" s="38"/>
      <c r="E81" s="39"/>
      <c r="F81" s="40"/>
    </row>
    <row r="82" spans="1:8" x14ac:dyDescent="0.35">
      <c r="A82" s="61" t="s">
        <v>179</v>
      </c>
      <c r="B82" s="10"/>
      <c r="C82" s="118" t="s">
        <v>55</v>
      </c>
      <c r="D82" s="119">
        <f>D14*D18/D6</f>
        <v>1.1390803199999999</v>
      </c>
      <c r="E82" s="117" t="s">
        <v>218</v>
      </c>
      <c r="F82" s="12"/>
    </row>
    <row r="83" spans="1:8" x14ac:dyDescent="0.35">
      <c r="A83" s="61"/>
      <c r="B83" s="10"/>
      <c r="C83" s="11"/>
      <c r="D83" s="119"/>
      <c r="E83" s="117"/>
      <c r="F83" s="12"/>
    </row>
    <row r="84" spans="1:8" ht="14.25" customHeight="1" x14ac:dyDescent="0.35">
      <c r="A84" s="61" t="s">
        <v>181</v>
      </c>
      <c r="B84" s="10"/>
      <c r="C84" s="118" t="s">
        <v>55</v>
      </c>
      <c r="D84" s="103">
        <f>D15*D19/D6</f>
        <v>0.25785930743999996</v>
      </c>
      <c r="E84" s="117" t="s">
        <v>219</v>
      </c>
      <c r="F84" s="126"/>
      <c r="H84" s="81"/>
    </row>
    <row r="85" spans="1:8" x14ac:dyDescent="0.35">
      <c r="A85" s="61"/>
      <c r="B85" s="10"/>
      <c r="C85" s="168"/>
      <c r="D85" s="103"/>
      <c r="E85" s="169"/>
      <c r="F85" s="126"/>
    </row>
    <row r="86" spans="1:8" x14ac:dyDescent="0.35">
      <c r="A86" s="61" t="s">
        <v>183</v>
      </c>
      <c r="B86" s="10"/>
      <c r="C86" s="118" t="s">
        <v>55</v>
      </c>
      <c r="D86" s="103">
        <f>D16*D20*10</f>
        <v>4.3664893680164605</v>
      </c>
      <c r="E86" s="180" t="s">
        <v>184</v>
      </c>
      <c r="F86" s="181"/>
    </row>
    <row r="87" spans="1:8" x14ac:dyDescent="0.35">
      <c r="A87" s="61"/>
      <c r="B87" s="10"/>
      <c r="C87" s="11"/>
      <c r="D87" s="103"/>
      <c r="E87" s="117"/>
      <c r="F87" s="12"/>
    </row>
    <row r="88" spans="1:8" x14ac:dyDescent="0.35">
      <c r="A88" s="61" t="s">
        <v>185</v>
      </c>
      <c r="B88" s="10"/>
      <c r="C88" s="11" t="s">
        <v>55</v>
      </c>
      <c r="D88" s="119">
        <f>D17*D21/D6</f>
        <v>1.0188392317362001</v>
      </c>
      <c r="E88" s="117" t="s">
        <v>186</v>
      </c>
      <c r="F88" s="12"/>
    </row>
    <row r="89" spans="1:8" x14ac:dyDescent="0.35">
      <c r="A89" s="61"/>
      <c r="B89" s="10"/>
      <c r="C89" s="11"/>
      <c r="D89" s="119"/>
      <c r="E89" s="117"/>
      <c r="F89" s="12"/>
    </row>
    <row r="90" spans="1:8" x14ac:dyDescent="0.35">
      <c r="A90" s="61" t="s">
        <v>220</v>
      </c>
      <c r="B90" s="10"/>
      <c r="C90" s="11" t="s">
        <v>55</v>
      </c>
      <c r="D90" s="119">
        <v>0</v>
      </c>
      <c r="E90" s="117" t="s">
        <v>221</v>
      </c>
      <c r="F90" s="12"/>
    </row>
    <row r="91" spans="1:8" x14ac:dyDescent="0.35">
      <c r="A91" s="9"/>
      <c r="B91" s="10"/>
      <c r="C91" s="11"/>
      <c r="D91" s="119"/>
      <c r="E91" s="117"/>
      <c r="F91" s="12"/>
    </row>
    <row r="92" spans="1:8" x14ac:dyDescent="0.35">
      <c r="A92" s="166" t="s">
        <v>222</v>
      </c>
      <c r="B92" s="37"/>
      <c r="C92" s="32" t="s">
        <v>55</v>
      </c>
      <c r="D92" s="82">
        <f>D82+D84+D86+D88+D90</f>
        <v>6.7822682271926604</v>
      </c>
      <c r="E92" s="39" t="s">
        <v>133</v>
      </c>
      <c r="F92" s="12"/>
    </row>
    <row r="93" spans="1:8" ht="14.5" thickBot="1" x14ac:dyDescent="0.4">
      <c r="A93" s="42"/>
      <c r="B93" s="43"/>
      <c r="C93" s="44"/>
      <c r="D93" s="44"/>
      <c r="E93" s="44"/>
      <c r="F93" s="45"/>
    </row>
    <row r="94" spans="1:8" x14ac:dyDescent="0.35">
      <c r="A94" s="53" t="s">
        <v>92</v>
      </c>
      <c r="B94" s="54"/>
      <c r="C94" s="55"/>
      <c r="D94" s="55"/>
      <c r="E94" s="56"/>
      <c r="F94" s="57"/>
    </row>
    <row r="95" spans="1:8" x14ac:dyDescent="0.35">
      <c r="A95" s="58"/>
      <c r="B95" s="59"/>
      <c r="C95" s="11"/>
      <c r="D95" s="11"/>
      <c r="E95" s="11"/>
      <c r="F95" s="12"/>
    </row>
    <row r="96" spans="1:8" x14ac:dyDescent="0.35">
      <c r="A96" s="61" t="s">
        <v>106</v>
      </c>
      <c r="B96" s="10"/>
      <c r="C96" s="118" t="s">
        <v>55</v>
      </c>
      <c r="D96" s="76">
        <f>0.6*D78*D6*1000</f>
        <v>711898.74546551227</v>
      </c>
      <c r="E96" s="117" t="s">
        <v>107</v>
      </c>
      <c r="F96" s="12"/>
    </row>
    <row r="97" spans="1:6" x14ac:dyDescent="0.35">
      <c r="A97" s="61" t="s">
        <v>88</v>
      </c>
      <c r="B97" s="10"/>
      <c r="C97" s="118" t="s">
        <v>55</v>
      </c>
      <c r="D97" s="76">
        <f>0.02*D57</f>
        <v>1117729.3868131316</v>
      </c>
      <c r="E97" s="117" t="s">
        <v>107</v>
      </c>
      <c r="F97" s="12"/>
    </row>
    <row r="98" spans="1:6" x14ac:dyDescent="0.35">
      <c r="A98" s="61" t="s">
        <v>90</v>
      </c>
      <c r="B98" s="10"/>
      <c r="C98" s="118" t="s">
        <v>55</v>
      </c>
      <c r="D98" s="76">
        <f>0.01*D57</f>
        <v>558864.69340656581</v>
      </c>
      <c r="E98" s="117" t="s">
        <v>107</v>
      </c>
      <c r="F98" s="12"/>
    </row>
    <row r="99" spans="1:6" x14ac:dyDescent="0.35">
      <c r="A99" s="61" t="s">
        <v>89</v>
      </c>
      <c r="B99" s="10"/>
      <c r="C99" s="118" t="s">
        <v>55</v>
      </c>
      <c r="D99" s="76">
        <f>0.01*D57</f>
        <v>558864.69340656581</v>
      </c>
      <c r="E99" s="117" t="s">
        <v>107</v>
      </c>
      <c r="F99" s="12"/>
    </row>
    <row r="100" spans="1:6" ht="16.5" x14ac:dyDescent="0.35">
      <c r="A100" s="61" t="s">
        <v>134</v>
      </c>
      <c r="B100" s="10"/>
      <c r="F100" s="12"/>
    </row>
    <row r="101" spans="1:6" x14ac:dyDescent="0.35">
      <c r="A101" s="170" t="s">
        <v>135</v>
      </c>
      <c r="B101" s="117">
        <v>5</v>
      </c>
      <c r="C101" s="118"/>
      <c r="D101" s="76"/>
      <c r="E101" s="11"/>
      <c r="F101" s="12"/>
    </row>
    <row r="102" spans="1:6" x14ac:dyDescent="0.35">
      <c r="A102" s="170" t="s">
        <v>136</v>
      </c>
      <c r="B102" s="117">
        <v>15</v>
      </c>
      <c r="C102" s="11"/>
      <c r="D102" s="76"/>
      <c r="E102" s="11"/>
      <c r="F102" s="12"/>
    </row>
    <row r="103" spans="1:6" ht="17.25" customHeight="1" x14ac:dyDescent="0.35">
      <c r="A103" s="61" t="s">
        <v>137</v>
      </c>
      <c r="B103" s="104">
        <f>((B101/100)*((1+(B101/100))^B102))/(((1+(B101/100))^B102)-1)</f>
        <v>9.6342287609244348E-2</v>
      </c>
      <c r="C103" s="118" t="s">
        <v>55</v>
      </c>
      <c r="D103" s="76">
        <f>B103*D57</f>
        <v>5384230.3026827527</v>
      </c>
      <c r="E103" s="117" t="s">
        <v>107</v>
      </c>
      <c r="F103" s="12"/>
    </row>
    <row r="104" spans="1:6" ht="17.25" customHeight="1" x14ac:dyDescent="0.35">
      <c r="A104" s="58"/>
      <c r="B104" s="10"/>
      <c r="C104" s="11"/>
      <c r="D104" s="76"/>
      <c r="E104" s="11"/>
      <c r="F104" s="12"/>
    </row>
    <row r="105" spans="1:6" x14ac:dyDescent="0.35">
      <c r="A105" s="166" t="s">
        <v>91</v>
      </c>
      <c r="B105" s="10"/>
      <c r="C105" s="118" t="s">
        <v>55</v>
      </c>
      <c r="D105" s="64">
        <f>SUM(D96:D103)</f>
        <v>8331587.8217745284</v>
      </c>
      <c r="E105" s="11"/>
      <c r="F105" s="12"/>
    </row>
    <row r="106" spans="1:6" x14ac:dyDescent="0.35">
      <c r="A106" s="58"/>
      <c r="B106" s="10"/>
      <c r="C106" s="11"/>
      <c r="D106" s="60"/>
      <c r="E106" s="11"/>
      <c r="F106" s="12"/>
    </row>
    <row r="107" spans="1:6" x14ac:dyDescent="0.35">
      <c r="A107" s="166" t="s">
        <v>98</v>
      </c>
      <c r="B107" s="37"/>
      <c r="C107" s="32" t="s">
        <v>55</v>
      </c>
      <c r="D107" s="64">
        <f>D78*D6*1000+D92*D6*8760+D105</f>
        <v>11151934.146814428</v>
      </c>
      <c r="E107" s="11"/>
      <c r="F107" s="12"/>
    </row>
    <row r="108" spans="1:6" ht="14.5" thickBot="1" x14ac:dyDescent="0.4">
      <c r="A108" s="62"/>
      <c r="B108" s="63"/>
      <c r="C108" s="44"/>
      <c r="D108" s="44"/>
      <c r="E108" s="44"/>
      <c r="F108" s="45"/>
    </row>
    <row r="109" spans="1:6" x14ac:dyDescent="0.35">
      <c r="A109" s="33"/>
      <c r="B109" s="66"/>
      <c r="C109" s="34"/>
      <c r="D109" s="34"/>
      <c r="E109" s="34"/>
      <c r="F109" s="35"/>
    </row>
    <row r="110" spans="1:6" x14ac:dyDescent="0.3">
      <c r="A110" s="61" t="s">
        <v>93</v>
      </c>
      <c r="B110" s="10"/>
      <c r="C110" s="118" t="s">
        <v>55</v>
      </c>
      <c r="D110" s="67">
        <v>584.6</v>
      </c>
      <c r="E110" s="11"/>
      <c r="F110" s="12"/>
    </row>
    <row r="111" spans="1:6" x14ac:dyDescent="0.3">
      <c r="A111" s="61" t="s">
        <v>104</v>
      </c>
      <c r="B111" s="10"/>
      <c r="C111" s="118" t="s">
        <v>55</v>
      </c>
      <c r="D111" s="68">
        <v>536.4</v>
      </c>
      <c r="E111" s="11"/>
      <c r="F111" s="12"/>
    </row>
    <row r="112" spans="1:6" x14ac:dyDescent="0.35">
      <c r="A112" s="9"/>
      <c r="B112" s="10"/>
      <c r="C112" s="11"/>
      <c r="D112" s="11"/>
      <c r="E112" s="11"/>
      <c r="F112" s="12"/>
    </row>
    <row r="113" spans="1:6" x14ac:dyDescent="0.35">
      <c r="A113" s="166" t="s">
        <v>103</v>
      </c>
      <c r="B113" s="37"/>
      <c r="C113" s="32" t="s">
        <v>55</v>
      </c>
      <c r="D113" s="78">
        <f>D107*D111/D110</f>
        <v>10232462.326977864</v>
      </c>
      <c r="E113" s="11"/>
      <c r="F113" s="12"/>
    </row>
    <row r="114" spans="1:6" ht="14.5" thickBot="1" x14ac:dyDescent="0.4">
      <c r="A114" s="62"/>
      <c r="B114" s="43"/>
      <c r="C114" s="44"/>
      <c r="D114" s="63"/>
      <c r="E114" s="44"/>
      <c r="F114" s="45"/>
    </row>
    <row r="115" spans="1:6" x14ac:dyDescent="0.35">
      <c r="A115" s="69"/>
      <c r="B115" s="10"/>
      <c r="C115" s="11"/>
      <c r="D115" s="70"/>
      <c r="E115" s="11"/>
      <c r="F115" s="12"/>
    </row>
    <row r="116" spans="1:6" ht="16" x14ac:dyDescent="0.35">
      <c r="A116" s="61" t="s">
        <v>95</v>
      </c>
      <c r="B116" s="74"/>
      <c r="C116" s="118" t="s">
        <v>55</v>
      </c>
      <c r="D116" s="71">
        <f>D9*(D13/1000000)*8760/2000</f>
        <v>652.59809999999993</v>
      </c>
      <c r="E116" s="11"/>
      <c r="F116" s="12"/>
    </row>
    <row r="117" spans="1:6" ht="16" x14ac:dyDescent="0.35">
      <c r="A117" s="61" t="s">
        <v>94</v>
      </c>
      <c r="B117" s="10"/>
      <c r="C117" s="118" t="s">
        <v>55</v>
      </c>
      <c r="D117" s="83">
        <v>99</v>
      </c>
      <c r="E117" s="11"/>
      <c r="F117" s="12"/>
    </row>
    <row r="118" spans="1:6" ht="16" x14ac:dyDescent="0.35">
      <c r="A118" s="61" t="s">
        <v>96</v>
      </c>
      <c r="B118" s="10"/>
      <c r="C118" s="118" t="s">
        <v>55</v>
      </c>
      <c r="D118" s="72">
        <f>D116*D117/100</f>
        <v>646.07211899999993</v>
      </c>
      <c r="E118" s="11"/>
      <c r="F118" s="12"/>
    </row>
    <row r="119" spans="1:6" x14ac:dyDescent="0.35">
      <c r="A119" s="61"/>
      <c r="B119" s="10"/>
      <c r="C119" s="118"/>
      <c r="D119" s="72"/>
      <c r="E119" s="11"/>
      <c r="F119" s="12"/>
    </row>
    <row r="120" spans="1:6" ht="17" x14ac:dyDescent="0.35">
      <c r="A120" s="166" t="s">
        <v>97</v>
      </c>
      <c r="B120" s="75"/>
      <c r="C120" s="118" t="s">
        <v>55</v>
      </c>
      <c r="D120" s="77">
        <f>D113/D118</f>
        <v>15837.956825649468</v>
      </c>
      <c r="E120" s="117" t="s">
        <v>223</v>
      </c>
      <c r="F120" s="12"/>
    </row>
    <row r="121" spans="1:6" ht="14.5" thickBot="1" x14ac:dyDescent="0.4">
      <c r="A121" s="73"/>
      <c r="B121" s="43"/>
      <c r="C121" s="44"/>
      <c r="D121" s="65"/>
      <c r="E121" s="44"/>
      <c r="F121" s="45"/>
    </row>
  </sheetData>
  <mergeCells count="22">
    <mergeCell ref="A67:F67"/>
    <mergeCell ref="E86:F86"/>
    <mergeCell ref="E18:F18"/>
    <mergeCell ref="E19:F19"/>
    <mergeCell ref="E20:F20"/>
    <mergeCell ref="E21:F21"/>
    <mergeCell ref="E22:F22"/>
    <mergeCell ref="A3:F3"/>
    <mergeCell ref="E5:F5"/>
    <mergeCell ref="E6:F6"/>
    <mergeCell ref="A23:F23"/>
    <mergeCell ref="E50:F50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</mergeCells>
  <hyperlinks>
    <hyperlink ref="E20" r:id="rId1" display="https://www3.epa.gov/ttncatc1/dir1/ffdg.pdf"/>
    <hyperlink ref="E21" r:id="rId2" display="https://www3.epa.gov/ttncatc1/dir1/ffdg.pdf"/>
    <hyperlink ref="E23" r:id="rId3" display="http://www.newsminer.com/water-rates/article_11a2ba10-c211-562e-8da9-87dd16a7b104.html"/>
  </hyperlinks>
  <pageMargins left="0.7" right="0.7" top="0.582843137254902" bottom="0.77475490196078434" header="0.3" footer="0.3"/>
  <pageSetup scale="54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F293F6-4FF1-401C-87F1-18FEFF88C1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9CE20-289E-4E53-8283-F30854F6A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2085F2-7078-4519-8498-D2F4A5BE6A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Dry Sorbent Injection</vt:lpstr>
      <vt:lpstr>Spray Dry Absorber</vt:lpstr>
      <vt:lpstr>Wet Scrubber</vt:lpstr>
    </vt:vector>
  </TitlesOfParts>
  <Company>ERM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Kelley Hand</dc:creator>
  <cp:lastModifiedBy>Jones, David</cp:lastModifiedBy>
  <cp:lastPrinted>2018-02-16T19:17:10Z</cp:lastPrinted>
  <dcterms:created xsi:type="dcterms:W3CDTF">2017-10-23T20:23:20Z</dcterms:created>
  <dcterms:modified xsi:type="dcterms:W3CDTF">2019-11-08T20:07:58Z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06644b6bcd4e4cafbc8321390da5dfef</vt:lpwstr>
  </property>
</Properties>
</file>