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DHughes\Dropbox\Alaska Permits to Review\FINAL BACT Document revision folder\"/>
    </mc:Choice>
  </mc:AlternateContent>
  <bookViews>
    <workbookView xWindow="0" yWindow="0" windowWidth="25125" windowHeight="11730"/>
  </bookViews>
  <sheets>
    <sheet name="DSI - 50% Removal" sheetId="2" r:id="rId1"/>
    <sheet name="DSI - 80% Removal" sheetId="1" r:id="rId2"/>
    <sheet name="Sheet2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3" i="2" l="1"/>
  <c r="C46" i="2"/>
  <c r="B30" i="2"/>
  <c r="B8" i="2"/>
  <c r="B4" i="2" s="1"/>
  <c r="B7" i="2"/>
  <c r="B6" i="2"/>
  <c r="C53" i="1"/>
  <c r="B19" i="2" l="1"/>
  <c r="B15" i="2"/>
  <c r="B11" i="2"/>
  <c r="B22" i="2"/>
  <c r="B14" i="2"/>
  <c r="B10" i="2"/>
  <c r="B21" i="2"/>
  <c r="B13" i="2"/>
  <c r="B20" i="2"/>
  <c r="B12" i="2"/>
  <c r="B18" i="2"/>
  <c r="B17" i="2" l="1"/>
  <c r="B9" i="2"/>
  <c r="B16" i="2" s="1"/>
  <c r="B23" i="2" l="1"/>
  <c r="B24" i="2"/>
  <c r="B25" i="2" s="1"/>
  <c r="B34" i="2" l="1"/>
  <c r="B29" i="2"/>
  <c r="B28" i="2" s="1"/>
  <c r="B33" i="2" s="1"/>
  <c r="B36" i="2"/>
  <c r="B35" i="2"/>
  <c r="B37" i="2"/>
  <c r="B32" i="2" l="1"/>
  <c r="B38" i="2" s="1"/>
  <c r="B40" i="2" s="1"/>
  <c r="C46" i="1" l="1"/>
  <c r="B30" i="1"/>
  <c r="B8" i="1" l="1"/>
  <c r="B7" i="1"/>
  <c r="B6" i="1"/>
  <c r="B4" i="1" l="1"/>
  <c r="B18" i="1" s="1"/>
  <c r="B20" i="1"/>
  <c r="B15" i="1"/>
  <c r="B12" i="1" l="1"/>
  <c r="B21" i="1"/>
  <c r="B19" i="1"/>
  <c r="B10" i="1"/>
  <c r="B22" i="1"/>
  <c r="B14" i="1"/>
  <c r="B11" i="1"/>
  <c r="B13" i="1"/>
  <c r="B17" i="1" l="1"/>
  <c r="B23" i="1" s="1"/>
  <c r="B24" i="1" s="1"/>
  <c r="B9" i="1"/>
  <c r="B16" i="1" s="1"/>
  <c r="B25" i="1" s="1"/>
  <c r="B29" i="1" l="1"/>
  <c r="B28" i="1" s="1"/>
  <c r="B33" i="1" s="1"/>
  <c r="B37" i="1"/>
  <c r="B36" i="1"/>
  <c r="B34" i="1"/>
  <c r="B35" i="1"/>
  <c r="B32" i="1" l="1"/>
  <c r="B38" i="1" s="1"/>
  <c r="B40" i="1" s="1"/>
</calcChain>
</file>

<file path=xl/sharedStrings.xml><?xml version="1.0" encoding="utf-8"?>
<sst xmlns="http://schemas.openxmlformats.org/spreadsheetml/2006/main" count="150" uniqueCount="69">
  <si>
    <t>CAPITAL COSTS (Excluding Site Preparation and Building Costs)</t>
  </si>
  <si>
    <t>1)  DIRECT PURCHASE EQUIPMENT COSTS (PEC)</t>
  </si>
  <si>
    <t xml:space="preserve">     b) Instrumentation</t>
  </si>
  <si>
    <t xml:space="preserve">     c)  Sales tax</t>
  </si>
  <si>
    <t xml:space="preserve">     d) Freight</t>
  </si>
  <si>
    <t>2) DIRECT INSTALLATION COSTS (DIC)</t>
  </si>
  <si>
    <t xml:space="preserve">     a) Foundation and supports</t>
  </si>
  <si>
    <t xml:space="preserve">     b) Handling and erection</t>
  </si>
  <si>
    <t xml:space="preserve">     c) Electrical</t>
  </si>
  <si>
    <t xml:space="preserve">     d) Ducting</t>
  </si>
  <si>
    <t xml:space="preserve">     e) Insulation and Painting</t>
  </si>
  <si>
    <t>3) DIRECT CONTINGENCY</t>
  </si>
  <si>
    <t>TOTAL DIRECT CAPTIAL COSTS (DC)</t>
  </si>
  <si>
    <t xml:space="preserve">     a) Engineering</t>
  </si>
  <si>
    <t xml:space="preserve">     b) Construction and field expenses</t>
  </si>
  <si>
    <t xml:space="preserve">     c) Contractor fees</t>
  </si>
  <si>
    <t xml:space="preserve">     d) Start-up</t>
  </si>
  <si>
    <t xml:space="preserve">     e) Performance test</t>
  </si>
  <si>
    <t>5) INDIRECT CONTINGENCY</t>
  </si>
  <si>
    <t>TOTAL CAPITAL INVESTMENT (TCI)</t>
  </si>
  <si>
    <t>ANNUAL COSTS</t>
  </si>
  <si>
    <t xml:space="preserve">     a) Annual Maintenance</t>
  </si>
  <si>
    <t xml:space="preserve">     b) Annual Reagent Cost</t>
  </si>
  <si>
    <t>2) INDIRECT ANNUAL COSTS (IC)</t>
  </si>
  <si>
    <t xml:space="preserve">     a) Overhead</t>
  </si>
  <si>
    <t xml:space="preserve">     c) Property Taxes</t>
  </si>
  <si>
    <t xml:space="preserve">     d) Insurance</t>
  </si>
  <si>
    <t>TOTAL ANNUAL COST</t>
  </si>
  <si>
    <t>0.1 x EC</t>
  </si>
  <si>
    <t>0.03 x EC</t>
  </si>
  <si>
    <t>0.05 x EC</t>
  </si>
  <si>
    <t>0.1 x PEC</t>
  </si>
  <si>
    <t>0.2 x PEC</t>
  </si>
  <si>
    <t>0.01 x PEC</t>
  </si>
  <si>
    <t>0.05 x PEC</t>
  </si>
  <si>
    <t>0.02 x PEC</t>
  </si>
  <si>
    <t>0.2 x IC</t>
  </si>
  <si>
    <t>2% of TCI</t>
  </si>
  <si>
    <t>1% of TCI</t>
  </si>
  <si>
    <t xml:space="preserve">     b) Administrative Charges</t>
  </si>
  <si>
    <t xml:space="preserve">     e) Capital Recovery</t>
  </si>
  <si>
    <t>Cost Effectiveness, dollars per ton of NOx removed</t>
  </si>
  <si>
    <t>4) OTHER INDIRECT CAPITAL COSTS (INSTALLATION) (IC)</t>
  </si>
  <si>
    <t>DC + ICC</t>
  </si>
  <si>
    <t>TOTAL INDIRECT CAPITAL COSTS (ICC)</t>
  </si>
  <si>
    <t>IC + ICC</t>
  </si>
  <si>
    <t>Amerair 6/2/17</t>
  </si>
  <si>
    <t>b) Electricity of 500 kW blower requirements</t>
  </si>
  <si>
    <t>$0.2671/kwh per Ashish Agrawal, 4/21/17</t>
  </si>
  <si>
    <t>0.005*TCI, per SCR Cost Template</t>
  </si>
  <si>
    <t>60% Direct Annual Costs</t>
  </si>
  <si>
    <t>Capital Recovery Factor:</t>
  </si>
  <si>
    <t>Parameter</t>
  </si>
  <si>
    <t>Equation</t>
  </si>
  <si>
    <t>Calculated Value</t>
  </si>
  <si>
    <t xml:space="preserve">Capital Recovery Factor (CRF) = </t>
  </si>
  <si>
    <r>
      <t>i (1+ i)</t>
    </r>
    <r>
      <rPr>
        <vertAlign val="superscript"/>
        <sz val="12"/>
        <color theme="1"/>
        <rFont val="Calibri"/>
        <family val="2"/>
        <scheme val="minor"/>
      </rPr>
      <t>n</t>
    </r>
    <r>
      <rPr>
        <sz val="12"/>
        <color theme="1"/>
        <rFont val="Calibri"/>
        <family val="2"/>
        <scheme val="minor"/>
      </rPr>
      <t>/(1+ i)</t>
    </r>
    <r>
      <rPr>
        <vertAlign val="superscript"/>
        <sz val="12"/>
        <color theme="1"/>
        <rFont val="Calibri"/>
        <family val="2"/>
        <scheme val="minor"/>
      </rPr>
      <t>n</t>
    </r>
    <r>
      <rPr>
        <sz val="12"/>
        <color theme="1"/>
        <rFont val="Calibri"/>
        <family val="2"/>
        <scheme val="minor"/>
      </rPr>
      <t xml:space="preserve"> - 1 =</t>
    </r>
  </si>
  <si>
    <t>Where n = Equipment Life and i= Interest Rate</t>
  </si>
  <si>
    <t>Equipment Life, n</t>
  </si>
  <si>
    <t>Interest rate, i</t>
  </si>
  <si>
    <t>CRF*TCI</t>
  </si>
  <si>
    <t>Amerair Proposal for 80% removal</t>
  </si>
  <si>
    <t>1) DIRECT ANNUAL COSTS (DAC)</t>
  </si>
  <si>
    <t>Basecase</t>
  </si>
  <si>
    <t>Removal</t>
  </si>
  <si>
    <t>Dry Sorbent Injection with Trona for SO2 Control</t>
  </si>
  <si>
    <t>Amerair Proposal for 50% removal</t>
  </si>
  <si>
    <t xml:space="preserve">     a)  Equipment cost</t>
  </si>
  <si>
    <t>From Amerair Quote, excludes Owner-Supplied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</si>
</sst>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([$$-409]* #,##0_);_([$$-409]* \(#,##0\);_([$$-409]* &quot;-&quot;??_);_(@_)"/>
    <numFmt numFmtId="165" formatCode="0.0000"/>
    <numFmt numFmtId="166" formatCode="_(* #,##0_);_(* \(#,##0\);_(* &quot;-&quot;??_);_(@_)"/>
    <numFmt numFmtId="167" formatCode="_([$$-409]* #,##0.00_);_([$$-409]* \(#,##0.00\);_([$$-409]* &quot;-&quot;??_);_(@_)"/>
  </numFmts>
  <fonts count="10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0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4">
    <xf numFmtId="0" fontId="0" fillId="0" borderId="0" xfId="0"/>
    <xf numFmtId="164" fontId="0" fillId="0" borderId="0" xfId="0" applyNumberFormat="1"/>
    <xf numFmtId="0" fontId="2" fillId="0" borderId="5" xfId="0" applyFont="1" applyBorder="1"/>
    <xf numFmtId="164" fontId="2" fillId="0" borderId="6" xfId="0" applyNumberFormat="1" applyFont="1" applyBorder="1"/>
    <xf numFmtId="0" fontId="0" fillId="0" borderId="7" xfId="0" applyBorder="1"/>
    <xf numFmtId="0" fontId="0" fillId="0" borderId="8" xfId="0" applyBorder="1"/>
    <xf numFmtId="164" fontId="1" fillId="2" borderId="1" xfId="1" applyNumberFormat="1" applyBorder="1"/>
    <xf numFmtId="0" fontId="0" fillId="0" borderId="9" xfId="0" applyBorder="1"/>
    <xf numFmtId="164" fontId="0" fillId="0" borderId="0" xfId="0" applyNumberFormat="1" applyBorder="1"/>
    <xf numFmtId="0" fontId="0" fillId="0" borderId="10" xfId="0" applyBorder="1"/>
    <xf numFmtId="164" fontId="2" fillId="0" borderId="11" xfId="0" applyNumberFormat="1" applyFont="1" applyBorder="1"/>
    <xf numFmtId="0" fontId="0" fillId="0" borderId="12" xfId="0" applyBorder="1"/>
    <xf numFmtId="0" fontId="2" fillId="0" borderId="13" xfId="0" applyFont="1" applyBorder="1"/>
    <xf numFmtId="164" fontId="2" fillId="0" borderId="14" xfId="0" applyNumberFormat="1" applyFont="1" applyBorder="1"/>
    <xf numFmtId="0" fontId="0" fillId="0" borderId="15" xfId="0" applyBorder="1"/>
    <xf numFmtId="0" fontId="0" fillId="0" borderId="13" xfId="0" applyBorder="1"/>
    <xf numFmtId="0" fontId="0" fillId="0" borderId="16" xfId="0" applyBorder="1"/>
    <xf numFmtId="164" fontId="2" fillId="0" borderId="17" xfId="0" applyNumberFormat="1" applyFont="1" applyBorder="1"/>
    <xf numFmtId="0" fontId="0" fillId="0" borderId="18" xfId="0" applyBorder="1"/>
    <xf numFmtId="0" fontId="0" fillId="0" borderId="5" xfId="0" applyBorder="1"/>
    <xf numFmtId="164" fontId="0" fillId="0" borderId="6" xfId="0" applyNumberFormat="1" applyBorder="1"/>
    <xf numFmtId="164" fontId="0" fillId="0" borderId="14" xfId="0" applyNumberFormat="1" applyBorder="1"/>
    <xf numFmtId="0" fontId="0" fillId="0" borderId="19" xfId="0" applyBorder="1"/>
    <xf numFmtId="164" fontId="0" fillId="0" borderId="20" xfId="0" applyNumberFormat="1" applyBorder="1"/>
    <xf numFmtId="0" fontId="0" fillId="0" borderId="21" xfId="0" applyBorder="1"/>
    <xf numFmtId="0" fontId="0" fillId="0" borderId="2" xfId="0" applyBorder="1"/>
    <xf numFmtId="0" fontId="0" fillId="0" borderId="3" xfId="0" applyBorder="1"/>
    <xf numFmtId="0" fontId="0" fillId="0" borderId="8" xfId="0" applyBorder="1" applyAlignment="1">
      <alignment horizontal="left" indent="2"/>
    </xf>
    <xf numFmtId="0" fontId="5" fillId="0" borderId="0" xfId="0" applyFont="1" applyAlignment="1" applyProtection="1">
      <alignment wrapText="1"/>
      <protection hidden="1"/>
    </xf>
    <xf numFmtId="0" fontId="6" fillId="0" borderId="0" xfId="0" applyFont="1" applyProtection="1">
      <protection hidden="1"/>
    </xf>
    <xf numFmtId="0" fontId="7" fillId="4" borderId="0" xfId="0" applyFont="1" applyFill="1" applyProtection="1">
      <protection hidden="1"/>
    </xf>
    <xf numFmtId="0" fontId="8" fillId="4" borderId="0" xfId="0" applyFont="1" applyFill="1" applyProtection="1">
      <protection hidden="1"/>
    </xf>
    <xf numFmtId="0" fontId="6" fillId="4" borderId="0" xfId="0" applyFont="1" applyFill="1" applyProtection="1">
      <protection hidden="1"/>
    </xf>
    <xf numFmtId="0" fontId="4" fillId="5" borderId="22" xfId="0" applyFont="1" applyFill="1" applyBorder="1" applyAlignment="1" applyProtection="1">
      <alignment horizontal="left" wrapText="1"/>
      <protection hidden="1"/>
    </xf>
    <xf numFmtId="0" fontId="4" fillId="5" borderId="23" xfId="0" applyFont="1" applyFill="1" applyBorder="1" applyAlignment="1" applyProtection="1">
      <alignment horizontal="left" wrapText="1"/>
      <protection hidden="1"/>
    </xf>
    <xf numFmtId="0" fontId="4" fillId="0" borderId="0" xfId="0" applyFont="1" applyFill="1" applyBorder="1" applyAlignment="1" applyProtection="1">
      <alignment horizontal="left" wrapText="1"/>
      <protection hidden="1"/>
    </xf>
    <xf numFmtId="0" fontId="6" fillId="0" borderId="22" xfId="0" applyFont="1" applyBorder="1" applyAlignment="1" applyProtection="1">
      <alignment wrapText="1"/>
      <protection hidden="1"/>
    </xf>
    <xf numFmtId="165" fontId="6" fillId="3" borderId="24" xfId="0" applyNumberFormat="1" applyFont="1" applyFill="1" applyBorder="1" applyAlignment="1" applyProtection="1">
      <protection hidden="1"/>
    </xf>
    <xf numFmtId="0" fontId="6" fillId="0" borderId="25" xfId="0" applyFont="1" applyBorder="1" applyAlignment="1" applyProtection="1">
      <alignment wrapText="1"/>
      <protection hidden="1"/>
    </xf>
    <xf numFmtId="0" fontId="6" fillId="3" borderId="26" xfId="0" applyFont="1" applyFill="1" applyBorder="1" applyAlignment="1" applyProtection="1">
      <protection hidden="1"/>
    </xf>
    <xf numFmtId="0" fontId="6" fillId="0" borderId="0" xfId="0" applyFont="1" applyAlignment="1" applyProtection="1">
      <alignment wrapText="1"/>
      <protection hidden="1"/>
    </xf>
    <xf numFmtId="0" fontId="6" fillId="0" borderId="0" xfId="0" applyFont="1" applyFill="1" applyBorder="1" applyAlignment="1" applyProtection="1">
      <alignment wrapText="1"/>
      <protection hidden="1"/>
    </xf>
    <xf numFmtId="43" fontId="0" fillId="0" borderId="0" xfId="2" applyFont="1"/>
    <xf numFmtId="166" fontId="0" fillId="0" borderId="0" xfId="2" applyNumberFormat="1" applyFont="1"/>
    <xf numFmtId="1" fontId="0" fillId="0" borderId="0" xfId="0" applyNumberFormat="1"/>
    <xf numFmtId="167" fontId="0" fillId="0" borderId="4" xfId="0" applyNumberFormat="1" applyBorder="1"/>
    <xf numFmtId="9" fontId="0" fillId="0" borderId="0" xfId="3" applyFont="1"/>
    <xf numFmtId="0" fontId="2" fillId="3" borderId="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9" xfId="0" applyFill="1" applyBorder="1" applyAlignment="1">
      <alignment wrapText="1"/>
    </xf>
  </cellXfs>
  <cellStyles count="4">
    <cellStyle name="Comma" xfId="2" builtinId="3"/>
    <cellStyle name="Input" xfId="1" builtinId="20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U53"/>
  <sheetViews>
    <sheetView tabSelected="1" workbookViewId="0">
      <selection activeCell="C53" sqref="C53"/>
    </sheetView>
  </sheetViews>
  <sheetFormatPr defaultRowHeight="15" x14ac:dyDescent="0.25"/>
  <cols>
    <col min="1" max="1" width="68.5703125" customWidth="1"/>
    <col min="2" max="2" width="24.140625" style="1" customWidth="1"/>
    <col min="3" max="3" width="38.5703125" customWidth="1"/>
  </cols>
  <sheetData>
    <row r="1" spans="1:3" ht="15.75" thickBot="1" x14ac:dyDescent="0.3">
      <c r="A1" s="47" t="s">
        <v>65</v>
      </c>
      <c r="B1" s="48"/>
      <c r="C1" s="49"/>
    </row>
    <row r="2" spans="1:3" ht="15.75" thickBot="1" x14ac:dyDescent="0.3"/>
    <row r="3" spans="1:3" ht="15.75" thickBot="1" x14ac:dyDescent="0.3">
      <c r="A3" s="50" t="s">
        <v>0</v>
      </c>
      <c r="B3" s="51"/>
      <c r="C3" s="52"/>
    </row>
    <row r="4" spans="1:3" x14ac:dyDescent="0.25">
      <c r="A4" s="2" t="s">
        <v>1</v>
      </c>
      <c r="B4" s="3">
        <f>+B5+B6+B7+B8</f>
        <v>3304000</v>
      </c>
      <c r="C4" s="4"/>
    </row>
    <row r="5" spans="1:3" ht="30" x14ac:dyDescent="0.25">
      <c r="A5" s="5" t="s">
        <v>67</v>
      </c>
      <c r="B5" s="6">
        <v>2800000</v>
      </c>
      <c r="C5" s="53" t="s">
        <v>68</v>
      </c>
    </row>
    <row r="6" spans="1:3" x14ac:dyDescent="0.25">
      <c r="A6" s="5" t="s">
        <v>2</v>
      </c>
      <c r="B6" s="8">
        <f>0.1*B5</f>
        <v>280000</v>
      </c>
      <c r="C6" s="7" t="s">
        <v>28</v>
      </c>
    </row>
    <row r="7" spans="1:3" x14ac:dyDescent="0.25">
      <c r="A7" s="5" t="s">
        <v>3</v>
      </c>
      <c r="B7" s="8">
        <f>0.03*B5</f>
        <v>84000</v>
      </c>
      <c r="C7" s="7" t="s">
        <v>29</v>
      </c>
    </row>
    <row r="8" spans="1:3" x14ac:dyDescent="0.25">
      <c r="A8" s="5" t="s">
        <v>4</v>
      </c>
      <c r="B8" s="8">
        <f>0.05*B5</f>
        <v>140000</v>
      </c>
      <c r="C8" s="7" t="s">
        <v>30</v>
      </c>
    </row>
    <row r="9" spans="1:3" x14ac:dyDescent="0.25">
      <c r="A9" s="12" t="s">
        <v>5</v>
      </c>
      <c r="B9" s="13">
        <f>+B10+B11+B12+B13+B14</f>
        <v>1090320</v>
      </c>
      <c r="C9" s="14"/>
    </row>
    <row r="10" spans="1:3" x14ac:dyDescent="0.25">
      <c r="A10" s="5" t="s">
        <v>6</v>
      </c>
      <c r="B10" s="8">
        <f>0.1*B4</f>
        <v>330400</v>
      </c>
      <c r="C10" s="7" t="s">
        <v>31</v>
      </c>
    </row>
    <row r="11" spans="1:3" x14ac:dyDescent="0.25">
      <c r="A11" s="5" t="s">
        <v>7</v>
      </c>
      <c r="B11" s="8">
        <f>0.2*B4</f>
        <v>660800</v>
      </c>
      <c r="C11" s="7" t="s">
        <v>32</v>
      </c>
    </row>
    <row r="12" spans="1:3" x14ac:dyDescent="0.25">
      <c r="A12" s="5" t="s">
        <v>8</v>
      </c>
      <c r="B12" s="8">
        <f>0.01*B4</f>
        <v>33040</v>
      </c>
      <c r="C12" s="7" t="s">
        <v>33</v>
      </c>
    </row>
    <row r="13" spans="1:3" x14ac:dyDescent="0.25">
      <c r="A13" s="5" t="s">
        <v>9</v>
      </c>
      <c r="B13" s="8">
        <f>0.01*B4</f>
        <v>33040</v>
      </c>
      <c r="C13" s="7" t="s">
        <v>33</v>
      </c>
    </row>
    <row r="14" spans="1:3" x14ac:dyDescent="0.25">
      <c r="A14" s="5" t="s">
        <v>10</v>
      </c>
      <c r="B14" s="8">
        <f>0.01*B4</f>
        <v>33040</v>
      </c>
      <c r="C14" s="7" t="s">
        <v>33</v>
      </c>
    </row>
    <row r="15" spans="1:3" x14ac:dyDescent="0.25">
      <c r="A15" s="12" t="s">
        <v>11</v>
      </c>
      <c r="B15" s="13">
        <f>0.1*B4</f>
        <v>330400</v>
      </c>
      <c r="C15" s="14" t="s">
        <v>31</v>
      </c>
    </row>
    <row r="16" spans="1:3" x14ac:dyDescent="0.25">
      <c r="A16" s="12" t="s">
        <v>12</v>
      </c>
      <c r="B16" s="13">
        <f>+B4+B9+B15</f>
        <v>4724720</v>
      </c>
      <c r="C16" s="14"/>
    </row>
    <row r="17" spans="1:3" x14ac:dyDescent="0.25">
      <c r="A17" s="12" t="s">
        <v>42</v>
      </c>
      <c r="B17" s="13">
        <f>+B18+B19+B20+B21+B22</f>
        <v>1222480</v>
      </c>
      <c r="C17" s="14"/>
    </row>
    <row r="18" spans="1:3" x14ac:dyDescent="0.25">
      <c r="A18" s="5" t="s">
        <v>13</v>
      </c>
      <c r="B18" s="8">
        <f>0.1*B4</f>
        <v>330400</v>
      </c>
      <c r="C18" s="7" t="s">
        <v>31</v>
      </c>
    </row>
    <row r="19" spans="1:3" x14ac:dyDescent="0.25">
      <c r="A19" s="5" t="s">
        <v>14</v>
      </c>
      <c r="B19" s="8">
        <f>0.05*B4</f>
        <v>165200</v>
      </c>
      <c r="C19" s="7" t="s">
        <v>34</v>
      </c>
    </row>
    <row r="20" spans="1:3" x14ac:dyDescent="0.25">
      <c r="A20" s="5" t="s">
        <v>15</v>
      </c>
      <c r="B20" s="8">
        <f>0.1*B4</f>
        <v>330400</v>
      </c>
      <c r="C20" s="7" t="s">
        <v>31</v>
      </c>
    </row>
    <row r="21" spans="1:3" x14ac:dyDescent="0.25">
      <c r="A21" s="5" t="s">
        <v>16</v>
      </c>
      <c r="B21" s="8">
        <f>0.02*B4</f>
        <v>66080</v>
      </c>
      <c r="C21" s="7" t="s">
        <v>35</v>
      </c>
    </row>
    <row r="22" spans="1:3" x14ac:dyDescent="0.25">
      <c r="A22" s="5" t="s">
        <v>17</v>
      </c>
      <c r="B22" s="8">
        <f>0.1*B4</f>
        <v>330400</v>
      </c>
      <c r="C22" s="7" t="s">
        <v>31</v>
      </c>
    </row>
    <row r="23" spans="1:3" x14ac:dyDescent="0.25">
      <c r="A23" s="15" t="s">
        <v>18</v>
      </c>
      <c r="B23" s="13">
        <f>0.2*B17</f>
        <v>244496</v>
      </c>
      <c r="C23" s="14" t="s">
        <v>36</v>
      </c>
    </row>
    <row r="24" spans="1:3" x14ac:dyDescent="0.25">
      <c r="A24" s="16" t="s">
        <v>44</v>
      </c>
      <c r="B24" s="17">
        <f>+B17+B23</f>
        <v>1466976</v>
      </c>
      <c r="C24" s="18" t="s">
        <v>45</v>
      </c>
    </row>
    <row r="25" spans="1:3" ht="15.75" thickBot="1" x14ac:dyDescent="0.3">
      <c r="A25" s="9" t="s">
        <v>19</v>
      </c>
      <c r="B25" s="10">
        <f>+B16+B24</f>
        <v>6191696</v>
      </c>
      <c r="C25" s="11" t="s">
        <v>43</v>
      </c>
    </row>
    <row r="26" spans="1:3" ht="15.75" thickBot="1" x14ac:dyDescent="0.3"/>
    <row r="27" spans="1:3" ht="15.75" thickBot="1" x14ac:dyDescent="0.3">
      <c r="A27" s="50" t="s">
        <v>20</v>
      </c>
      <c r="B27" s="51"/>
      <c r="C27" s="52"/>
    </row>
    <row r="28" spans="1:3" x14ac:dyDescent="0.25">
      <c r="A28" s="19" t="s">
        <v>62</v>
      </c>
      <c r="B28" s="20">
        <f>B29+B30+B31</f>
        <v>2589856.48</v>
      </c>
      <c r="C28" s="4"/>
    </row>
    <row r="29" spans="1:3" x14ac:dyDescent="0.25">
      <c r="A29" s="5" t="s">
        <v>21</v>
      </c>
      <c r="B29" s="8">
        <f>0.005*B25</f>
        <v>30958.48</v>
      </c>
      <c r="C29" s="7" t="s">
        <v>49</v>
      </c>
    </row>
    <row r="30" spans="1:3" x14ac:dyDescent="0.25">
      <c r="A30" s="27" t="s">
        <v>47</v>
      </c>
      <c r="B30" s="8">
        <f>500*8760*0.2671</f>
        <v>1169898</v>
      </c>
      <c r="C30" s="7" t="s">
        <v>48</v>
      </c>
    </row>
    <row r="31" spans="1:3" x14ac:dyDescent="0.25">
      <c r="A31" s="5" t="s">
        <v>22</v>
      </c>
      <c r="B31" s="8">
        <v>1389000</v>
      </c>
      <c r="C31" s="7" t="s">
        <v>46</v>
      </c>
    </row>
    <row r="32" spans="1:3" x14ac:dyDescent="0.25">
      <c r="A32" s="15" t="s">
        <v>23</v>
      </c>
      <c r="B32" s="21">
        <f>+B33+B34+B35+B36+B37</f>
        <v>2683139.9421270131</v>
      </c>
      <c r="C32" s="14"/>
    </row>
    <row r="33" spans="1:21" x14ac:dyDescent="0.25">
      <c r="A33" s="5" t="s">
        <v>24</v>
      </c>
      <c r="B33" s="8">
        <f>0.6*B28</f>
        <v>1553913.888</v>
      </c>
      <c r="C33" s="7" t="s">
        <v>50</v>
      </c>
    </row>
    <row r="34" spans="1:21" x14ac:dyDescent="0.25">
      <c r="A34" s="5" t="s">
        <v>39</v>
      </c>
      <c r="B34" s="8">
        <f>0.02*B25</f>
        <v>123833.92</v>
      </c>
      <c r="C34" s="7" t="s">
        <v>37</v>
      </c>
    </row>
    <row r="35" spans="1:21" x14ac:dyDescent="0.25">
      <c r="A35" s="5" t="s">
        <v>25</v>
      </c>
      <c r="B35" s="8">
        <f>0.01*B25</f>
        <v>61916.959999999999</v>
      </c>
      <c r="C35" s="7" t="s">
        <v>38</v>
      </c>
    </row>
    <row r="36" spans="1:21" x14ac:dyDescent="0.25">
      <c r="A36" s="5" t="s">
        <v>26</v>
      </c>
      <c r="B36" s="8">
        <f>0.01*B25</f>
        <v>61916.959999999999</v>
      </c>
      <c r="C36" s="7" t="s">
        <v>38</v>
      </c>
    </row>
    <row r="37" spans="1:21" x14ac:dyDescent="0.25">
      <c r="A37" s="5" t="s">
        <v>40</v>
      </c>
      <c r="B37" s="8">
        <f>C46*B25</f>
        <v>881558.21412701323</v>
      </c>
      <c r="C37" s="7" t="s">
        <v>60</v>
      </c>
    </row>
    <row r="38" spans="1:21" ht="15.75" thickBot="1" x14ac:dyDescent="0.3">
      <c r="A38" s="22" t="s">
        <v>27</v>
      </c>
      <c r="B38" s="23">
        <f>B32+B28</f>
        <v>5272996.4221270131</v>
      </c>
      <c r="C38" s="24"/>
    </row>
    <row r="39" spans="1:21" ht="15.75" thickBot="1" x14ac:dyDescent="0.3"/>
    <row r="40" spans="1:21" ht="15.75" thickBot="1" x14ac:dyDescent="0.3">
      <c r="A40" s="25" t="s">
        <v>41</v>
      </c>
      <c r="B40" s="45">
        <f>B38/C53</f>
        <v>5968.3038167821314</v>
      </c>
      <c r="C40" s="26" t="s">
        <v>66</v>
      </c>
    </row>
    <row r="43" spans="1:21" s="29" customFormat="1" ht="15.75" x14ac:dyDescent="0.25">
      <c r="A43" s="28" t="s">
        <v>51</v>
      </c>
      <c r="B43" s="28"/>
      <c r="I43" s="30"/>
      <c r="J43" s="30"/>
      <c r="K43" s="30"/>
      <c r="L43" s="30"/>
      <c r="M43" s="30"/>
      <c r="N43" s="30"/>
      <c r="O43" s="30"/>
      <c r="P43" s="31"/>
      <c r="Q43" s="31"/>
      <c r="R43" s="31"/>
      <c r="S43" s="32"/>
      <c r="T43" s="32"/>
      <c r="U43" s="32"/>
    </row>
    <row r="44" spans="1:21" s="29" customFormat="1" ht="15.75" x14ac:dyDescent="0.25">
      <c r="A44" s="28"/>
      <c r="B44" s="28"/>
      <c r="I44" s="30"/>
      <c r="J44" s="30"/>
      <c r="K44" s="30"/>
      <c r="L44" s="30"/>
      <c r="M44" s="30"/>
      <c r="N44" s="30"/>
      <c r="O44" s="30"/>
      <c r="P44" s="31"/>
      <c r="Q44" s="31"/>
      <c r="R44" s="31"/>
      <c r="S44" s="32"/>
      <c r="T44" s="32"/>
      <c r="U44" s="32"/>
    </row>
    <row r="45" spans="1:21" s="29" customFormat="1" ht="15.75" x14ac:dyDescent="0.25">
      <c r="A45" s="33" t="s">
        <v>52</v>
      </c>
      <c r="B45" s="33" t="s">
        <v>53</v>
      </c>
      <c r="C45" s="34" t="s">
        <v>54</v>
      </c>
      <c r="D45" s="35"/>
      <c r="I45" s="30"/>
      <c r="J45" s="30"/>
      <c r="K45" s="30"/>
      <c r="L45" s="30"/>
      <c r="M45" s="30"/>
      <c r="N45" s="30"/>
      <c r="O45" s="30"/>
      <c r="P45" s="31"/>
      <c r="Q45" s="31"/>
      <c r="R45" s="31"/>
      <c r="S45" s="32"/>
      <c r="T45" s="32"/>
      <c r="U45" s="32"/>
    </row>
    <row r="46" spans="1:21" s="29" customFormat="1" ht="18" customHeight="1" x14ac:dyDescent="0.25">
      <c r="A46" s="36" t="s">
        <v>55</v>
      </c>
      <c r="B46" s="36" t="s">
        <v>56</v>
      </c>
      <c r="C46" s="37">
        <f>((B49/100)*((1+B49/100)^B48))/(((1+B49/100)^B48)-1)</f>
        <v>0.14237750272736471</v>
      </c>
      <c r="I46" s="30"/>
      <c r="J46" s="30"/>
      <c r="K46" s="30"/>
      <c r="L46" s="30"/>
      <c r="M46" s="30"/>
      <c r="N46" s="30"/>
      <c r="O46" s="30"/>
      <c r="P46" s="31"/>
      <c r="Q46" s="31"/>
      <c r="R46" s="31"/>
      <c r="S46" s="32"/>
      <c r="T46" s="32"/>
      <c r="U46" s="32"/>
    </row>
    <row r="47" spans="1:21" s="29" customFormat="1" ht="31.5" x14ac:dyDescent="0.25">
      <c r="A47" s="38"/>
      <c r="B47" s="38" t="s">
        <v>57</v>
      </c>
      <c r="C47" s="39"/>
      <c r="I47" s="30"/>
      <c r="J47" s="30"/>
      <c r="K47" s="30"/>
      <c r="L47" s="30"/>
      <c r="M47" s="30"/>
      <c r="N47" s="30"/>
      <c r="O47" s="30"/>
      <c r="P47" s="31"/>
      <c r="Q47" s="31"/>
      <c r="R47" s="31"/>
      <c r="S47" s="32"/>
      <c r="T47" s="32"/>
      <c r="U47" s="32"/>
    </row>
    <row r="48" spans="1:21" s="29" customFormat="1" ht="15.75" x14ac:dyDescent="0.25">
      <c r="A48" s="40" t="s">
        <v>58</v>
      </c>
      <c r="B48" s="40">
        <v>10</v>
      </c>
      <c r="I48" s="30"/>
      <c r="J48" s="30"/>
      <c r="K48" s="30"/>
      <c r="L48" s="30"/>
      <c r="M48" s="30"/>
      <c r="N48" s="30"/>
      <c r="O48" s="30"/>
      <c r="P48" s="31"/>
      <c r="Q48" s="31"/>
      <c r="R48" s="31"/>
      <c r="S48" s="32"/>
      <c r="T48" s="32"/>
      <c r="U48" s="32"/>
    </row>
    <row r="49" spans="1:3" ht="15.75" x14ac:dyDescent="0.25">
      <c r="A49" s="41" t="s">
        <v>59</v>
      </c>
      <c r="B49" s="42">
        <v>7</v>
      </c>
    </row>
    <row r="52" spans="1:3" x14ac:dyDescent="0.25">
      <c r="A52" t="s">
        <v>63</v>
      </c>
      <c r="C52" s="43">
        <v>1767</v>
      </c>
    </row>
    <row r="53" spans="1:3" x14ac:dyDescent="0.25">
      <c r="A53" t="s">
        <v>64</v>
      </c>
      <c r="B53" s="46">
        <v>0.5</v>
      </c>
      <c r="C53" s="44">
        <f>C52*B53</f>
        <v>883.5</v>
      </c>
    </row>
  </sheetData>
  <mergeCells count="3">
    <mergeCell ref="A1:C1"/>
    <mergeCell ref="A3:C3"/>
    <mergeCell ref="A27:C27"/>
  </mergeCells>
  <pageMargins left="0.7" right="0.7" top="0.75" bottom="0.75" header="0.3" footer="0.3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U53"/>
  <sheetViews>
    <sheetView topLeftCell="A31" workbookViewId="0">
      <selection activeCell="C53" sqref="C53"/>
    </sheetView>
  </sheetViews>
  <sheetFormatPr defaultRowHeight="15" x14ac:dyDescent="0.25"/>
  <cols>
    <col min="1" max="1" width="68.5703125" customWidth="1"/>
    <col min="2" max="2" width="24.140625" style="1" customWidth="1"/>
    <col min="3" max="3" width="38.5703125" customWidth="1"/>
  </cols>
  <sheetData>
    <row r="1" spans="1:3" ht="15.75" thickBot="1" x14ac:dyDescent="0.3">
      <c r="A1" s="47" t="s">
        <v>65</v>
      </c>
      <c r="B1" s="48"/>
      <c r="C1" s="49"/>
    </row>
    <row r="2" spans="1:3" ht="15.75" thickBot="1" x14ac:dyDescent="0.3"/>
    <row r="3" spans="1:3" ht="15.75" thickBot="1" x14ac:dyDescent="0.3">
      <c r="A3" s="50" t="s">
        <v>0</v>
      </c>
      <c r="B3" s="51"/>
      <c r="C3" s="52"/>
    </row>
    <row r="4" spans="1:3" x14ac:dyDescent="0.25">
      <c r="A4" s="2" t="s">
        <v>1</v>
      </c>
      <c r="B4" s="3">
        <f>+B5+B6+B7+B8</f>
        <v>3304000</v>
      </c>
      <c r="C4" s="4"/>
    </row>
    <row r="5" spans="1:3" ht="30" x14ac:dyDescent="0.25">
      <c r="A5" s="5" t="s">
        <v>67</v>
      </c>
      <c r="B5" s="6">
        <v>2800000</v>
      </c>
      <c r="C5" s="53" t="s">
        <v>68</v>
      </c>
    </row>
    <row r="6" spans="1:3" x14ac:dyDescent="0.25">
      <c r="A6" s="5" t="s">
        <v>2</v>
      </c>
      <c r="B6" s="8">
        <f>0.1*B5</f>
        <v>280000</v>
      </c>
      <c r="C6" s="7" t="s">
        <v>28</v>
      </c>
    </row>
    <row r="7" spans="1:3" x14ac:dyDescent="0.25">
      <c r="A7" s="5" t="s">
        <v>3</v>
      </c>
      <c r="B7" s="8">
        <f>0.03*B5</f>
        <v>84000</v>
      </c>
      <c r="C7" s="7" t="s">
        <v>29</v>
      </c>
    </row>
    <row r="8" spans="1:3" x14ac:dyDescent="0.25">
      <c r="A8" s="5" t="s">
        <v>4</v>
      </c>
      <c r="B8" s="8">
        <f>0.05*B5</f>
        <v>140000</v>
      </c>
      <c r="C8" s="7" t="s">
        <v>30</v>
      </c>
    </row>
    <row r="9" spans="1:3" x14ac:dyDescent="0.25">
      <c r="A9" s="12" t="s">
        <v>5</v>
      </c>
      <c r="B9" s="13">
        <f>+B10+B11+B12+B13+B14</f>
        <v>1090320</v>
      </c>
      <c r="C9" s="14"/>
    </row>
    <row r="10" spans="1:3" x14ac:dyDescent="0.25">
      <c r="A10" s="5" t="s">
        <v>6</v>
      </c>
      <c r="B10" s="8">
        <f>0.1*B4</f>
        <v>330400</v>
      </c>
      <c r="C10" s="7" t="s">
        <v>31</v>
      </c>
    </row>
    <row r="11" spans="1:3" x14ac:dyDescent="0.25">
      <c r="A11" s="5" t="s">
        <v>7</v>
      </c>
      <c r="B11" s="8">
        <f>0.2*B4</f>
        <v>660800</v>
      </c>
      <c r="C11" s="7" t="s">
        <v>32</v>
      </c>
    </row>
    <row r="12" spans="1:3" x14ac:dyDescent="0.25">
      <c r="A12" s="5" t="s">
        <v>8</v>
      </c>
      <c r="B12" s="8">
        <f>0.01*B4</f>
        <v>33040</v>
      </c>
      <c r="C12" s="7" t="s">
        <v>33</v>
      </c>
    </row>
    <row r="13" spans="1:3" x14ac:dyDescent="0.25">
      <c r="A13" s="5" t="s">
        <v>9</v>
      </c>
      <c r="B13" s="8">
        <f>0.01*B4</f>
        <v>33040</v>
      </c>
      <c r="C13" s="7" t="s">
        <v>33</v>
      </c>
    </row>
    <row r="14" spans="1:3" x14ac:dyDescent="0.25">
      <c r="A14" s="5" t="s">
        <v>10</v>
      </c>
      <c r="B14" s="8">
        <f>0.01*B4</f>
        <v>33040</v>
      </c>
      <c r="C14" s="7" t="s">
        <v>33</v>
      </c>
    </row>
    <row r="15" spans="1:3" x14ac:dyDescent="0.25">
      <c r="A15" s="12" t="s">
        <v>11</v>
      </c>
      <c r="B15" s="13">
        <f>0.1*B4</f>
        <v>330400</v>
      </c>
      <c r="C15" s="14" t="s">
        <v>31</v>
      </c>
    </row>
    <row r="16" spans="1:3" x14ac:dyDescent="0.25">
      <c r="A16" s="12" t="s">
        <v>12</v>
      </c>
      <c r="B16" s="13">
        <f>+B4+B9+B15</f>
        <v>4724720</v>
      </c>
      <c r="C16" s="14"/>
    </row>
    <row r="17" spans="1:3" x14ac:dyDescent="0.25">
      <c r="A17" s="12" t="s">
        <v>42</v>
      </c>
      <c r="B17" s="13">
        <f>+B18+B19+B20+B21+B22</f>
        <v>1222480</v>
      </c>
      <c r="C17" s="14"/>
    </row>
    <row r="18" spans="1:3" x14ac:dyDescent="0.25">
      <c r="A18" s="5" t="s">
        <v>13</v>
      </c>
      <c r="B18" s="8">
        <f>0.1*B4</f>
        <v>330400</v>
      </c>
      <c r="C18" s="7" t="s">
        <v>31</v>
      </c>
    </row>
    <row r="19" spans="1:3" x14ac:dyDescent="0.25">
      <c r="A19" s="5" t="s">
        <v>14</v>
      </c>
      <c r="B19" s="8">
        <f>0.05*B4</f>
        <v>165200</v>
      </c>
      <c r="C19" s="7" t="s">
        <v>34</v>
      </c>
    </row>
    <row r="20" spans="1:3" x14ac:dyDescent="0.25">
      <c r="A20" s="5" t="s">
        <v>15</v>
      </c>
      <c r="B20" s="8">
        <f>0.1*B4</f>
        <v>330400</v>
      </c>
      <c r="C20" s="7" t="s">
        <v>31</v>
      </c>
    </row>
    <row r="21" spans="1:3" x14ac:dyDescent="0.25">
      <c r="A21" s="5" t="s">
        <v>16</v>
      </c>
      <c r="B21" s="8">
        <f>0.02*B4</f>
        <v>66080</v>
      </c>
      <c r="C21" s="7" t="s">
        <v>35</v>
      </c>
    </row>
    <row r="22" spans="1:3" x14ac:dyDescent="0.25">
      <c r="A22" s="5" t="s">
        <v>17</v>
      </c>
      <c r="B22" s="8">
        <f>0.1*B4</f>
        <v>330400</v>
      </c>
      <c r="C22" s="7" t="s">
        <v>31</v>
      </c>
    </row>
    <row r="23" spans="1:3" x14ac:dyDescent="0.25">
      <c r="A23" s="15" t="s">
        <v>18</v>
      </c>
      <c r="B23" s="13">
        <f>0.2*B17</f>
        <v>244496</v>
      </c>
      <c r="C23" s="14" t="s">
        <v>36</v>
      </c>
    </row>
    <row r="24" spans="1:3" x14ac:dyDescent="0.25">
      <c r="A24" s="16" t="s">
        <v>44</v>
      </c>
      <c r="B24" s="17">
        <f>+B17+B23</f>
        <v>1466976</v>
      </c>
      <c r="C24" s="18" t="s">
        <v>45</v>
      </c>
    </row>
    <row r="25" spans="1:3" ht="15.75" thickBot="1" x14ac:dyDescent="0.3">
      <c r="A25" s="9" t="s">
        <v>19</v>
      </c>
      <c r="B25" s="10">
        <f>+B16+B24</f>
        <v>6191696</v>
      </c>
      <c r="C25" s="11" t="s">
        <v>43</v>
      </c>
    </row>
    <row r="26" spans="1:3" ht="15.75" thickBot="1" x14ac:dyDescent="0.3"/>
    <row r="27" spans="1:3" ht="15.75" thickBot="1" x14ac:dyDescent="0.3">
      <c r="A27" s="50" t="s">
        <v>20</v>
      </c>
      <c r="B27" s="51"/>
      <c r="C27" s="52"/>
    </row>
    <row r="28" spans="1:3" x14ac:dyDescent="0.25">
      <c r="A28" s="19" t="s">
        <v>62</v>
      </c>
      <c r="B28" s="20">
        <f>B29+B30+B31</f>
        <v>3284356.48</v>
      </c>
      <c r="C28" s="4"/>
    </row>
    <row r="29" spans="1:3" x14ac:dyDescent="0.25">
      <c r="A29" s="5" t="s">
        <v>21</v>
      </c>
      <c r="B29" s="8">
        <f>0.005*B25</f>
        <v>30958.48</v>
      </c>
      <c r="C29" s="7" t="s">
        <v>49</v>
      </c>
    </row>
    <row r="30" spans="1:3" x14ac:dyDescent="0.25">
      <c r="A30" s="27" t="s">
        <v>47</v>
      </c>
      <c r="B30" s="8">
        <f>500*8760*0.2671</f>
        <v>1169898</v>
      </c>
      <c r="C30" s="7" t="s">
        <v>48</v>
      </c>
    </row>
    <row r="31" spans="1:3" x14ac:dyDescent="0.25">
      <c r="A31" s="5" t="s">
        <v>22</v>
      </c>
      <c r="B31" s="8">
        <v>2083500</v>
      </c>
      <c r="C31" s="7" t="s">
        <v>46</v>
      </c>
    </row>
    <row r="32" spans="1:3" x14ac:dyDescent="0.25">
      <c r="A32" s="15" t="s">
        <v>23</v>
      </c>
      <c r="B32" s="21">
        <f>+B33+B34+B35+B36+B37</f>
        <v>3099839.9421270126</v>
      </c>
      <c r="C32" s="14"/>
    </row>
    <row r="33" spans="1:21" x14ac:dyDescent="0.25">
      <c r="A33" s="5" t="s">
        <v>24</v>
      </c>
      <c r="B33" s="8">
        <f>0.6*B28</f>
        <v>1970613.8879999998</v>
      </c>
      <c r="C33" s="7" t="s">
        <v>50</v>
      </c>
    </row>
    <row r="34" spans="1:21" x14ac:dyDescent="0.25">
      <c r="A34" s="5" t="s">
        <v>39</v>
      </c>
      <c r="B34" s="8">
        <f>0.02*B25</f>
        <v>123833.92</v>
      </c>
      <c r="C34" s="7" t="s">
        <v>37</v>
      </c>
    </row>
    <row r="35" spans="1:21" x14ac:dyDescent="0.25">
      <c r="A35" s="5" t="s">
        <v>25</v>
      </c>
      <c r="B35" s="8">
        <f>0.01*B25</f>
        <v>61916.959999999999</v>
      </c>
      <c r="C35" s="7" t="s">
        <v>38</v>
      </c>
    </row>
    <row r="36" spans="1:21" x14ac:dyDescent="0.25">
      <c r="A36" s="5" t="s">
        <v>26</v>
      </c>
      <c r="B36" s="8">
        <f>0.01*B25</f>
        <v>61916.959999999999</v>
      </c>
      <c r="C36" s="7" t="s">
        <v>38</v>
      </c>
    </row>
    <row r="37" spans="1:21" x14ac:dyDescent="0.25">
      <c r="A37" s="5" t="s">
        <v>40</v>
      </c>
      <c r="B37" s="8">
        <f>C46*B25</f>
        <v>881558.21412701323</v>
      </c>
      <c r="C37" s="7" t="s">
        <v>60</v>
      </c>
    </row>
    <row r="38" spans="1:21" ht="15.75" thickBot="1" x14ac:dyDescent="0.3">
      <c r="A38" s="22" t="s">
        <v>27</v>
      </c>
      <c r="B38" s="23">
        <f>B32+B28</f>
        <v>6384196.4221270122</v>
      </c>
      <c r="C38" s="24"/>
    </row>
    <row r="39" spans="1:21" ht="15.75" thickBot="1" x14ac:dyDescent="0.3"/>
    <row r="40" spans="1:21" ht="15.75" thickBot="1" x14ac:dyDescent="0.3">
      <c r="A40" s="25" t="s">
        <v>41</v>
      </c>
      <c r="B40" s="45">
        <f>B38/C53</f>
        <v>4516.2679839608172</v>
      </c>
      <c r="C40" s="26" t="s">
        <v>61</v>
      </c>
    </row>
    <row r="43" spans="1:21" s="29" customFormat="1" ht="15.75" x14ac:dyDescent="0.25">
      <c r="A43" s="28" t="s">
        <v>51</v>
      </c>
      <c r="B43" s="28"/>
      <c r="I43" s="30"/>
      <c r="J43" s="30"/>
      <c r="K43" s="30"/>
      <c r="L43" s="30"/>
      <c r="M43" s="30"/>
      <c r="N43" s="30"/>
      <c r="O43" s="30"/>
      <c r="P43" s="31"/>
      <c r="Q43" s="31"/>
      <c r="R43" s="31"/>
      <c r="S43" s="32"/>
      <c r="T43" s="32"/>
      <c r="U43" s="32"/>
    </row>
    <row r="44" spans="1:21" s="29" customFormat="1" ht="15.75" x14ac:dyDescent="0.25">
      <c r="A44" s="28"/>
      <c r="B44" s="28"/>
      <c r="I44" s="30"/>
      <c r="J44" s="30"/>
      <c r="K44" s="30"/>
      <c r="L44" s="30"/>
      <c r="M44" s="30"/>
      <c r="N44" s="30"/>
      <c r="O44" s="30"/>
      <c r="P44" s="31"/>
      <c r="Q44" s="31"/>
      <c r="R44" s="31"/>
      <c r="S44" s="32"/>
      <c r="T44" s="32"/>
      <c r="U44" s="32"/>
    </row>
    <row r="45" spans="1:21" s="29" customFormat="1" ht="15.75" x14ac:dyDescent="0.25">
      <c r="A45" s="33" t="s">
        <v>52</v>
      </c>
      <c r="B45" s="33" t="s">
        <v>53</v>
      </c>
      <c r="C45" s="34" t="s">
        <v>54</v>
      </c>
      <c r="D45" s="35"/>
      <c r="I45" s="30"/>
      <c r="J45" s="30"/>
      <c r="K45" s="30"/>
      <c r="L45" s="30"/>
      <c r="M45" s="30"/>
      <c r="N45" s="30"/>
      <c r="O45" s="30"/>
      <c r="P45" s="31"/>
      <c r="Q45" s="31"/>
      <c r="R45" s="31"/>
      <c r="S45" s="32"/>
      <c r="T45" s="32"/>
      <c r="U45" s="32"/>
    </row>
    <row r="46" spans="1:21" s="29" customFormat="1" ht="18" customHeight="1" x14ac:dyDescent="0.25">
      <c r="A46" s="36" t="s">
        <v>55</v>
      </c>
      <c r="B46" s="36" t="s">
        <v>56</v>
      </c>
      <c r="C46" s="37">
        <f>((B49/100)*((1+B49/100)^B48))/(((1+B49/100)^B48)-1)</f>
        <v>0.14237750272736471</v>
      </c>
      <c r="I46" s="30"/>
      <c r="J46" s="30"/>
      <c r="K46" s="30"/>
      <c r="L46" s="30"/>
      <c r="M46" s="30"/>
      <c r="N46" s="30"/>
      <c r="O46" s="30"/>
      <c r="P46" s="31"/>
      <c r="Q46" s="31"/>
      <c r="R46" s="31"/>
      <c r="S46" s="32"/>
      <c r="T46" s="32"/>
      <c r="U46" s="32"/>
    </row>
    <row r="47" spans="1:21" s="29" customFormat="1" ht="31.5" x14ac:dyDescent="0.25">
      <c r="A47" s="38"/>
      <c r="B47" s="38" t="s">
        <v>57</v>
      </c>
      <c r="C47" s="39"/>
      <c r="I47" s="30"/>
      <c r="J47" s="30"/>
      <c r="K47" s="30"/>
      <c r="L47" s="30"/>
      <c r="M47" s="30"/>
      <c r="N47" s="30"/>
      <c r="O47" s="30"/>
      <c r="P47" s="31"/>
      <c r="Q47" s="31"/>
      <c r="R47" s="31"/>
      <c r="S47" s="32"/>
      <c r="T47" s="32"/>
      <c r="U47" s="32"/>
    </row>
    <row r="48" spans="1:21" s="29" customFormat="1" ht="15.75" x14ac:dyDescent="0.25">
      <c r="A48" s="40" t="s">
        <v>58</v>
      </c>
      <c r="B48" s="40">
        <v>10</v>
      </c>
      <c r="I48" s="30"/>
      <c r="J48" s="30"/>
      <c r="K48" s="30"/>
      <c r="L48" s="30"/>
      <c r="M48" s="30"/>
      <c r="N48" s="30"/>
      <c r="O48" s="30"/>
      <c r="P48" s="31"/>
      <c r="Q48" s="31"/>
      <c r="R48" s="31"/>
      <c r="S48" s="32"/>
      <c r="T48" s="32"/>
      <c r="U48" s="32"/>
    </row>
    <row r="49" spans="1:3" ht="15.75" x14ac:dyDescent="0.25">
      <c r="A49" s="41" t="s">
        <v>59</v>
      </c>
      <c r="B49" s="42">
        <v>7</v>
      </c>
    </row>
    <row r="52" spans="1:3" x14ac:dyDescent="0.25">
      <c r="A52" t="s">
        <v>63</v>
      </c>
      <c r="C52" s="43">
        <v>1767</v>
      </c>
    </row>
    <row r="53" spans="1:3" x14ac:dyDescent="0.25">
      <c r="A53" t="s">
        <v>64</v>
      </c>
      <c r="B53" s="46">
        <v>0.8</v>
      </c>
      <c r="C53" s="43">
        <f>C52*B53</f>
        <v>1413.6000000000001</v>
      </c>
    </row>
  </sheetData>
  <mergeCells count="3">
    <mergeCell ref="A3:C3"/>
    <mergeCell ref="A1:C1"/>
    <mergeCell ref="A27:C27"/>
  </mergeCells>
  <pageMargins left="0.7" right="0.7" top="0.75" bottom="0.75" header="0.3" footer="0.3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DSI - 50% Removal</vt:lpstr>
      <vt:lpstr>DSI - 80% Removal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Dow Hughes</dc:creator>
  <cp:lastModifiedBy>Deanne D. Hughes</cp:lastModifiedBy>
  <cp:lastPrinted>2017-05-03T15:25:58Z</cp:lastPrinted>
  <dcterms:created xsi:type="dcterms:W3CDTF">2017-05-03T12:31:52Z</dcterms:created>
  <dcterms:modified xsi:type="dcterms:W3CDTF">2017-06-09T04:10:05Z</dcterms:modified>
</cp:coreProperties>
</file>