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Hughes\Dropbox\Alaska Permits to Review\FINAL BACT Document revision folder\For Distribution for technical review\"/>
    </mc:Choice>
  </mc:AlternateContent>
  <bookViews>
    <workbookView xWindow="0" yWindow="0" windowWidth="11685" windowHeight="7050" firstSheet="27" activeTab="29"/>
  </bookViews>
  <sheets>
    <sheet name="1a PTE Summary Base Case" sheetId="40" r:id="rId1"/>
    <sheet name="1b PTE Summary BACT Proposed" sheetId="28" r:id="rId2"/>
    <sheet name="3.1 Army AQ0236TVP03 Rev 2" sheetId="1" r:id="rId3"/>
    <sheet name="Army VOC Sources" sheetId="9" state="hidden" r:id="rId4"/>
    <sheet name="Army Boilers" sheetId="7" state="hidden" r:id="rId5"/>
    <sheet name="8 Fuel Oil Boiler FWA " sheetId="11" r:id="rId6"/>
    <sheet name="9 Engines FWA PTE" sheetId="30" r:id="rId7"/>
    <sheet name="10 Emer Gen FWA PTE" sheetId="31" r:id="rId8"/>
    <sheet name="11 Waste Oil Boiler-Criteria(P)" sheetId="13" r:id="rId9"/>
    <sheet name="Unpaved_RoadsREV" sheetId="15" state="hidden" r:id="rId10"/>
    <sheet name="Paved_RoadsREV" sheetId="16" state="hidden" r:id="rId11"/>
    <sheet name="Army Engines" sheetId="4" state="hidden" r:id="rId12"/>
    <sheet name="Army Material Handling" sheetId="8" state="hidden" r:id="rId13"/>
    <sheet name="DU Permit AQ1121TVP02 Rev 2" sheetId="2" state="hidden" r:id="rId14"/>
    <sheet name="3.2 DU Emission Units" sheetId="17" r:id="rId15"/>
    <sheet name="2a DU NOx Base Case" sheetId="38" r:id="rId16"/>
    <sheet name="2b DU NOx Proposed" sheetId="18" r:id="rId17"/>
    <sheet name="15 Proposed BACT Engines NOX" sheetId="32" r:id="rId18"/>
    <sheet name="D-2.7 PM10" sheetId="19" state="hidden" r:id="rId19"/>
    <sheet name="4a PM25 Base Case " sheetId="37" r:id="rId20"/>
    <sheet name="4b DU PM25 Proposed" sheetId="23" r:id="rId21"/>
    <sheet name="18 PM2.5 Controls for Engines" sheetId="35" r:id="rId22"/>
    <sheet name=" A.  CPM&amp;PM25  for CHPP Boilers" sheetId="42" r:id="rId23"/>
    <sheet name="5 Coal Prep 7a 7b 7c" sheetId="20" r:id="rId24"/>
    <sheet name="7 DU Ash Handling" sheetId="21" r:id="rId25"/>
    <sheet name="6 DU Coal Pile" sheetId="22" r:id="rId26"/>
    <sheet name="3a DU SO2 base case" sheetId="24" r:id="rId27"/>
    <sheet name="3b DU  SO2 Proposed" sheetId="36" r:id="rId28"/>
    <sheet name="17 Proposed BACT Engines SO2" sheetId="33" r:id="rId29"/>
    <sheet name="SO2 costs for wet and semi dry" sheetId="43" r:id="rId30"/>
    <sheet name="Notes for calcs - DDH" sheetId="29" state="hidden" r:id="rId31"/>
    <sheet name="DU CHPP" sheetId="6" state="hidden" r:id="rId32"/>
    <sheet name="DU Material Handling" sheetId="5" state="hidden" r:id="rId33"/>
    <sheet name="DU Engines" sheetId="3" state="hidden" r:id="rId34"/>
  </sheets>
  <definedNames>
    <definedName name="_xlnm._FilterDatabase" localSheetId="13" hidden="1">'DU Permit AQ1121TVP02 Rev 2'!$A$3:$G$49</definedName>
    <definedName name="_xlnm.Criteria" localSheetId="7">#REF!</definedName>
    <definedName name="_xlnm.Criteria" localSheetId="28">#REF!</definedName>
    <definedName name="_xlnm.Criteria" localSheetId="21">#REF!</definedName>
    <definedName name="_xlnm.Criteria" localSheetId="0">#REF!</definedName>
    <definedName name="_xlnm.Criteria" localSheetId="15">#REF!</definedName>
    <definedName name="_xlnm.Criteria" localSheetId="27">#REF!</definedName>
    <definedName name="_xlnm.Criteria" localSheetId="19">#REF!</definedName>
    <definedName name="_xlnm.Criteria" localSheetId="20">#REF!</definedName>
    <definedName name="_xlnm.Criteria" localSheetId="23">#REF!</definedName>
    <definedName name="_xlnm.Criteria" localSheetId="25">#REF!</definedName>
    <definedName name="_xlnm.Criteria" localSheetId="24">#REF!</definedName>
    <definedName name="_xlnm.Criteria" localSheetId="6">#REF!</definedName>
    <definedName name="_xlnm.Criteria">#REF!</definedName>
    <definedName name="_xlnm.Print_Area" localSheetId="22">' A.  CPM&amp;PM25  for CHPP Boilers'!$A$1:$I$23</definedName>
    <definedName name="_xlnm.Print_Area" localSheetId="28">'17 Proposed BACT Engines SO2'!$A$1:$K$50</definedName>
    <definedName name="_xlnm.Print_Area" localSheetId="21">'18 PM2.5 Controls for Engines'!$A$1:$W$78</definedName>
    <definedName name="_xlnm.Print_Area" localSheetId="0">'1a PTE Summary Base Case'!$A$1:$I$28</definedName>
    <definedName name="_xlnm.Print_Area" localSheetId="1">'1b PTE Summary BACT Proposed'!$A$1:$O$31</definedName>
    <definedName name="_xlnm.Print_Area" localSheetId="15">'2a DU NOx Base Case'!$A$1:$L$60</definedName>
    <definedName name="_xlnm.Print_Area" localSheetId="16">'2b DU NOx Proposed'!$A$1:$N$61</definedName>
    <definedName name="_xlnm.Print_Area" localSheetId="2">'3.1 Army AQ0236TVP03 Rev 2'!$A$1:$F$29</definedName>
    <definedName name="_xlnm.Print_Area" localSheetId="14">'3.2 DU Emission Units'!$A$1:$J$65</definedName>
    <definedName name="_xlnm.Print_Area" localSheetId="26">'3a DU SO2 base case'!$A$1:$O$67</definedName>
    <definedName name="_xlnm.Print_Area" localSheetId="27">'3b DU  SO2 Proposed'!$A$1:$O$79</definedName>
    <definedName name="_xlnm.Print_Area" localSheetId="19">'4a PM25 Base Case '!$A$1:$L$63</definedName>
    <definedName name="_xlnm.Print_Area" localSheetId="20">'4b DU PM25 Proposed'!$A$1:$N$64</definedName>
    <definedName name="_xlnm.Print_Area" localSheetId="23">'5 Coal Prep 7a 7b 7c'!$A$1:$N$35</definedName>
    <definedName name="_xlnm.Print_Area" localSheetId="24">'7 DU Ash Handling'!$A$1:$N$41</definedName>
    <definedName name="_xlnm.Print_Area" localSheetId="6">'9 Engines FWA PTE'!$A$1:$M$44</definedName>
    <definedName name="_xlnm.Print_Area" localSheetId="18">'D-2.7 PM10'!$A$1:$L$62</definedName>
    <definedName name="_xlnm.Print_Area" localSheetId="33">'DU Engines'!$A$2:$H$32</definedName>
    <definedName name="_xlnm.Print_Area" localSheetId="9">Unpaved_RoadsREV!$A$1:$J$75</definedName>
    <definedName name="_xlnm.Print_Titles" localSheetId="28">'17 Proposed BACT Engines SO2'!$1:$1</definedName>
    <definedName name="_xlnm.Print_Titles" localSheetId="21">'18 PM2.5 Controls for Engines'!$4:$5</definedName>
    <definedName name="_xlnm.Print_Titles" localSheetId="15">'2a DU NOx Base Case'!$4:$5</definedName>
    <definedName name="_xlnm.Print_Titles" localSheetId="16">'2b DU NOx Proposed'!$4:$5</definedName>
    <definedName name="_xlnm.Print_Titles" localSheetId="14">'3.2 DU Emission Units'!$4:$5</definedName>
    <definedName name="_xlnm.Print_Titles" localSheetId="26">'3a DU SO2 base case'!$4:$5</definedName>
    <definedName name="_xlnm.Print_Titles" localSheetId="27">'3b DU  SO2 Proposed'!$4:$5</definedName>
    <definedName name="_xlnm.Print_Titles" localSheetId="19">'4a PM25 Base Case '!$4:$5</definedName>
    <definedName name="_xlnm.Print_Titles" localSheetId="20">'4b DU PM25 Proposed'!$4:$5</definedName>
    <definedName name="_xlnm.Print_Titles" localSheetId="18">'D-2.7 PM10'!$4:$5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8" l="1"/>
  <c r="G14" i="40" l="1"/>
  <c r="E14" i="40"/>
  <c r="C12" i="40"/>
  <c r="D12" i="40"/>
  <c r="F12" i="40"/>
  <c r="E11" i="40"/>
  <c r="E9" i="40"/>
  <c r="E10" i="40"/>
  <c r="C72" i="36"/>
  <c r="C73" i="36" s="1"/>
  <c r="C79" i="36" s="1"/>
  <c r="K51" i="23"/>
  <c r="K47" i="23"/>
  <c r="M51" i="23"/>
  <c r="M50" i="23"/>
  <c r="K9" i="20"/>
  <c r="K8" i="20"/>
  <c r="K7" i="20"/>
  <c r="I26" i="20"/>
  <c r="I25" i="20"/>
  <c r="D20" i="20"/>
  <c r="D17" i="20"/>
  <c r="D18" i="20" s="1"/>
  <c r="E9" i="20"/>
  <c r="G33" i="17"/>
  <c r="G31" i="17"/>
  <c r="G30" i="17"/>
  <c r="G28" i="17"/>
  <c r="G27" i="17"/>
  <c r="G26" i="17"/>
  <c r="G25" i="17"/>
  <c r="G24" i="17"/>
  <c r="G23" i="17"/>
  <c r="G17" i="17"/>
  <c r="D17" i="42" l="1"/>
  <c r="E17" i="42"/>
  <c r="F17" i="42"/>
  <c r="G17" i="42"/>
  <c r="H17" i="42"/>
  <c r="C17" i="42"/>
  <c r="E7" i="37" l="1"/>
  <c r="M16" i="18"/>
  <c r="M17" i="18"/>
  <c r="B55" i="43" l="1"/>
  <c r="A51" i="43"/>
  <c r="B58" i="43" s="1"/>
  <c r="A50" i="43"/>
  <c r="B57" i="43" s="1"/>
  <c r="A44" i="43"/>
  <c r="A47" i="43" s="1"/>
  <c r="A38" i="43"/>
  <c r="B29" i="43"/>
  <c r="B28" i="43"/>
  <c r="B26" i="43"/>
  <c r="A22" i="43"/>
  <c r="A21" i="43"/>
  <c r="A46" i="43" l="1"/>
  <c r="A9" i="43" l="1"/>
  <c r="A15" i="43" s="1"/>
  <c r="A18" i="43" l="1"/>
  <c r="A17" i="43"/>
  <c r="C72" i="24"/>
  <c r="G8" i="18"/>
  <c r="G9" i="18"/>
  <c r="G10" i="18"/>
  <c r="G11" i="18"/>
  <c r="G12" i="18"/>
  <c r="G7" i="18"/>
  <c r="M7" i="23" l="1"/>
  <c r="K7" i="37"/>
  <c r="H10" i="42" l="1"/>
  <c r="G10" i="42"/>
  <c r="F10" i="42"/>
  <c r="E10" i="42"/>
  <c r="D10" i="42"/>
  <c r="D15" i="42" s="1"/>
  <c r="C10" i="42"/>
  <c r="D11" i="42"/>
  <c r="D13" i="42" s="1"/>
  <c r="D14" i="42" s="1"/>
  <c r="H11" i="42" l="1"/>
  <c r="H13" i="42" s="1"/>
  <c r="H14" i="42" s="1"/>
  <c r="H15" i="42"/>
  <c r="E11" i="42"/>
  <c r="E13" i="42" s="1"/>
  <c r="E14" i="42" s="1"/>
  <c r="E15" i="42"/>
  <c r="F11" i="42"/>
  <c r="F13" i="42" s="1"/>
  <c r="F14" i="42" s="1"/>
  <c r="F15" i="42"/>
  <c r="C11" i="42"/>
  <c r="C13" i="42" s="1"/>
  <c r="C14" i="42" s="1"/>
  <c r="C15" i="42"/>
  <c r="G11" i="42"/>
  <c r="G13" i="42" s="1"/>
  <c r="G14" i="42" s="1"/>
  <c r="G15" i="42"/>
  <c r="H7" i="36"/>
  <c r="B15" i="40"/>
  <c r="I19" i="40"/>
  <c r="H19" i="40"/>
  <c r="F19" i="40"/>
  <c r="D19" i="40"/>
  <c r="C19" i="40"/>
  <c r="G17" i="40"/>
  <c r="E17" i="40"/>
  <c r="B17" i="40"/>
  <c r="G16" i="40"/>
  <c r="E16" i="40"/>
  <c r="B16" i="40"/>
  <c r="G15" i="40"/>
  <c r="E15" i="40"/>
  <c r="G10" i="40"/>
  <c r="G9" i="40"/>
  <c r="B9" i="40"/>
  <c r="K54" i="38"/>
  <c r="K40" i="38"/>
  <c r="K39" i="38"/>
  <c r="K24" i="38"/>
  <c r="K7" i="38"/>
  <c r="K39" i="37"/>
  <c r="K29" i="37"/>
  <c r="K25" i="37"/>
  <c r="K21" i="37"/>
  <c r="K17" i="37"/>
  <c r="K17" i="38" l="1"/>
  <c r="K29" i="38"/>
  <c r="K33" i="38"/>
  <c r="K37" i="38"/>
  <c r="K41" i="38"/>
  <c r="K16" i="37"/>
  <c r="K18" i="38"/>
  <c r="K22" i="38"/>
  <c r="K40" i="37"/>
  <c r="K18" i="37"/>
  <c r="K42" i="37"/>
  <c r="K30" i="37"/>
  <c r="K38" i="37"/>
  <c r="K25" i="38"/>
  <c r="K26" i="38"/>
  <c r="K30" i="38"/>
  <c r="K24" i="37"/>
  <c r="K28" i="37"/>
  <c r="K32" i="37"/>
  <c r="K36" i="37"/>
  <c r="K16" i="38"/>
  <c r="K19" i="38"/>
  <c r="K27" i="38"/>
  <c r="K43" i="38"/>
  <c r="K22" i="37"/>
  <c r="K23" i="37"/>
  <c r="K26" i="37"/>
  <c r="K33" i="37"/>
  <c r="K37" i="37"/>
  <c r="K44" i="37"/>
  <c r="K23" i="38"/>
  <c r="K34" i="38"/>
  <c r="K38" i="38"/>
  <c r="K20" i="37"/>
  <c r="K31" i="37"/>
  <c r="K34" i="37"/>
  <c r="K41" i="37"/>
  <c r="K21" i="38"/>
  <c r="K31" i="38"/>
  <c r="K32" i="38"/>
  <c r="K35" i="38"/>
  <c r="K42" i="38"/>
  <c r="B7" i="40"/>
  <c r="K54" i="37"/>
  <c r="K19" i="37"/>
  <c r="K27" i="37"/>
  <c r="K35" i="37"/>
  <c r="K43" i="37"/>
  <c r="K20" i="38"/>
  <c r="K28" i="38"/>
  <c r="K36" i="38"/>
  <c r="K44" i="38"/>
  <c r="E8" i="40" l="1"/>
  <c r="B8" i="40"/>
  <c r="K48" i="38"/>
  <c r="K56" i="38" s="1"/>
  <c r="K48" i="37"/>
  <c r="K56" i="37" s="1"/>
  <c r="E7" i="40"/>
  <c r="E12" i="40" l="1"/>
  <c r="C73" i="24"/>
  <c r="C79" i="24" l="1"/>
  <c r="H11" i="24"/>
  <c r="H8" i="24"/>
  <c r="H12" i="24"/>
  <c r="H9" i="24"/>
  <c r="H7" i="24"/>
  <c r="H10" i="24"/>
  <c r="B38" i="29"/>
  <c r="B42" i="29"/>
  <c r="B41" i="29"/>
  <c r="B37" i="29"/>
  <c r="B34" i="29"/>
  <c r="B30" i="29"/>
  <c r="B29" i="29"/>
  <c r="B23" i="29"/>
  <c r="D20" i="29"/>
  <c r="D67" i="36" l="1"/>
  <c r="N54" i="36"/>
  <c r="H44" i="36"/>
  <c r="N44" i="36" s="1"/>
  <c r="H43" i="36"/>
  <c r="N43" i="36" s="1"/>
  <c r="H42" i="36"/>
  <c r="N42" i="36" s="1"/>
  <c r="H41" i="36"/>
  <c r="N41" i="36" s="1"/>
  <c r="H40" i="36"/>
  <c r="N40" i="36" s="1"/>
  <c r="H39" i="36"/>
  <c r="N39" i="36" s="1"/>
  <c r="H38" i="36"/>
  <c r="N38" i="36" s="1"/>
  <c r="H37" i="36"/>
  <c r="N37" i="36" s="1"/>
  <c r="H36" i="36"/>
  <c r="N36" i="36" s="1"/>
  <c r="H35" i="36"/>
  <c r="N35" i="36" s="1"/>
  <c r="H34" i="36"/>
  <c r="N34" i="36" s="1"/>
  <c r="H33" i="36"/>
  <c r="N33" i="36" s="1"/>
  <c r="H32" i="36"/>
  <c r="N32" i="36" s="1"/>
  <c r="H31" i="36"/>
  <c r="N31" i="36" s="1"/>
  <c r="H30" i="36"/>
  <c r="N30" i="36" s="1"/>
  <c r="H29" i="36"/>
  <c r="N29" i="36" s="1"/>
  <c r="H28" i="36"/>
  <c r="N28" i="36" s="1"/>
  <c r="H27" i="36"/>
  <c r="N27" i="36" s="1"/>
  <c r="H26" i="36"/>
  <c r="N26" i="36" s="1"/>
  <c r="H25" i="36"/>
  <c r="N25" i="36" s="1"/>
  <c r="H24" i="36"/>
  <c r="N24" i="36" s="1"/>
  <c r="H23" i="36"/>
  <c r="N23" i="36" s="1"/>
  <c r="H22" i="36"/>
  <c r="N22" i="36" s="1"/>
  <c r="H21" i="36"/>
  <c r="N21" i="36" s="1"/>
  <c r="H20" i="36"/>
  <c r="N20" i="36" s="1"/>
  <c r="H19" i="36"/>
  <c r="N19" i="36" s="1"/>
  <c r="H18" i="36"/>
  <c r="N18" i="36" s="1"/>
  <c r="H17" i="36"/>
  <c r="N17" i="36" s="1"/>
  <c r="H16" i="36"/>
  <c r="N16" i="36" s="1"/>
  <c r="N12" i="36"/>
  <c r="G8" i="28" l="1"/>
  <c r="N9" i="36"/>
  <c r="N7" i="36"/>
  <c r="N11" i="36"/>
  <c r="N8" i="36"/>
  <c r="N10" i="36"/>
  <c r="C70" i="35"/>
  <c r="U41" i="35" s="1"/>
  <c r="C68" i="35"/>
  <c r="R42" i="35" s="1"/>
  <c r="S30" i="35"/>
  <c r="S40" i="35"/>
  <c r="P17" i="35"/>
  <c r="P40" i="35"/>
  <c r="Q40" i="35" s="1"/>
  <c r="O17" i="35"/>
  <c r="O18" i="35"/>
  <c r="O19" i="35"/>
  <c r="O20" i="35"/>
  <c r="O21" i="35"/>
  <c r="O22" i="35"/>
  <c r="O23" i="35"/>
  <c r="O24" i="35"/>
  <c r="O25" i="35"/>
  <c r="O26" i="35"/>
  <c r="O27" i="35"/>
  <c r="O28" i="35"/>
  <c r="O29" i="35"/>
  <c r="O30" i="35"/>
  <c r="O31" i="35"/>
  <c r="O32" i="35"/>
  <c r="O33" i="35"/>
  <c r="O34" i="35"/>
  <c r="O35" i="35"/>
  <c r="O36" i="35"/>
  <c r="O37" i="35"/>
  <c r="O38" i="35"/>
  <c r="O39" i="35"/>
  <c r="O40" i="35"/>
  <c r="O41" i="35"/>
  <c r="O42" i="35"/>
  <c r="O43" i="35"/>
  <c r="O44" i="35"/>
  <c r="O16" i="35"/>
  <c r="C62" i="35"/>
  <c r="M27" i="35" s="1"/>
  <c r="M44" i="35"/>
  <c r="S44" i="35" s="1"/>
  <c r="M42" i="35"/>
  <c r="S42" i="35" s="1"/>
  <c r="M41" i="35"/>
  <c r="P41" i="35" s="1"/>
  <c r="Q41" i="35" s="1"/>
  <c r="M40" i="35"/>
  <c r="V40" i="35" s="1"/>
  <c r="M38" i="35"/>
  <c r="S38" i="35" s="1"/>
  <c r="M34" i="35"/>
  <c r="P34" i="35" s="1"/>
  <c r="Q34" i="35" s="1"/>
  <c r="M32" i="35"/>
  <c r="P32" i="35" s="1"/>
  <c r="Q32" i="35" s="1"/>
  <c r="M31" i="35"/>
  <c r="S31" i="35" s="1"/>
  <c r="M30" i="35"/>
  <c r="V30" i="35" s="1"/>
  <c r="M29" i="35"/>
  <c r="S29" i="35" s="1"/>
  <c r="M28" i="35"/>
  <c r="P28" i="35" s="1"/>
  <c r="Q28" i="35" s="1"/>
  <c r="M26" i="35"/>
  <c r="S26" i="35" s="1"/>
  <c r="M24" i="35"/>
  <c r="V24" i="35" s="1"/>
  <c r="M23" i="35"/>
  <c r="S23" i="35" s="1"/>
  <c r="M20" i="35"/>
  <c r="S20" i="35" s="1"/>
  <c r="M17" i="35"/>
  <c r="S17" i="35" s="1"/>
  <c r="M16" i="35"/>
  <c r="J12" i="35"/>
  <c r="J11" i="35"/>
  <c r="J10" i="35"/>
  <c r="J9" i="35"/>
  <c r="J8" i="35"/>
  <c r="J7" i="35"/>
  <c r="G7" i="35"/>
  <c r="M11" i="35" s="1"/>
  <c r="N48" i="36" l="1"/>
  <c r="N56" i="36" s="1"/>
  <c r="G7" i="28"/>
  <c r="P38" i="35"/>
  <c r="Q38" i="35" s="1"/>
  <c r="V44" i="35"/>
  <c r="V38" i="35"/>
  <c r="P16" i="35"/>
  <c r="Q16" i="35" s="1"/>
  <c r="P30" i="35"/>
  <c r="Q30" i="35" s="1"/>
  <c r="V41" i="35"/>
  <c r="V34" i="35"/>
  <c r="W41" i="35"/>
  <c r="P26" i="35"/>
  <c r="Q26" i="35" s="1"/>
  <c r="S41" i="35"/>
  <c r="S34" i="35"/>
  <c r="T34" i="35" s="1"/>
  <c r="M21" i="35"/>
  <c r="P21" i="35" s="1"/>
  <c r="M25" i="35"/>
  <c r="P25" i="35" s="1"/>
  <c r="M33" i="35"/>
  <c r="P33" i="35" s="1"/>
  <c r="Q33" i="35" s="1"/>
  <c r="M18" i="35"/>
  <c r="M22" i="35"/>
  <c r="M39" i="35"/>
  <c r="P39" i="35" s="1"/>
  <c r="Q39" i="35" s="1"/>
  <c r="M43" i="35"/>
  <c r="P43" i="35" s="1"/>
  <c r="Q43" i="35" s="1"/>
  <c r="M37" i="35"/>
  <c r="P37" i="35" s="1"/>
  <c r="Q37" i="35" s="1"/>
  <c r="M19" i="35"/>
  <c r="P19" i="35" s="1"/>
  <c r="Q19" i="35" s="1"/>
  <c r="M35" i="35"/>
  <c r="P35" i="35" s="1"/>
  <c r="Q35" i="35" s="1"/>
  <c r="P27" i="35"/>
  <c r="Q27" i="35" s="1"/>
  <c r="S27" i="35"/>
  <c r="T27" i="35" s="1"/>
  <c r="M36" i="35"/>
  <c r="P36" i="35" s="1"/>
  <c r="Q36" i="35" s="1"/>
  <c r="S21" i="35"/>
  <c r="V25" i="35"/>
  <c r="T20" i="35"/>
  <c r="P31" i="35"/>
  <c r="Q31" i="35" s="1"/>
  <c r="Q17" i="35"/>
  <c r="V31" i="35"/>
  <c r="V28" i="35"/>
  <c r="S24" i="35"/>
  <c r="Q21" i="35"/>
  <c r="Q25" i="35"/>
  <c r="P44" i="35"/>
  <c r="Q44" i="35" s="1"/>
  <c r="P24" i="35"/>
  <c r="Q24" i="35" s="1"/>
  <c r="S16" i="35"/>
  <c r="V32" i="35"/>
  <c r="V29" i="35"/>
  <c r="S28" i="35"/>
  <c r="S25" i="35"/>
  <c r="T25" i="35" s="1"/>
  <c r="R19" i="35"/>
  <c r="R23" i="35"/>
  <c r="R27" i="35"/>
  <c r="R31" i="35"/>
  <c r="T31" i="35" s="1"/>
  <c r="R35" i="35"/>
  <c r="R39" i="35"/>
  <c r="R43" i="35"/>
  <c r="U18" i="35"/>
  <c r="U22" i="35"/>
  <c r="U26" i="35"/>
  <c r="U30" i="35"/>
  <c r="W30" i="35" s="1"/>
  <c r="U34" i="35"/>
  <c r="W34" i="35" s="1"/>
  <c r="U38" i="35"/>
  <c r="W38" i="35" s="1"/>
  <c r="U42" i="35"/>
  <c r="P42" i="35"/>
  <c r="Q42" i="35" s="1"/>
  <c r="P29" i="35"/>
  <c r="Q29" i="35" s="1"/>
  <c r="P23" i="35"/>
  <c r="Q23" i="35" s="1"/>
  <c r="V16" i="35"/>
  <c r="V42" i="35"/>
  <c r="V39" i="35"/>
  <c r="S35" i="35"/>
  <c r="S32" i="35"/>
  <c r="V26" i="35"/>
  <c r="V23" i="35"/>
  <c r="S22" i="35"/>
  <c r="V20" i="35"/>
  <c r="S19" i="35"/>
  <c r="V17" i="35"/>
  <c r="R16" i="35"/>
  <c r="R20" i="35"/>
  <c r="R24" i="35"/>
  <c r="R28" i="35"/>
  <c r="R32" i="35"/>
  <c r="R36" i="35"/>
  <c r="R40" i="35"/>
  <c r="T40" i="35" s="1"/>
  <c r="R44" i="35"/>
  <c r="T44" i="35" s="1"/>
  <c r="U19" i="35"/>
  <c r="U23" i="35"/>
  <c r="U27" i="35"/>
  <c r="U31" i="35"/>
  <c r="W31" i="35" s="1"/>
  <c r="U35" i="35"/>
  <c r="U39" i="35"/>
  <c r="W39" i="35" s="1"/>
  <c r="U43" i="35"/>
  <c r="P20" i="35"/>
  <c r="Q20" i="35" s="1"/>
  <c r="S39" i="35"/>
  <c r="T39" i="35" s="1"/>
  <c r="S36" i="35"/>
  <c r="T36" i="35" s="1"/>
  <c r="V27" i="35"/>
  <c r="V21" i="35"/>
  <c r="R17" i="35"/>
  <c r="R21" i="35"/>
  <c r="R25" i="35"/>
  <c r="R29" i="35"/>
  <c r="R33" i="35"/>
  <c r="R37" i="35"/>
  <c r="R41" i="35"/>
  <c r="U16" i="35"/>
  <c r="U20" i="35"/>
  <c r="W20" i="35" s="1"/>
  <c r="U24" i="35"/>
  <c r="W24" i="35" s="1"/>
  <c r="U28" i="35"/>
  <c r="U32" i="35"/>
  <c r="U36" i="35"/>
  <c r="U40" i="35"/>
  <c r="W40" i="35" s="1"/>
  <c r="U44" i="35"/>
  <c r="W44" i="35" s="1"/>
  <c r="R18" i="35"/>
  <c r="R22" i="35"/>
  <c r="R26" i="35"/>
  <c r="R30" i="35"/>
  <c r="R34" i="35"/>
  <c r="R38" i="35"/>
  <c r="T38" i="35" s="1"/>
  <c r="U17" i="35"/>
  <c r="W17" i="35" s="1"/>
  <c r="U21" i="35"/>
  <c r="U25" i="35"/>
  <c r="U29" i="35"/>
  <c r="W29" i="35" s="1"/>
  <c r="U33" i="35"/>
  <c r="U37" i="35"/>
  <c r="T41" i="35"/>
  <c r="T29" i="35"/>
  <c r="T17" i="35"/>
  <c r="T42" i="35"/>
  <c r="T30" i="35"/>
  <c r="T26" i="35"/>
  <c r="T23" i="35"/>
  <c r="M8" i="35"/>
  <c r="M10" i="35"/>
  <c r="M12" i="35"/>
  <c r="M7" i="35"/>
  <c r="M9" i="35"/>
  <c r="M23" i="23"/>
  <c r="M23" i="18"/>
  <c r="V43" i="35" l="1"/>
  <c r="V33" i="35"/>
  <c r="S33" i="35"/>
  <c r="T33" i="35" s="1"/>
  <c r="V36" i="35"/>
  <c r="W36" i="35" s="1"/>
  <c r="M57" i="35"/>
  <c r="S43" i="35"/>
  <c r="T43" i="35" s="1"/>
  <c r="W33" i="35"/>
  <c r="V19" i="35"/>
  <c r="W19" i="35" s="1"/>
  <c r="W27" i="35"/>
  <c r="W25" i="35"/>
  <c r="P18" i="35"/>
  <c r="Q18" i="35" s="1"/>
  <c r="Q60" i="35" s="1"/>
  <c r="S18" i="35"/>
  <c r="T18" i="35" s="1"/>
  <c r="T22" i="35"/>
  <c r="V35" i="35"/>
  <c r="S37" i="35"/>
  <c r="T37" i="35" s="1"/>
  <c r="V37" i="35"/>
  <c r="V18" i="35"/>
  <c r="W18" i="35" s="1"/>
  <c r="W35" i="35"/>
  <c r="P22" i="35"/>
  <c r="Q22" i="35" s="1"/>
  <c r="Q59" i="35" s="1"/>
  <c r="V22" i="35"/>
  <c r="W22" i="35" s="1"/>
  <c r="T21" i="35"/>
  <c r="T16" i="35"/>
  <c r="T35" i="35"/>
  <c r="T19" i="35"/>
  <c r="W32" i="35"/>
  <c r="W16" i="35"/>
  <c r="W43" i="35"/>
  <c r="T28" i="35"/>
  <c r="W37" i="35"/>
  <c r="W21" i="35"/>
  <c r="W28" i="35"/>
  <c r="W23" i="35"/>
  <c r="T32" i="35"/>
  <c r="W42" i="35"/>
  <c r="W26" i="35"/>
  <c r="T24" i="35"/>
  <c r="C12" i="28"/>
  <c r="D12" i="28"/>
  <c r="F12" i="28"/>
  <c r="D39" i="11"/>
  <c r="D40" i="11"/>
  <c r="D41" i="11"/>
  <c r="D42" i="11"/>
  <c r="D43" i="11"/>
  <c r="D44" i="11"/>
  <c r="D45" i="11"/>
  <c r="D46" i="11"/>
  <c r="D47" i="11"/>
  <c r="D48" i="11"/>
  <c r="D49" i="11"/>
  <c r="D50" i="11"/>
  <c r="D51" i="11"/>
  <c r="D52" i="11"/>
  <c r="D53" i="11"/>
  <c r="D54" i="11"/>
  <c r="D55" i="11"/>
  <c r="D56" i="11"/>
  <c r="D57" i="11"/>
  <c r="D58" i="11"/>
  <c r="D59" i="11"/>
  <c r="D60" i="11"/>
  <c r="D38" i="11"/>
  <c r="G10" i="28"/>
  <c r="B10" i="28"/>
  <c r="G9" i="28"/>
  <c r="B9" i="28"/>
  <c r="V57" i="35" l="1"/>
  <c r="P57" i="35"/>
  <c r="Q61" i="35"/>
  <c r="S57" i="35"/>
  <c r="T61" i="35"/>
  <c r="T60" i="35"/>
  <c r="W61" i="35"/>
  <c r="W59" i="35"/>
  <c r="W60" i="35"/>
  <c r="T59" i="35"/>
  <c r="C62" i="23"/>
  <c r="M36" i="23" s="1"/>
  <c r="M19" i="23" l="1"/>
  <c r="M27" i="23"/>
  <c r="M37" i="23"/>
  <c r="M21" i="23"/>
  <c r="M33" i="23"/>
  <c r="M39" i="23"/>
  <c r="M16" i="23"/>
  <c r="M22" i="23"/>
  <c r="M35" i="23"/>
  <c r="M43" i="23"/>
  <c r="M18" i="23"/>
  <c r="M25" i="23"/>
  <c r="E11" i="21" l="1"/>
  <c r="E10" i="21"/>
  <c r="E7" i="28" l="1"/>
  <c r="E8" i="20"/>
  <c r="M25" i="18" l="1"/>
  <c r="M43" i="18"/>
  <c r="M39" i="18"/>
  <c r="M37" i="18"/>
  <c r="M36" i="18"/>
  <c r="M35" i="18"/>
  <c r="M33" i="18"/>
  <c r="M27" i="18"/>
  <c r="M22" i="18"/>
  <c r="M21" i="18"/>
  <c r="M19" i="18"/>
  <c r="M18" i="18"/>
  <c r="M50" i="31"/>
  <c r="K50" i="31"/>
  <c r="J50" i="31"/>
  <c r="I50" i="31"/>
  <c r="M49" i="31"/>
  <c r="K49" i="31"/>
  <c r="J49" i="31"/>
  <c r="I49" i="31"/>
  <c r="M48" i="31"/>
  <c r="K48" i="31"/>
  <c r="J48" i="31"/>
  <c r="I48" i="31"/>
  <c r="M47" i="31"/>
  <c r="L47" i="31"/>
  <c r="J47" i="31"/>
  <c r="I47" i="31"/>
  <c r="H47" i="31"/>
  <c r="M46" i="31"/>
  <c r="L46" i="31"/>
  <c r="J46" i="31"/>
  <c r="I46" i="31"/>
  <c r="H46" i="31"/>
  <c r="M45" i="31"/>
  <c r="L45" i="31"/>
  <c r="J45" i="31"/>
  <c r="I45" i="31"/>
  <c r="H45" i="31"/>
  <c r="M44" i="31"/>
  <c r="J44" i="31"/>
  <c r="I44" i="31"/>
  <c r="H44" i="31"/>
  <c r="K30" i="31"/>
  <c r="K47" i="31" s="1"/>
  <c r="L19" i="31"/>
  <c r="L50" i="31" s="1"/>
  <c r="K19" i="31"/>
  <c r="H19" i="31"/>
  <c r="H50" i="31" s="1"/>
  <c r="M42" i="30"/>
  <c r="L42" i="30"/>
  <c r="K42" i="30"/>
  <c r="J42" i="30"/>
  <c r="I42" i="30"/>
  <c r="H42" i="30"/>
  <c r="M41" i="30"/>
  <c r="L41" i="30"/>
  <c r="K41" i="30"/>
  <c r="J41" i="30"/>
  <c r="I41" i="30"/>
  <c r="H41" i="30"/>
  <c r="M40" i="30"/>
  <c r="L40" i="30"/>
  <c r="K40" i="30"/>
  <c r="J40" i="30"/>
  <c r="I40" i="30"/>
  <c r="H40" i="30"/>
  <c r="M39" i="30"/>
  <c r="L39" i="30"/>
  <c r="K39" i="30"/>
  <c r="J39" i="30"/>
  <c r="I39" i="30"/>
  <c r="H39" i="30"/>
  <c r="M38" i="30"/>
  <c r="L38" i="30"/>
  <c r="K38" i="30"/>
  <c r="J38" i="30"/>
  <c r="I38" i="30"/>
  <c r="H38" i="30"/>
  <c r="M37" i="30"/>
  <c r="L37" i="30"/>
  <c r="K37" i="30"/>
  <c r="J37" i="30"/>
  <c r="I37" i="30"/>
  <c r="H37" i="30"/>
  <c r="M36" i="30"/>
  <c r="L36" i="30"/>
  <c r="K36" i="30"/>
  <c r="J36" i="30"/>
  <c r="I36" i="30"/>
  <c r="H36" i="30"/>
  <c r="M35" i="30"/>
  <c r="L35" i="30"/>
  <c r="K35" i="30"/>
  <c r="J35" i="30"/>
  <c r="I35" i="30"/>
  <c r="H35" i="30"/>
  <c r="M34" i="30"/>
  <c r="L34" i="30"/>
  <c r="K34" i="30"/>
  <c r="J34" i="30"/>
  <c r="I34" i="30"/>
  <c r="H34" i="30"/>
  <c r="M33" i="30"/>
  <c r="L33" i="30"/>
  <c r="K33" i="30"/>
  <c r="J33" i="30"/>
  <c r="J43" i="30" s="1"/>
  <c r="J44" i="30" s="1"/>
  <c r="I33" i="30"/>
  <c r="I43" i="30" s="1"/>
  <c r="I44" i="30" s="1"/>
  <c r="G15" i="28" s="1"/>
  <c r="H33" i="30"/>
  <c r="I51" i="31" l="1"/>
  <c r="I52" i="31" s="1"/>
  <c r="G16" i="28" s="1"/>
  <c r="J51" i="31"/>
  <c r="J52" i="31" s="1"/>
  <c r="K43" i="30"/>
  <c r="K44" i="30" s="1"/>
  <c r="H49" i="31"/>
  <c r="H43" i="30"/>
  <c r="H44" i="30" s="1"/>
  <c r="B15" i="28" s="1"/>
  <c r="L43" i="30"/>
  <c r="L44" i="30" s="1"/>
  <c r="E15" i="28" s="1"/>
  <c r="M51" i="31"/>
  <c r="M52" i="31" s="1"/>
  <c r="L49" i="31"/>
  <c r="K44" i="31"/>
  <c r="H48" i="31"/>
  <c r="L48" i="31"/>
  <c r="K46" i="31"/>
  <c r="K45" i="31"/>
  <c r="H51" i="31" l="1"/>
  <c r="H52" i="31" s="1"/>
  <c r="B16" i="28" s="1"/>
  <c r="K51" i="31"/>
  <c r="K52" i="31" s="1"/>
  <c r="L44" i="31"/>
  <c r="L51" i="31" s="1"/>
  <c r="L52" i="31" s="1"/>
  <c r="E16" i="28" s="1"/>
  <c r="M7" i="18" l="1"/>
  <c r="B7" i="28" s="1"/>
  <c r="B21" i="29" l="1"/>
  <c r="B20" i="29"/>
  <c r="H19" i="28" l="1"/>
  <c r="F19" i="28"/>
  <c r="D19" i="28"/>
  <c r="C19" i="28"/>
  <c r="D67" i="24"/>
  <c r="N54" i="24"/>
  <c r="H44" i="24"/>
  <c r="H43" i="24"/>
  <c r="H42" i="24"/>
  <c r="H41" i="24"/>
  <c r="H40" i="24"/>
  <c r="H39" i="24"/>
  <c r="H38" i="24"/>
  <c r="H37" i="24"/>
  <c r="H36" i="24"/>
  <c r="H35" i="24"/>
  <c r="H34" i="24"/>
  <c r="H33" i="24"/>
  <c r="H32" i="24"/>
  <c r="H31" i="24"/>
  <c r="H30" i="24"/>
  <c r="H29" i="24"/>
  <c r="H28" i="24"/>
  <c r="H27" i="24"/>
  <c r="H26" i="24"/>
  <c r="H25" i="24"/>
  <c r="H24" i="24"/>
  <c r="H23" i="24"/>
  <c r="H22" i="24"/>
  <c r="H21" i="24"/>
  <c r="H20" i="24"/>
  <c r="H19" i="24"/>
  <c r="H18" i="24"/>
  <c r="H17" i="24"/>
  <c r="H16" i="24"/>
  <c r="K104" i="22"/>
  <c r="N104" i="22" s="1"/>
  <c r="C104" i="22"/>
  <c r="G104" i="22" s="1"/>
  <c r="H104" i="22" s="1"/>
  <c r="C103" i="22"/>
  <c r="G103" i="22" s="1"/>
  <c r="H103" i="22" s="1"/>
  <c r="C102" i="22"/>
  <c r="K102" i="22" s="1"/>
  <c r="N102" i="22" s="1"/>
  <c r="C101" i="22"/>
  <c r="K101" i="22" s="1"/>
  <c r="N101" i="22" s="1"/>
  <c r="C100" i="22"/>
  <c r="G100" i="22" s="1"/>
  <c r="H100" i="22" s="1"/>
  <c r="K99" i="22"/>
  <c r="N99" i="22" s="1"/>
  <c r="G99" i="22"/>
  <c r="H99" i="22" s="1"/>
  <c r="C99" i="22"/>
  <c r="C98" i="22"/>
  <c r="K98" i="22" s="1"/>
  <c r="N98" i="22" s="1"/>
  <c r="C97" i="22"/>
  <c r="K97" i="22" s="1"/>
  <c r="N97" i="22" s="1"/>
  <c r="H96" i="22"/>
  <c r="C96" i="22"/>
  <c r="K96" i="22" s="1"/>
  <c r="N96" i="22" s="1"/>
  <c r="O96" i="22" s="1"/>
  <c r="C95" i="22"/>
  <c r="K95" i="22" s="1"/>
  <c r="N95" i="22" s="1"/>
  <c r="C94" i="22"/>
  <c r="G94" i="22" s="1"/>
  <c r="H94" i="22" s="1"/>
  <c r="C93" i="22"/>
  <c r="K93" i="22" s="1"/>
  <c r="N93" i="22" s="1"/>
  <c r="D87" i="22"/>
  <c r="F50" i="22"/>
  <c r="F35" i="22"/>
  <c r="F25" i="22"/>
  <c r="F26" i="22" s="1"/>
  <c r="H13" i="22"/>
  <c r="J12" i="22"/>
  <c r="H11" i="22"/>
  <c r="H10" i="22"/>
  <c r="H9" i="22"/>
  <c r="H8" i="22"/>
  <c r="H7" i="22"/>
  <c r="G33" i="21"/>
  <c r="I11" i="21" s="1"/>
  <c r="K11" i="21" s="1"/>
  <c r="I18" i="21"/>
  <c r="I17" i="21"/>
  <c r="M9" i="20"/>
  <c r="C62" i="19"/>
  <c r="E7" i="19" s="1"/>
  <c r="K39" i="19"/>
  <c r="K35" i="19"/>
  <c r="K31" i="19"/>
  <c r="K27" i="19"/>
  <c r="K23" i="19"/>
  <c r="K19" i="19"/>
  <c r="E61" i="18"/>
  <c r="M54" i="18"/>
  <c r="M44" i="18"/>
  <c r="M42" i="18"/>
  <c r="M41" i="18"/>
  <c r="M40" i="18"/>
  <c r="M38" i="18"/>
  <c r="M34" i="18"/>
  <c r="M31" i="18"/>
  <c r="M30" i="18"/>
  <c r="M29" i="18"/>
  <c r="M28" i="18"/>
  <c r="M26" i="18"/>
  <c r="M24" i="18"/>
  <c r="M20" i="18"/>
  <c r="M15" i="23" l="1"/>
  <c r="M15" i="35"/>
  <c r="O101" i="22"/>
  <c r="K103" i="22"/>
  <c r="N103" i="22" s="1"/>
  <c r="O95" i="22"/>
  <c r="O97" i="22"/>
  <c r="O99" i="22"/>
  <c r="O104" i="22"/>
  <c r="M11" i="21"/>
  <c r="M51" i="35"/>
  <c r="K100" i="22"/>
  <c r="N100" i="22" s="1"/>
  <c r="O100" i="22" s="1"/>
  <c r="N8" i="24"/>
  <c r="N12" i="24"/>
  <c r="N9" i="24"/>
  <c r="N7" i="24"/>
  <c r="N10" i="24"/>
  <c r="N11" i="24"/>
  <c r="K15" i="19"/>
  <c r="M7" i="20"/>
  <c r="K8" i="21"/>
  <c r="M8" i="21" s="1"/>
  <c r="O103" i="22"/>
  <c r="O98" i="22"/>
  <c r="O102" i="22"/>
  <c r="N16" i="24"/>
  <c r="N22" i="24"/>
  <c r="K41" i="19"/>
  <c r="F27" i="22"/>
  <c r="J10" i="22" s="1"/>
  <c r="L10" i="22" s="1"/>
  <c r="N10" i="22" s="1"/>
  <c r="N17" i="24"/>
  <c r="M34" i="23"/>
  <c r="K29" i="19"/>
  <c r="M28" i="23"/>
  <c r="E11" i="19"/>
  <c r="E10" i="19"/>
  <c r="K10" i="19" s="1"/>
  <c r="E9" i="19"/>
  <c r="K9" i="19" s="1"/>
  <c r="G98" i="22"/>
  <c r="H98" i="22" s="1"/>
  <c r="G102" i="22"/>
  <c r="H102" i="22" s="1"/>
  <c r="M42" i="23"/>
  <c r="K16" i="19"/>
  <c r="K20" i="19"/>
  <c r="K24" i="19"/>
  <c r="K28" i="19"/>
  <c r="G97" i="22"/>
  <c r="H97" i="22" s="1"/>
  <c r="G101" i="22"/>
  <c r="H101" i="22" s="1"/>
  <c r="M24" i="23"/>
  <c r="M40" i="23"/>
  <c r="N18" i="24"/>
  <c r="K17" i="19"/>
  <c r="K33" i="19"/>
  <c r="K40" i="19"/>
  <c r="K7" i="21"/>
  <c r="M7" i="21" s="1"/>
  <c r="J11" i="22"/>
  <c r="L11" i="22" s="1"/>
  <c r="N11" i="22" s="1"/>
  <c r="M26" i="23"/>
  <c r="M30" i="23"/>
  <c r="N23" i="24"/>
  <c r="N26" i="24"/>
  <c r="N30" i="24"/>
  <c r="N34" i="24"/>
  <c r="N38" i="24"/>
  <c r="K37" i="19"/>
  <c r="K44" i="19"/>
  <c r="M32" i="23"/>
  <c r="N33" i="24"/>
  <c r="K21" i="19"/>
  <c r="K25" i="19"/>
  <c r="K32" i="19"/>
  <c r="K36" i="19"/>
  <c r="K43" i="19"/>
  <c r="M20" i="23"/>
  <c r="M31" i="23"/>
  <c r="M38" i="23"/>
  <c r="M44" i="23"/>
  <c r="N25" i="24"/>
  <c r="N29" i="24"/>
  <c r="N32" i="24"/>
  <c r="N39" i="24"/>
  <c r="N42" i="24"/>
  <c r="I19" i="28"/>
  <c r="K22" i="19"/>
  <c r="K30" i="19"/>
  <c r="K38" i="19"/>
  <c r="M17" i="23"/>
  <c r="M41" i="23"/>
  <c r="N20" i="24"/>
  <c r="N21" i="24"/>
  <c r="N27" i="24"/>
  <c r="N36" i="24"/>
  <c r="N37" i="24"/>
  <c r="N43" i="24"/>
  <c r="N24" i="24"/>
  <c r="N31" i="24"/>
  <c r="N40" i="24"/>
  <c r="N41" i="24"/>
  <c r="K11" i="19"/>
  <c r="K18" i="19"/>
  <c r="K26" i="19"/>
  <c r="K34" i="19"/>
  <c r="K42" i="19"/>
  <c r="M29" i="23"/>
  <c r="N19" i="24"/>
  <c r="N28" i="24"/>
  <c r="N35" i="24"/>
  <c r="N44" i="24"/>
  <c r="K51" i="19"/>
  <c r="H8" i="19"/>
  <c r="H12" i="19"/>
  <c r="H9" i="19"/>
  <c r="O93" i="22"/>
  <c r="H7" i="19"/>
  <c r="H11" i="19"/>
  <c r="H10" i="19"/>
  <c r="M32" i="18"/>
  <c r="B8" i="28" s="1"/>
  <c r="B12" i="28" s="1"/>
  <c r="J7" i="22"/>
  <c r="L7" i="22" s="1"/>
  <c r="N7" i="22" s="1"/>
  <c r="J8" i="22"/>
  <c r="L8" i="22" s="1"/>
  <c r="N8" i="22" s="1"/>
  <c r="J9" i="22"/>
  <c r="L9" i="22" s="1"/>
  <c r="N9" i="22" s="1"/>
  <c r="K7" i="19"/>
  <c r="E8" i="19"/>
  <c r="K8" i="19" s="1"/>
  <c r="E12" i="19"/>
  <c r="K12" i="19" s="1"/>
  <c r="M8" i="20"/>
  <c r="K10" i="21"/>
  <c r="J13" i="22"/>
  <c r="L13" i="22" s="1"/>
  <c r="N13" i="22" s="1"/>
  <c r="G93" i="22"/>
  <c r="H93" i="22" s="1"/>
  <c r="K94" i="22"/>
  <c r="N94" i="22" s="1"/>
  <c r="O94" i="22" s="1"/>
  <c r="G95" i="22"/>
  <c r="H95" i="22" s="1"/>
  <c r="G8" i="40" l="1"/>
  <c r="E8" i="28"/>
  <c r="K46" i="19"/>
  <c r="G7" i="40"/>
  <c r="M50" i="35"/>
  <c r="M54" i="35" s="1"/>
  <c r="M10" i="21"/>
  <c r="M12" i="21" s="1"/>
  <c r="M45" i="35"/>
  <c r="M45" i="23"/>
  <c r="M46" i="35"/>
  <c r="M46" i="23"/>
  <c r="M14" i="35"/>
  <c r="M14" i="23"/>
  <c r="M13" i="23"/>
  <c r="M13" i="35"/>
  <c r="K45" i="19"/>
  <c r="M10" i="20"/>
  <c r="H105" i="22"/>
  <c r="N48" i="24"/>
  <c r="N56" i="24" s="1"/>
  <c r="M48" i="18"/>
  <c r="M56" i="18" s="1"/>
  <c r="K13" i="19"/>
  <c r="K10" i="20"/>
  <c r="K50" i="19"/>
  <c r="K54" i="19" s="1"/>
  <c r="M54" i="23"/>
  <c r="K12" i="21"/>
  <c r="N105" i="22"/>
  <c r="K14" i="19"/>
  <c r="O105" i="22"/>
  <c r="Q105" i="22" s="1"/>
  <c r="H12" i="22" s="1"/>
  <c r="L12" i="22" s="1"/>
  <c r="G12" i="40" l="1"/>
  <c r="E10" i="28"/>
  <c r="B10" i="40"/>
  <c r="B12" i="40" s="1"/>
  <c r="E9" i="28"/>
  <c r="L14" i="22"/>
  <c r="N12" i="22"/>
  <c r="G12" i="28"/>
  <c r="K47" i="19"/>
  <c r="K48" i="19" s="1"/>
  <c r="K56" i="19" s="1"/>
  <c r="M47" i="35" l="1"/>
  <c r="M48" i="35" s="1"/>
  <c r="M56" i="35" s="1"/>
  <c r="M48" i="23"/>
  <c r="M56" i="23" s="1"/>
  <c r="D34" i="11"/>
  <c r="F34" i="11" s="1"/>
  <c r="D33" i="11"/>
  <c r="G33" i="11" s="1"/>
  <c r="D32" i="11"/>
  <c r="F32" i="11" s="1"/>
  <c r="D35" i="11"/>
  <c r="I35" i="11" s="1"/>
  <c r="F41" i="11"/>
  <c r="G40" i="11"/>
  <c r="F39" i="11"/>
  <c r="F38" i="11"/>
  <c r="F47" i="11"/>
  <c r="F46" i="11"/>
  <c r="F58" i="11"/>
  <c r="F45" i="11"/>
  <c r="F54" i="11"/>
  <c r="I51" i="11"/>
  <c r="F50" i="11"/>
  <c r="I49" i="11"/>
  <c r="H48" i="11"/>
  <c r="F56" i="11"/>
  <c r="G55" i="11"/>
  <c r="I53" i="11"/>
  <c r="I52" i="11"/>
  <c r="G44" i="11"/>
  <c r="F59" i="11"/>
  <c r="G43" i="11"/>
  <c r="H57" i="11"/>
  <c r="H60" i="11"/>
  <c r="H55" i="11"/>
  <c r="G42" i="11"/>
  <c r="F33" i="13"/>
  <c r="F34" i="13" s="1"/>
  <c r="B17" i="28" s="1"/>
  <c r="K32" i="13"/>
  <c r="K33" i="13" s="1"/>
  <c r="K34" i="13" s="1"/>
  <c r="J33" i="13"/>
  <c r="J34" i="13" s="1"/>
  <c r="E17" i="28" s="1"/>
  <c r="I32" i="13"/>
  <c r="I33" i="13" s="1"/>
  <c r="I34" i="13" s="1"/>
  <c r="H32" i="13"/>
  <c r="H33" i="13" s="1"/>
  <c r="H34" i="13" s="1"/>
  <c r="G32" i="13"/>
  <c r="G33" i="13" s="1"/>
  <c r="G34" i="13" s="1"/>
  <c r="G17" i="28" s="1"/>
  <c r="F32" i="13"/>
  <c r="F43" i="11"/>
  <c r="I43" i="11"/>
  <c r="G60" i="11"/>
  <c r="G52" i="11"/>
  <c r="H52" i="11"/>
  <c r="H53" i="11"/>
  <c r="F48" i="11"/>
  <c r="G48" i="11"/>
  <c r="H34" i="11"/>
  <c r="H50" i="11"/>
  <c r="I50" i="11"/>
  <c r="H51" i="11"/>
  <c r="H54" i="11"/>
  <c r="I54" i="11"/>
  <c r="I45" i="11"/>
  <c r="H58" i="11"/>
  <c r="I58" i="11"/>
  <c r="I46" i="11"/>
  <c r="H47" i="11"/>
  <c r="I47" i="11"/>
  <c r="I38" i="11"/>
  <c r="H39" i="11"/>
  <c r="I39" i="11"/>
  <c r="F40" i="11"/>
  <c r="H41" i="11"/>
  <c r="I41" i="11"/>
  <c r="E52" i="11"/>
  <c r="E48" i="11"/>
  <c r="E54" i="11"/>
  <c r="E47" i="11"/>
  <c r="G34" i="11" l="1"/>
  <c r="G57" i="11"/>
  <c r="E41" i="11"/>
  <c r="E51" i="11"/>
  <c r="E43" i="11"/>
  <c r="G41" i="11"/>
  <c r="G47" i="11"/>
  <c r="G54" i="11"/>
  <c r="I48" i="11"/>
  <c r="F52" i="11"/>
  <c r="H43" i="11"/>
  <c r="E40" i="11"/>
  <c r="E34" i="11"/>
  <c r="E57" i="11"/>
  <c r="I34" i="11"/>
  <c r="F44" i="11"/>
  <c r="I40" i="11"/>
  <c r="H46" i="11"/>
  <c r="G51" i="11"/>
  <c r="H56" i="11"/>
  <c r="I44" i="11"/>
  <c r="F57" i="11"/>
  <c r="I56" i="11"/>
  <c r="E46" i="11"/>
  <c r="E33" i="11"/>
  <c r="E44" i="11"/>
  <c r="H40" i="11"/>
  <c r="G46" i="11"/>
  <c r="F51" i="11"/>
  <c r="G56" i="11"/>
  <c r="H44" i="11"/>
  <c r="I57" i="11"/>
  <c r="E56" i="11"/>
  <c r="E39" i="11"/>
  <c r="E58" i="11"/>
  <c r="E50" i="11"/>
  <c r="G39" i="11"/>
  <c r="G38" i="11"/>
  <c r="G58" i="11"/>
  <c r="G45" i="11"/>
  <c r="H49" i="11"/>
  <c r="I59" i="11"/>
  <c r="H38" i="11"/>
  <c r="H45" i="11"/>
  <c r="E38" i="11"/>
  <c r="E45" i="11"/>
  <c r="E49" i="11"/>
  <c r="G49" i="11"/>
  <c r="I33" i="11"/>
  <c r="H33" i="11"/>
  <c r="F33" i="11"/>
  <c r="F36" i="11" s="1"/>
  <c r="G14" i="28" s="1"/>
  <c r="G18" i="28" s="1"/>
  <c r="G19" i="28" s="1"/>
  <c r="H32" i="11"/>
  <c r="G32" i="11"/>
  <c r="I32" i="11"/>
  <c r="E32" i="11"/>
  <c r="H35" i="11"/>
  <c r="G35" i="11"/>
  <c r="E35" i="11"/>
  <c r="F35" i="11"/>
  <c r="G50" i="11"/>
  <c r="F49" i="11"/>
  <c r="G53" i="11"/>
  <c r="H59" i="11"/>
  <c r="E59" i="11"/>
  <c r="F53" i="11"/>
  <c r="G59" i="11"/>
  <c r="E53" i="11"/>
  <c r="E55" i="11"/>
  <c r="E60" i="11"/>
  <c r="F55" i="11"/>
  <c r="F60" i="11"/>
  <c r="I55" i="11"/>
  <c r="I60" i="11"/>
  <c r="E42" i="11"/>
  <c r="H42" i="11"/>
  <c r="F42" i="11"/>
  <c r="I42" i="11"/>
  <c r="I36" i="11" l="1"/>
  <c r="E14" i="28" s="1"/>
  <c r="E18" i="28" s="1"/>
  <c r="E19" i="28" s="1"/>
  <c r="F61" i="11"/>
  <c r="G36" i="11"/>
  <c r="F62" i="11"/>
  <c r="G18" i="40" s="1"/>
  <c r="G19" i="40" s="1"/>
  <c r="I61" i="11"/>
  <c r="H36" i="11"/>
  <c r="G61" i="11"/>
  <c r="G62" i="11" s="1"/>
  <c r="E61" i="11"/>
  <c r="E36" i="11"/>
  <c r="H61" i="11"/>
  <c r="H62" i="11" s="1"/>
  <c r="B14" i="28" l="1"/>
  <c r="B18" i="28" s="1"/>
  <c r="B19" i="28" s="1"/>
  <c r="B14" i="40"/>
  <c r="B18" i="40" s="1"/>
  <c r="B19" i="40" s="1"/>
  <c r="I62" i="11"/>
  <c r="E18" i="40" s="1"/>
  <c r="E19" i="40" s="1"/>
  <c r="E62" i="11"/>
</calcChain>
</file>

<file path=xl/comments1.xml><?xml version="1.0" encoding="utf-8"?>
<comments xmlns="http://schemas.openxmlformats.org/spreadsheetml/2006/main">
  <authors>
    <author>Deanne Hughes</author>
  </authors>
  <commentList>
    <comment ref="C35" authorId="0" shapeId="0">
      <text>
        <r>
          <rPr>
            <b/>
            <sz val="9"/>
            <color indexed="81"/>
            <rFont val="Tahoma"/>
            <family val="2"/>
          </rPr>
          <t>Deanne Hughes:</t>
        </r>
        <r>
          <rPr>
            <sz val="9"/>
            <color indexed="81"/>
            <rFont val="Tahoma"/>
            <family val="2"/>
          </rPr>
          <t xml:space="preserve">
Permit shows this as 2.6 MMBTU,  Weil McLain BL-988-SW
</t>
        </r>
      </text>
    </comment>
  </commentList>
</comments>
</file>

<file path=xl/comments2.xml><?xml version="1.0" encoding="utf-8"?>
<comments xmlns="http://schemas.openxmlformats.org/spreadsheetml/2006/main">
  <authors>
    <author>Deanne Hughes</author>
  </authors>
  <commentList>
    <comment ref="C12" authorId="0" shapeId="0">
      <text>
        <r>
          <rPr>
            <b/>
            <sz val="9"/>
            <color indexed="81"/>
            <rFont val="Tahoma"/>
            <family val="2"/>
          </rPr>
          <t>Deanne Hughes:</t>
        </r>
        <r>
          <rPr>
            <sz val="9"/>
            <color indexed="81"/>
            <rFont val="Tahoma"/>
            <family val="2"/>
          </rPr>
          <t xml:space="preserve">
different assumption that Fort made -- it used 600 hours for each source
</t>
        </r>
      </text>
    </comment>
    <comment ref="E44" authorId="0" shapeId="0">
      <text>
        <r>
          <rPr>
            <b/>
            <sz val="9"/>
            <color indexed="81"/>
            <rFont val="Tahoma"/>
            <family val="2"/>
          </rPr>
          <t>Deanne Hughes:</t>
        </r>
        <r>
          <rPr>
            <sz val="9"/>
            <color indexed="81"/>
            <rFont val="Tahoma"/>
            <family val="2"/>
          </rPr>
          <t xml:space="preserve">
Potential emissions revised for the first three engines to match certified status.
</t>
        </r>
      </text>
    </comment>
    <comment ref="F44" authorId="0" shapeId="0">
      <text>
        <r>
          <rPr>
            <b/>
            <sz val="9"/>
            <color indexed="81"/>
            <rFont val="Tahoma"/>
            <family val="2"/>
          </rPr>
          <t>Deanne Hughes:</t>
        </r>
        <r>
          <rPr>
            <sz val="9"/>
            <color indexed="81"/>
            <rFont val="Tahoma"/>
            <family val="2"/>
          </rPr>
          <t xml:space="preserve">
Revised from 134 hp based on nameplate provided by Eric 4/18/17.  </t>
        </r>
      </text>
    </comment>
    <comment ref="F46" authorId="0" shapeId="0">
      <text>
        <r>
          <rPr>
            <b/>
            <sz val="9"/>
            <color indexed="81"/>
            <rFont val="Tahoma"/>
            <family val="2"/>
          </rPr>
          <t>Changed from 334 to match Mfg. Information</t>
        </r>
      </text>
    </comment>
  </commentList>
</comments>
</file>

<file path=xl/comments3.xml><?xml version="1.0" encoding="utf-8"?>
<comments xmlns="http://schemas.openxmlformats.org/spreadsheetml/2006/main">
  <authors>
    <author>Deanne Hughes</author>
  </authors>
  <commentList>
    <comment ref="I5" authorId="0" shapeId="0">
      <text>
        <r>
          <rPr>
            <b/>
            <sz val="9"/>
            <color indexed="81"/>
            <rFont val="Tahoma"/>
            <family val="2"/>
          </rPr>
          <t>Deanne Hughes:</t>
        </r>
        <r>
          <rPr>
            <sz val="9"/>
            <color indexed="81"/>
            <rFont val="Tahoma"/>
            <family val="2"/>
          </rPr>
          <t xml:space="preserve">
Revised from 134 hp based on nameplate provided by Eric 4/18/17.  </t>
        </r>
      </text>
    </comment>
    <comment ref="I7" authorId="0" shapeId="0">
      <text>
        <r>
          <rPr>
            <b/>
            <sz val="9"/>
            <color indexed="81"/>
            <rFont val="Tahoma"/>
            <family val="2"/>
          </rPr>
          <t>Changed from 334 to match Mfg. Information</t>
        </r>
      </text>
    </comment>
  </commentList>
</comments>
</file>

<file path=xl/comments4.xml><?xml version="1.0" encoding="utf-8"?>
<comments xmlns="http://schemas.openxmlformats.org/spreadsheetml/2006/main">
  <authors>
    <author>Deanne D. Hughes</author>
  </authors>
  <commentList>
    <comment ref="I16" authorId="0" shapeId="0">
      <text>
        <r>
          <rPr>
            <b/>
            <sz val="9"/>
            <color indexed="81"/>
            <rFont val="Tahoma"/>
            <family val="2"/>
          </rPr>
          <t>Deanne D. Hughes:</t>
        </r>
        <r>
          <rPr>
            <sz val="9"/>
            <color indexed="81"/>
            <rFont val="Tahoma"/>
            <family val="2"/>
          </rPr>
          <t xml:space="preserve">
I have changed all the engines to 500 hours/year per Courtney's request -- but calculations in table D-1 for assessable emissions, 100 hr/year is used instead.</t>
        </r>
      </text>
    </comment>
  </commentList>
</comments>
</file>

<file path=xl/comments5.xml><?xml version="1.0" encoding="utf-8"?>
<comments xmlns="http://schemas.openxmlformats.org/spreadsheetml/2006/main">
  <authors>
    <author>Deanne Hughes</author>
  </authors>
  <commentList>
    <comment ref="B16" authorId="0" shapeId="0">
      <text>
        <r>
          <rPr>
            <b/>
            <sz val="9"/>
            <color indexed="81"/>
            <rFont val="Tahoma"/>
            <family val="2"/>
          </rPr>
          <t>Deanne Hughes:</t>
        </r>
        <r>
          <rPr>
            <sz val="9"/>
            <color indexed="81"/>
            <rFont val="Tahoma"/>
            <family val="2"/>
          </rPr>
          <t xml:space="preserve">
Title V Renewal Application indicated this generator has a 5.39 vendor guarantee.</t>
        </r>
      </text>
    </comment>
  </commentList>
</comments>
</file>

<file path=xl/comments6.xml><?xml version="1.0" encoding="utf-8"?>
<comments xmlns="http://schemas.openxmlformats.org/spreadsheetml/2006/main">
  <authors>
    <author>Deanne D. Hughes</author>
  </authors>
  <commentList>
    <comment ref="D17" authorId="0" shapeId="0">
      <text>
        <r>
          <rPr>
            <b/>
            <sz val="9"/>
            <color indexed="81"/>
            <rFont val="Tahoma"/>
            <family val="2"/>
          </rPr>
          <t>Deanne D. Hughes:</t>
        </r>
        <r>
          <rPr>
            <sz val="9"/>
            <color indexed="81"/>
            <rFont val="Tahoma"/>
            <family val="2"/>
          </rPr>
          <t xml:space="preserve">
Maximum value to be used for calculating emissions for all boilers in the Revised PM2.5</t>
        </r>
      </text>
    </comment>
  </commentList>
</comments>
</file>

<file path=xl/comments7.xml><?xml version="1.0" encoding="utf-8"?>
<comments xmlns="http://schemas.openxmlformats.org/spreadsheetml/2006/main">
  <authors>
    <author>Deanne Hughes</author>
  </authors>
  <commentList>
    <comment ref="I34" authorId="0" shapeId="0">
      <text>
        <r>
          <rPr>
            <b/>
            <sz val="9"/>
            <color indexed="81"/>
            <rFont val="Tahoma"/>
            <family val="2"/>
          </rPr>
          <t>Deanne Hughes:</t>
        </r>
        <r>
          <rPr>
            <sz val="9"/>
            <color indexed="81"/>
            <rFont val="Tahoma"/>
            <family val="2"/>
          </rPr>
          <t xml:space="preserve">
Revised from 134 hp based on nameplate provided by Eric 4/18/17.  </t>
        </r>
      </text>
    </comment>
    <comment ref="I36" authorId="0" shapeId="0">
      <text>
        <r>
          <rPr>
            <b/>
            <sz val="9"/>
            <color indexed="81"/>
            <rFont val="Tahoma"/>
            <family val="2"/>
          </rPr>
          <t>Changed from 334 to match Mfg. Information</t>
        </r>
      </text>
    </comment>
  </commentList>
</comments>
</file>

<file path=xl/comments8.xml><?xml version="1.0" encoding="utf-8"?>
<comments xmlns="http://schemas.openxmlformats.org/spreadsheetml/2006/main">
  <authors>
    <author>Deanne Hughes</author>
  </authors>
  <commentList>
    <comment ref="I4" authorId="0" shapeId="0">
      <text>
        <r>
          <rPr>
            <b/>
            <sz val="9"/>
            <color indexed="81"/>
            <rFont val="Tahoma"/>
            <family val="2"/>
          </rPr>
          <t>Deanne Hughes:</t>
        </r>
        <r>
          <rPr>
            <sz val="9"/>
            <color indexed="81"/>
            <rFont val="Tahoma"/>
            <family val="2"/>
          </rPr>
          <t xml:space="preserve">
use the values highlighted in Table D.3-5 for these - in lb/hr-hr units
</t>
        </r>
      </text>
    </comment>
  </commentList>
</comments>
</file>

<file path=xl/sharedStrings.xml><?xml version="1.0" encoding="utf-8"?>
<sst xmlns="http://schemas.openxmlformats.org/spreadsheetml/2006/main" count="5866" uniqueCount="1004">
  <si>
    <t>Backup Diesel‐Fired Boiler 1</t>
  </si>
  <si>
    <t>Backup Diesel‐Fired Boiler 2</t>
  </si>
  <si>
    <t>Backup Diesel‐Fired Boiler 3</t>
  </si>
  <si>
    <t>Boiler Building 5007</t>
  </si>
  <si>
    <t>Backup Diesel‐Electric Generator 1</t>
  </si>
  <si>
    <t>Backup Diesel‐Electric Generator 2</t>
  </si>
  <si>
    <t>Backup Diesel‐Electric Generator 3</t>
  </si>
  <si>
    <t>Emergency Generator Bldg. 2132</t>
  </si>
  <si>
    <t>Emergency Generator Bldg. 1580</t>
  </si>
  <si>
    <t>Emergency Generator Bldg. 3406</t>
  </si>
  <si>
    <t>Emergency Generator Bldg. 3567</t>
  </si>
  <si>
    <t>Fire Pump Building 2089</t>
  </si>
  <si>
    <t>Fire Pump #1 Building 1572</t>
  </si>
  <si>
    <t>Fire Pump #2 Building 1572</t>
  </si>
  <si>
    <t>Fire Pump #3 Building 1572</t>
  </si>
  <si>
    <t>Emission Unit Name</t>
  </si>
  <si>
    <t>EU ID</t>
  </si>
  <si>
    <t>Bassett Hospital</t>
  </si>
  <si>
    <t>Weil‐McLainBL‐988‐SW</t>
  </si>
  <si>
    <t>Cummins QSB7‐G5 NR3</t>
  </si>
  <si>
    <t>John Deere 402HF285B</t>
  </si>
  <si>
    <t>Caterpillar C9 Genset</t>
  </si>
  <si>
    <t>SDMO TM30UCM</t>
  </si>
  <si>
    <t>John Deere 6081AF001</t>
  </si>
  <si>
    <t>Clarke DDFP‐04AT</t>
  </si>
  <si>
    <t>Description</t>
  </si>
  <si>
    <t>Installation or Construction Date</t>
  </si>
  <si>
    <t>Est 2003‐2004</t>
  </si>
  <si>
    <t>Est 2003‐2005</t>
  </si>
  <si>
    <t>Est 2003‐2006</t>
  </si>
  <si>
    <t>Permit AQ0236TVP03 Emission Units</t>
  </si>
  <si>
    <t>-</t>
  </si>
  <si>
    <t>Fire Pump #4 Building 1572</t>
  </si>
  <si>
    <t>Fire Pump #1 Building 2080</t>
  </si>
  <si>
    <t>Fire Pump #2 Building 2080</t>
  </si>
  <si>
    <t>Fire Pump Building 3498</t>
  </si>
  <si>
    <t>Fire Pump #1 Building 5009</t>
  </si>
  <si>
    <t>Fire Pump #2 Building 5009</t>
  </si>
  <si>
    <t>VOC Extraction and Combustion</t>
  </si>
  <si>
    <t>FWA Landfill</t>
  </si>
  <si>
    <t>Aerospace Activities</t>
  </si>
  <si>
    <t>Paved Roads</t>
  </si>
  <si>
    <t>Unpaved Roads</t>
  </si>
  <si>
    <t>Cummins N‐885‐F</t>
  </si>
  <si>
    <t>Clarke, JU4H‐UF40</t>
  </si>
  <si>
    <t>Clarke, PDFP‐06YT</t>
  </si>
  <si>
    <t>Restoration Activities</t>
  </si>
  <si>
    <t>Landfill</t>
  </si>
  <si>
    <t>Painting and Degreasing</t>
  </si>
  <si>
    <t>N/A</t>
  </si>
  <si>
    <t>1950's</t>
  </si>
  <si>
    <t>Various</t>
  </si>
  <si>
    <t>Permit AQ1121TVP02 Emission Units</t>
  </si>
  <si>
    <t>7a</t>
  </si>
  <si>
    <t>7b</t>
  </si>
  <si>
    <t>7c</t>
  </si>
  <si>
    <t>51a</t>
  </si>
  <si>
    <t>51b</t>
  </si>
  <si>
    <t>Coal‐Fired Boiler 3</t>
  </si>
  <si>
    <t>Coal‐Fired Boiler 4</t>
  </si>
  <si>
    <t>Coal‐Fired Boiler 5</t>
  </si>
  <si>
    <t>Coal‐Fired Boiler 6</t>
  </si>
  <si>
    <t>Coal‐Fired Boiler 7</t>
  </si>
  <si>
    <t>Coal‐Fired Boiler 8</t>
  </si>
  <si>
    <t>DC-01</t>
  </si>
  <si>
    <t>DC-02</t>
  </si>
  <si>
    <t>NDC-1</t>
  </si>
  <si>
    <t>Black Start Generator Engine</t>
  </si>
  <si>
    <t>Emergency Generator Engine</t>
  </si>
  <si>
    <t>Emergency Pump Engine</t>
  </si>
  <si>
    <t>DC-1</t>
  </si>
  <si>
    <t>DC-2</t>
  </si>
  <si>
    <t>Coal Storage Pile</t>
  </si>
  <si>
    <t>Central Heating &amp; Power Plant</t>
  </si>
  <si>
    <t>South Coal Handling Dust Collector</t>
  </si>
  <si>
    <t>South Under‐bunker Dust Collector</t>
  </si>
  <si>
    <t>North Coal Handling Dust Collector</t>
  </si>
  <si>
    <t>Building 1032</t>
  </si>
  <si>
    <t>Building 1060</t>
  </si>
  <si>
    <t>Building 1193</t>
  </si>
  <si>
    <t>Building 1555</t>
  </si>
  <si>
    <t>Building 1563</t>
  </si>
  <si>
    <t>Building 2117</t>
  </si>
  <si>
    <t>Building 2088</t>
  </si>
  <si>
    <t>Building 2296</t>
  </si>
  <si>
    <t>Building 3004</t>
  </si>
  <si>
    <t>Building 3028</t>
  </si>
  <si>
    <t>Building 3407</t>
  </si>
  <si>
    <t>Building 3565</t>
  </si>
  <si>
    <t>Building 3587</t>
  </si>
  <si>
    <t>Building 3703</t>
  </si>
  <si>
    <t>Building 5108</t>
  </si>
  <si>
    <t>Building 1620</t>
  </si>
  <si>
    <t>Building 1054</t>
  </si>
  <si>
    <t>Building 4390</t>
  </si>
  <si>
    <t>Building 1056</t>
  </si>
  <si>
    <t>Building 3403</t>
  </si>
  <si>
    <t>Building 3724</t>
  </si>
  <si>
    <t>Building 4162</t>
  </si>
  <si>
    <t>Building 1002</t>
  </si>
  <si>
    <t>Building 3405</t>
  </si>
  <si>
    <t>Building 4023</t>
  </si>
  <si>
    <t>Building 3563</t>
  </si>
  <si>
    <t>Fly Ash Dust Collector</t>
  </si>
  <si>
    <t>Bottom Ash Dust Collector</t>
  </si>
  <si>
    <t>unknown</t>
  </si>
  <si>
    <t>AQ0236TVP03</t>
  </si>
  <si>
    <t>Permit</t>
  </si>
  <si>
    <t xml:space="preserve">AQ1121TVP02 </t>
  </si>
  <si>
    <t>AQ1121TVP02</t>
  </si>
  <si>
    <t>Table notes:</t>
  </si>
  <si>
    <t>1. EU ID 13 was installed in 2008, but the engine build date is February 17, 1999.</t>
  </si>
  <si>
    <t>MMBtu/hr</t>
  </si>
  <si>
    <t>hp</t>
  </si>
  <si>
    <t>million cubic meters</t>
  </si>
  <si>
    <t>vehicle miles/yr</t>
  </si>
  <si>
    <t>kW</t>
  </si>
  <si>
    <t>acfm</t>
  </si>
  <si>
    <t>Size</t>
  </si>
  <si>
    <t>Rating</t>
  </si>
  <si>
    <t>PTE Hours/Year</t>
  </si>
  <si>
    <t>NOX emission factor</t>
  </si>
  <si>
    <t>NOX emission factor basis</t>
  </si>
  <si>
    <t>NOX emissions (TPY)</t>
  </si>
  <si>
    <t>SO2 emission factor</t>
  </si>
  <si>
    <t>SO2 emission factor basis</t>
  </si>
  <si>
    <t>SO2 emissions (TPY)</t>
  </si>
  <si>
    <t>PM2.5 emission factor</t>
  </si>
  <si>
    <t>PM2.5 emission factor basis</t>
  </si>
  <si>
    <t>PM2.5 emissions (TPY)</t>
  </si>
  <si>
    <t>NOX emission factor units</t>
  </si>
  <si>
    <t>SO2 emission factor units</t>
  </si>
  <si>
    <t>PM2.5 emission factor units</t>
  </si>
  <si>
    <t>201X Hours/Year</t>
  </si>
  <si>
    <t>Potential To Emit Calculations</t>
  </si>
  <si>
    <t>NOX Emission Control Device (if present)</t>
  </si>
  <si>
    <t>SO2 Emission Control Device (if present)</t>
  </si>
  <si>
    <t>PM2.5 Emission Control Device (If present)</t>
  </si>
  <si>
    <t>PM2.5 Emission Control Efficiency (%)</t>
  </si>
  <si>
    <t>PM2.5 Emission Control Efficiency Basis</t>
  </si>
  <si>
    <t>NOX Emission Control Efficiency (%)</t>
  </si>
  <si>
    <t>NOX Emission Control Efficiency Basis</t>
  </si>
  <si>
    <t>SO2 Emission Control Efficiency (%)</t>
  </si>
  <si>
    <t>SO2 Emission Control Efficiency Basis</t>
  </si>
  <si>
    <t>201X Actual Emission Calculations</t>
  </si>
  <si>
    <t>Applicable ZZZZ requirement for area source</t>
  </si>
  <si>
    <t>Coal Fired Boilers</t>
  </si>
  <si>
    <t>Material Handling</t>
  </si>
  <si>
    <t>Emergency/Black Start Generators</t>
  </si>
  <si>
    <t>DOW</t>
  </si>
  <si>
    <t>Source Test NOX Emission Factor</t>
  </si>
  <si>
    <t>Source Test SO2 Emission Factor</t>
  </si>
  <si>
    <t>Dow</t>
  </si>
  <si>
    <t>Source Test PM2.5 Emission Factor</t>
  </si>
  <si>
    <t>Source Test Reference</t>
  </si>
  <si>
    <t>HP</t>
  </si>
  <si>
    <t>YEAR</t>
  </si>
  <si>
    <t>ID</t>
  </si>
  <si>
    <t>What</t>
  </si>
  <si>
    <t>Where</t>
  </si>
  <si>
    <t>Subpart IIII?</t>
  </si>
  <si>
    <t>y</t>
  </si>
  <si>
    <t>NO</t>
  </si>
  <si>
    <t>NOX+NMHC</t>
  </si>
  <si>
    <t>PM</t>
  </si>
  <si>
    <t>g/hp-hr</t>
  </si>
  <si>
    <t>g/hp-hr, unless noted</t>
  </si>
  <si>
    <t>g/KW-hr</t>
  </si>
  <si>
    <t>lb/hr</t>
  </si>
  <si>
    <t>TPY</t>
  </si>
  <si>
    <t>NOX</t>
  </si>
  <si>
    <t>Unit</t>
  </si>
  <si>
    <t>Units</t>
  </si>
  <si>
    <t>Date</t>
  </si>
  <si>
    <t>maybe</t>
  </si>
  <si>
    <t>g/kw-hr</t>
  </si>
  <si>
    <t>SO2</t>
  </si>
  <si>
    <t>Notes:  Backup diesel electric generators 1 through 3 are limited to 600 hours/12 mo period as a group.</t>
  </si>
  <si>
    <t>Hours/Year for calculation of PTE</t>
  </si>
  <si>
    <t>Fire Pumps and Emergency engines not otherwise limited in the Title V permit are assumed to have potential to emit based on 500 hours/year per EPA Memo</t>
  </si>
  <si>
    <t>Hours/Year for PTE</t>
  </si>
  <si>
    <t>A.</t>
  </si>
  <si>
    <t>BACKGROUND INFORMATION</t>
  </si>
  <si>
    <t>Calculation Method:</t>
  </si>
  <si>
    <t>Emission Factors</t>
  </si>
  <si>
    <t>Fuel Used:</t>
  </si>
  <si>
    <t>#1 Fuel Oil</t>
  </si>
  <si>
    <t xml:space="preserve">Source Classification Code (SCC): </t>
  </si>
  <si>
    <t>Internal Combustion Engines</t>
  </si>
  <si>
    <t>SCC</t>
  </si>
  <si>
    <t>Diesel Internal Combustion Engines &lt; 447 kW (600 hp)</t>
  </si>
  <si>
    <t>2-03-001-01</t>
  </si>
  <si>
    <t xml:space="preserve">References: </t>
  </si>
  <si>
    <t>AP-42, 5th Edition, Compilation of Air Pollutant Emission Factors, Volume I: Stationary Point and Area Sources, October 1996</t>
  </si>
  <si>
    <t xml:space="preserve">Notes:  </t>
  </si>
  <si>
    <t>B.</t>
  </si>
  <si>
    <t>EMISSION CALCULATION METHOD</t>
  </si>
  <si>
    <r>
      <t>Emission Factors for Uncontrolled Diesel Industrial Engines [Power Output (lb/hp-hr)]</t>
    </r>
    <r>
      <rPr>
        <b/>
        <vertAlign val="superscript"/>
        <sz val="10"/>
        <color indexed="12"/>
        <rFont val="Arial"/>
        <family val="2"/>
      </rPr>
      <t>1</t>
    </r>
  </si>
  <si>
    <r>
      <t>NO</t>
    </r>
    <r>
      <rPr>
        <b/>
        <vertAlign val="subscript"/>
        <sz val="10"/>
        <color indexed="12"/>
        <rFont val="Arial"/>
        <family val="2"/>
      </rPr>
      <t>x</t>
    </r>
  </si>
  <si>
    <r>
      <t>SO</t>
    </r>
    <r>
      <rPr>
        <b/>
        <vertAlign val="subscript"/>
        <sz val="10"/>
        <color indexed="12"/>
        <rFont val="Arial"/>
        <family val="2"/>
      </rPr>
      <t>2</t>
    </r>
  </si>
  <si>
    <t>CO</t>
  </si>
  <si>
    <t>VOC</t>
  </si>
  <si>
    <r>
      <t>PM</t>
    </r>
    <r>
      <rPr>
        <b/>
        <vertAlign val="subscript"/>
        <sz val="10"/>
        <color indexed="12"/>
        <rFont val="Arial"/>
        <family val="2"/>
      </rPr>
      <t>10</t>
    </r>
  </si>
  <si>
    <r>
      <t>CO</t>
    </r>
    <r>
      <rPr>
        <b/>
        <vertAlign val="subscript"/>
        <sz val="10"/>
        <color indexed="12"/>
        <rFont val="Arial"/>
        <family val="2"/>
      </rPr>
      <t>2</t>
    </r>
  </si>
  <si>
    <t>Internal Combustion Engines &lt; or = 447 kW (600 hp)</t>
  </si>
  <si>
    <r>
      <t>1</t>
    </r>
    <r>
      <rPr>
        <sz val="10"/>
        <color indexed="12"/>
        <rFont val="Arial"/>
        <family val="2"/>
      </rPr>
      <t>Reference, Table 3.3-1</t>
    </r>
  </si>
  <si>
    <r>
      <t>Emission Calculation</t>
    </r>
    <r>
      <rPr>
        <b/>
        <sz val="10"/>
        <color indexed="12"/>
        <rFont val="Arial"/>
        <family val="2"/>
      </rPr>
      <t>:</t>
    </r>
  </si>
  <si>
    <t xml:space="preserve">Emissions (lbs/yr) = Engine Rating (hp) x Operating Hours (hr/yr) x Emission Factor (lb/hp-hr) </t>
  </si>
  <si>
    <t>C.  EMISSION SUMMARY</t>
  </si>
  <si>
    <t>Building Number</t>
  </si>
  <si>
    <t>Manufacturer</t>
  </si>
  <si>
    <t>Manufacturer Year</t>
  </si>
  <si>
    <t>Model Number</t>
  </si>
  <si>
    <t>Engine Rating (hp)</t>
  </si>
  <si>
    <t>Operating  Hours (hr/yr)</t>
  </si>
  <si>
    <t>Emissions (lbs/yr)</t>
  </si>
  <si>
    <r>
      <t>NO</t>
    </r>
    <r>
      <rPr>
        <b/>
        <vertAlign val="subscript"/>
        <sz val="10"/>
        <color indexed="17"/>
        <rFont val="Arial"/>
        <family val="2"/>
      </rPr>
      <t>x</t>
    </r>
  </si>
  <si>
    <r>
      <t>SO</t>
    </r>
    <r>
      <rPr>
        <b/>
        <vertAlign val="subscript"/>
        <sz val="10"/>
        <color indexed="17"/>
        <rFont val="Arial"/>
        <family val="2"/>
      </rPr>
      <t>2</t>
    </r>
  </si>
  <si>
    <r>
      <t>PM</t>
    </r>
    <r>
      <rPr>
        <b/>
        <vertAlign val="subscript"/>
        <sz val="10"/>
        <color indexed="17"/>
        <rFont val="Arial"/>
        <family val="2"/>
      </rPr>
      <t>10</t>
    </r>
  </si>
  <si>
    <r>
      <t>CO</t>
    </r>
    <r>
      <rPr>
        <b/>
        <vertAlign val="subscript"/>
        <sz val="10"/>
        <color rgb="FF008000"/>
        <rFont val="Arial"/>
        <family val="2"/>
      </rPr>
      <t>2</t>
    </r>
  </si>
  <si>
    <t>Clarke</t>
  </si>
  <si>
    <t>DDFP-04AT</t>
  </si>
  <si>
    <t>Cummins</t>
  </si>
  <si>
    <t>N-855-F</t>
  </si>
  <si>
    <t>JW64-UF30</t>
  </si>
  <si>
    <t>JU4H-UF40</t>
  </si>
  <si>
    <t>PDFP-06YT</t>
  </si>
  <si>
    <t>TOTAL EMISSIONS (lbs/yr)</t>
  </si>
  <si>
    <t>TOTAL EMISSIONS (TPY)</t>
  </si>
  <si>
    <t>Source:  Forms D1 and D2 Revised 080913 (Ft. Wainwright)</t>
  </si>
  <si>
    <t>A.  BACKGROUND INFORMATION</t>
  </si>
  <si>
    <t>Fuel Type:</t>
  </si>
  <si>
    <t>No. 1 Fuel Oil</t>
  </si>
  <si>
    <t>Fuel Oil Sulfur Content (%S):</t>
  </si>
  <si>
    <t>Source Classification Code (SCC):</t>
  </si>
  <si>
    <t>Commercial/Institutional Boilers (&lt;10 MMBtu/hr) (Distillate Fuel Oil)</t>
  </si>
  <si>
    <t>1-03-005-03</t>
  </si>
  <si>
    <t>1. AP-42, 5th Edition, Compilation of Air Pollutant Emission Factors, Volume I: Stationary Point and Area Sources, May 2010</t>
  </si>
  <si>
    <t>2. Alaska Department of Environmental Conservation Air Quality Permit AQ0236TVP02, 5 December 2008</t>
  </si>
  <si>
    <t>Notes:</t>
  </si>
  <si>
    <t>Fuel oil sulfur content from Reference 2, Section 3, Requirement 13.1 (assumes all fuel oil burned by Fort Wainwright meets the same specification).</t>
  </si>
  <si>
    <t>PTE for each of the 4076 back-up boilers is based on 200 hours of operation (or a third of the 600 hour ORL); heating value used is 137,000 Btu/gal.</t>
  </si>
  <si>
    <t>B. EMISSION CALCULATION METHOD</t>
  </si>
  <si>
    <t>Boiler Size</t>
  </si>
  <si>
    <r>
      <t>Emission Factor (lbs/1,000 gal)</t>
    </r>
    <r>
      <rPr>
        <b/>
        <vertAlign val="superscript"/>
        <sz val="10"/>
        <color indexed="12"/>
        <rFont val="Arial"/>
        <family val="2"/>
      </rPr>
      <t>1</t>
    </r>
  </si>
  <si>
    <r>
      <t>SO</t>
    </r>
    <r>
      <rPr>
        <b/>
        <vertAlign val="subscript"/>
        <sz val="10"/>
        <color indexed="12"/>
        <rFont val="Arial"/>
        <family val="2"/>
      </rPr>
      <t>2</t>
    </r>
    <r>
      <rPr>
        <b/>
        <vertAlign val="superscript"/>
        <sz val="10"/>
        <color indexed="12"/>
        <rFont val="Arial"/>
        <family val="2"/>
      </rPr>
      <t>2</t>
    </r>
  </si>
  <si>
    <t>NMTOC</t>
  </si>
  <si>
    <r>
      <t>CH</t>
    </r>
    <r>
      <rPr>
        <b/>
        <vertAlign val="subscript"/>
        <sz val="10"/>
        <color indexed="12"/>
        <rFont val="Arial"/>
        <family val="2"/>
      </rPr>
      <t>4</t>
    </r>
  </si>
  <si>
    <r>
      <t>N</t>
    </r>
    <r>
      <rPr>
        <b/>
        <vertAlign val="subscript"/>
        <sz val="10"/>
        <color indexed="12"/>
        <rFont val="Arial"/>
        <family val="2"/>
      </rPr>
      <t>2</t>
    </r>
    <r>
      <rPr>
        <b/>
        <sz val="10"/>
        <color indexed="12"/>
        <rFont val="Arial"/>
        <family val="2"/>
      </rPr>
      <t>O</t>
    </r>
  </si>
  <si>
    <t>Distillate Oil-Fired Boilers (&lt;10 MMBTU/hr)</t>
  </si>
  <si>
    <r>
      <t>1</t>
    </r>
    <r>
      <rPr>
        <sz val="9"/>
        <color indexed="12"/>
        <rFont val="Arial"/>
        <family val="2"/>
      </rPr>
      <t xml:space="preserve"> Reference 1, Tables 1.3-1, 1.3-3, 1.3-6, 1.3-12 [No. 1 (kerosene)]</t>
    </r>
  </si>
  <si>
    <t>Emissions (lbs/yr) = Fuel Use (gal/yr) x Emission Factor (lbs/1,000 gal)</t>
  </si>
  <si>
    <t>Boiler Capacity (MMBtu/hr)</t>
  </si>
  <si>
    <r>
      <t>Potential Fuel Use</t>
    </r>
    <r>
      <rPr>
        <b/>
        <vertAlign val="superscript"/>
        <sz val="10"/>
        <color indexed="17"/>
        <rFont val="Arial"/>
        <family val="2"/>
      </rPr>
      <t>1</t>
    </r>
    <r>
      <rPr>
        <b/>
        <sz val="10"/>
        <color indexed="17"/>
        <rFont val="Arial"/>
        <family val="2"/>
      </rPr>
      <t xml:space="preserve">               (gal/yr)</t>
    </r>
  </si>
  <si>
    <t xml:space="preserve">Emissions (lbs/yr) </t>
  </si>
  <si>
    <r>
      <t>CO</t>
    </r>
    <r>
      <rPr>
        <b/>
        <vertAlign val="subscript"/>
        <sz val="10"/>
        <color indexed="17"/>
        <rFont val="Arial"/>
        <family val="2"/>
      </rPr>
      <t>2</t>
    </r>
  </si>
  <si>
    <r>
      <t>CH</t>
    </r>
    <r>
      <rPr>
        <b/>
        <vertAlign val="subscript"/>
        <sz val="10"/>
        <color indexed="17"/>
        <rFont val="Arial"/>
        <family val="2"/>
      </rPr>
      <t>4</t>
    </r>
  </si>
  <si>
    <r>
      <t>N</t>
    </r>
    <r>
      <rPr>
        <b/>
        <vertAlign val="subscript"/>
        <sz val="10"/>
        <color indexed="17"/>
        <rFont val="Arial"/>
        <family val="2"/>
      </rPr>
      <t>2</t>
    </r>
    <r>
      <rPr>
        <b/>
        <sz val="10"/>
        <color indexed="17"/>
        <rFont val="Arial"/>
        <family val="2"/>
      </rPr>
      <t>O</t>
    </r>
  </si>
  <si>
    <t>KDR</t>
  </si>
  <si>
    <t xml:space="preserve">TOTAL EMISSIONS (TPY) </t>
  </si>
  <si>
    <t>TOTAL EMISSIONS (lbs/yr (NMTOC - VOCHAP))</t>
  </si>
  <si>
    <t>TOTAL EMISSIONS (TPY (NMTOC - VOCHAP))</t>
  </si>
  <si>
    <r>
      <rPr>
        <vertAlign val="superscript"/>
        <sz val="10"/>
        <color rgb="FF008000"/>
        <rFont val="Arial"/>
        <family val="2"/>
      </rPr>
      <t>1</t>
    </r>
    <r>
      <rPr>
        <sz val="10"/>
        <color rgb="FF008000"/>
        <rFont val="Arial"/>
        <family val="2"/>
      </rPr>
      <t xml:space="preserve"> Potential Fuel Use is derived from boiler heat input rating as Boiler Rating BTU/hr X 8760 hr/140000 BTU/gal.</t>
    </r>
  </si>
  <si>
    <t>Potential fuel use for 4076 back-up boilers was calculated as 600 hr cumulative limit x 19 MMBTU/hour per boiler/ 137000 BTU/gallon/3 boilers = 27,737 gallons per boiler</t>
  </si>
  <si>
    <t>Source:  Forms D1 and D2 Rev 080913 (Ft. Wainwright)</t>
  </si>
  <si>
    <t>Emission Year:</t>
  </si>
  <si>
    <t>Diesel Internal Combustion Engines &gt; 447 kW (600 hp)</t>
  </si>
  <si>
    <t>Internal Combustion Engines &gt; 447 kW (600 hp)</t>
  </si>
  <si>
    <r>
      <t>1</t>
    </r>
    <r>
      <rPr>
        <sz val="10"/>
        <color indexed="12"/>
        <rFont val="Arial"/>
        <family val="2"/>
      </rPr>
      <t>Reference 1, Tables 3.3-1, 3.4-1 and 3.4-2.</t>
    </r>
  </si>
  <si>
    <t>Hangar</t>
  </si>
  <si>
    <t>QSB7-G3 NR3</t>
  </si>
  <si>
    <t>John Deere</t>
  </si>
  <si>
    <t>4024HF285B</t>
  </si>
  <si>
    <t>Caterpillar</t>
  </si>
  <si>
    <t>CAT C9 GENSET</t>
  </si>
  <si>
    <t>SDMO</t>
  </si>
  <si>
    <t>ND</t>
  </si>
  <si>
    <t>TM30UCM</t>
  </si>
  <si>
    <t>Source:  Forms D1 and D2 Revised 080913</t>
  </si>
  <si>
    <t>Cat C9, Tier 3</t>
  </si>
  <si>
    <t>Conversion from hp to Kw</t>
  </si>
  <si>
    <t xml:space="preserve">1 horsepower </t>
  </si>
  <si>
    <t>John Deere 4024HF285B, Tier 3</t>
  </si>
  <si>
    <t xml:space="preserve"> (Emission factors in g/kW-hr, NOX is conservative as emission factor is Nox+NMHC)</t>
  </si>
  <si>
    <t xml:space="preserve">Emissions (lbs/yr) = Engine Rating (hp) x Operating Hours (hr/yr) x Emission Factor (g/hp/hr) x (kg/1000 g) * (2.2 lb/kg) </t>
  </si>
  <si>
    <t>Emissions (lbs/yr) = Engine Rating (hp) x Operating Hours (hr/yr) x Emission Factor (g/kw-hr) X (0.7457 kw/hp) * (kg/1000 g) * (2.2 lb/kg)</t>
  </si>
  <si>
    <t xml:space="preserve">Potential to emit hours were derived from the following:(a) 500 hour limit in USEPA Memorandum, September 6, 1995, "Calculating Potential to Emit (PTE)  for Emergency Generators", and (b) 600 hour limit in current operating permit AQ0236TVP02 for Emission Units 11, 12, and 13 combined -- assumed 200 hours each. </t>
  </si>
  <si>
    <t>4076, Bassett Hospital</t>
  </si>
  <si>
    <t>EU</t>
  </si>
  <si>
    <t>Potential to emit is based on 500 hour limit in USEPA Memorandum, September 6, 1995, "Calculating Potential to Emit (PTE)  for Emergency Generators"</t>
  </si>
  <si>
    <t>Waste oils</t>
  </si>
  <si>
    <t>Source Classification Code (SCC)</t>
  </si>
  <si>
    <t>External Combustion, Waste Oil, Small Boiler</t>
  </si>
  <si>
    <t>1-03-013-02</t>
  </si>
  <si>
    <t>Reference:</t>
  </si>
  <si>
    <t>1. AP-42, 5th Edition, Compilation of Air Pollutant Emission Factors, Volume I: Stationary Point and Area Sources, October 1996</t>
  </si>
  <si>
    <t>2. PI-02F Instructions, "Process Information: Combustion - Instructions", Indiana Department of Environmental Management, Office of Air Quality, October 2006.</t>
  </si>
  <si>
    <t>Potential fuel use is calculated by nameplate fuel use rating (2.5 gal/hr) X 8760 hours per year X 2 units = 43,800 gal/year combined use.</t>
  </si>
  <si>
    <t>B.  EMISSION CALCULATION METHOD</t>
  </si>
  <si>
    <r>
      <t>Emission factors for waste oil combustors (lbs/1000 gal)</t>
    </r>
    <r>
      <rPr>
        <b/>
        <vertAlign val="superscript"/>
        <sz val="10"/>
        <color rgb="FF0000FF"/>
        <rFont val="Arial"/>
        <family val="2"/>
      </rPr>
      <t>1</t>
    </r>
  </si>
  <si>
    <r>
      <t>NO</t>
    </r>
    <r>
      <rPr>
        <b/>
        <vertAlign val="subscript"/>
        <sz val="10"/>
        <color rgb="FF0000FF"/>
        <rFont val="Arial"/>
        <family val="2"/>
      </rPr>
      <t>x</t>
    </r>
  </si>
  <si>
    <r>
      <t>SO</t>
    </r>
    <r>
      <rPr>
        <b/>
        <vertAlign val="subscript"/>
        <sz val="10"/>
        <color rgb="FF0000FF"/>
        <rFont val="Arial"/>
        <family val="2"/>
      </rPr>
      <t>X</t>
    </r>
    <r>
      <rPr>
        <b/>
        <vertAlign val="superscript"/>
        <sz val="10"/>
        <color rgb="FF0000FF"/>
        <rFont val="Arial"/>
        <family val="2"/>
      </rPr>
      <t>2,4</t>
    </r>
  </si>
  <si>
    <t>TOC</t>
  </si>
  <si>
    <r>
      <t>PM</t>
    </r>
    <r>
      <rPr>
        <b/>
        <vertAlign val="subscript"/>
        <sz val="10"/>
        <color rgb="FF0000FF"/>
        <rFont val="Arial"/>
        <family val="2"/>
      </rPr>
      <t>10</t>
    </r>
    <r>
      <rPr>
        <b/>
        <vertAlign val="superscript"/>
        <sz val="10"/>
        <color rgb="FF0000FF"/>
        <rFont val="Arial"/>
        <family val="2"/>
      </rPr>
      <t>3,4</t>
    </r>
  </si>
  <si>
    <r>
      <t>CO</t>
    </r>
    <r>
      <rPr>
        <b/>
        <vertAlign val="subscript"/>
        <sz val="10"/>
        <color rgb="FF0000FF"/>
        <rFont val="Arial"/>
        <family val="2"/>
      </rPr>
      <t>2</t>
    </r>
  </si>
  <si>
    <t>Waste oil combustors, Small boilers</t>
  </si>
  <si>
    <r>
      <rPr>
        <vertAlign val="superscript"/>
        <sz val="10"/>
        <color rgb="FF0000FF"/>
        <rFont val="Arial"/>
        <family val="2"/>
      </rPr>
      <t xml:space="preserve">1 </t>
    </r>
    <r>
      <rPr>
        <sz val="10"/>
        <color rgb="FF0000FF"/>
        <rFont val="Arial"/>
        <family val="2"/>
      </rPr>
      <t xml:space="preserve">Reference 1, Tables 1.11-1, 1.11-2, 1.11-3 </t>
    </r>
  </si>
  <si>
    <r>
      <rPr>
        <vertAlign val="superscript"/>
        <sz val="10"/>
        <color rgb="FF0000FF"/>
        <rFont val="Arial"/>
        <family val="2"/>
      </rPr>
      <t>2</t>
    </r>
    <r>
      <rPr>
        <sz val="10"/>
        <color rgb="FF0000FF"/>
        <rFont val="Arial"/>
        <family val="2"/>
      </rPr>
      <t xml:space="preserve"> SO</t>
    </r>
    <r>
      <rPr>
        <vertAlign val="subscript"/>
        <sz val="10"/>
        <color rgb="FF0000FF"/>
        <rFont val="Arial"/>
        <family val="2"/>
      </rPr>
      <t xml:space="preserve">x </t>
    </r>
    <r>
      <rPr>
        <sz val="10"/>
        <color rgb="FF0000FF"/>
        <rFont val="Arial"/>
        <family val="2"/>
      </rPr>
      <t>emissions factor = 147S, where S = weight % sulfur: 147 X 2.0 = 294</t>
    </r>
  </si>
  <si>
    <r>
      <rPr>
        <vertAlign val="superscript"/>
        <sz val="10"/>
        <color rgb="FF0000FF"/>
        <rFont val="Arial"/>
        <family val="2"/>
      </rPr>
      <t xml:space="preserve">3 </t>
    </r>
    <r>
      <rPr>
        <sz val="10"/>
        <color rgb="FF0000FF"/>
        <rFont val="Arial"/>
        <family val="2"/>
      </rPr>
      <t>PM</t>
    </r>
    <r>
      <rPr>
        <vertAlign val="subscript"/>
        <sz val="10"/>
        <color rgb="FF0000FF"/>
        <rFont val="Arial"/>
        <family val="2"/>
      </rPr>
      <t xml:space="preserve">10 </t>
    </r>
    <r>
      <rPr>
        <sz val="10"/>
        <color rgb="FF0000FF"/>
        <rFont val="Arial"/>
        <family val="2"/>
      </rPr>
      <t>emissions factor = 51A, where A = weight % ash: 51 X 0.3 = 15.3</t>
    </r>
  </si>
  <si>
    <r>
      <rPr>
        <vertAlign val="superscript"/>
        <sz val="10"/>
        <color rgb="FF0000FF"/>
        <rFont val="Arial"/>
        <family val="2"/>
      </rPr>
      <t>4</t>
    </r>
    <r>
      <rPr>
        <sz val="10"/>
        <color rgb="FF0000FF"/>
        <rFont val="Arial"/>
        <family val="2"/>
      </rPr>
      <t xml:space="preserve"> Reference 2, Part C.  Default value for S = 2.0 and for A = 0.3</t>
    </r>
  </si>
  <si>
    <t>Emission Calculation:</t>
  </si>
  <si>
    <t>Emissions (lbs/yr) = Emission Factor (lbs/1,000 gal)  x Fuel Used (gal/yr)</t>
  </si>
  <si>
    <t>Fuel Used (gals/yr)</t>
  </si>
  <si>
    <r>
      <t>NO</t>
    </r>
    <r>
      <rPr>
        <b/>
        <vertAlign val="subscript"/>
        <sz val="10"/>
        <color rgb="FF008000"/>
        <rFont val="Arial"/>
        <family val="2"/>
      </rPr>
      <t>x</t>
    </r>
    <r>
      <rPr>
        <b/>
        <sz val="10"/>
        <color rgb="FF008000"/>
        <rFont val="Arial"/>
        <family val="2"/>
      </rPr>
      <t xml:space="preserve"> </t>
    </r>
  </si>
  <si>
    <r>
      <t>SO</t>
    </r>
    <r>
      <rPr>
        <b/>
        <vertAlign val="subscript"/>
        <sz val="10"/>
        <color rgb="FF008000"/>
        <rFont val="Arial"/>
        <family val="2"/>
      </rPr>
      <t>x</t>
    </r>
  </si>
  <si>
    <r>
      <t>2</t>
    </r>
    <r>
      <rPr>
        <sz val="10"/>
        <color rgb="FF0000FF"/>
        <rFont val="Arial"/>
        <family val="2"/>
      </rPr>
      <t xml:space="preserve"> SO</t>
    </r>
    <r>
      <rPr>
        <vertAlign val="subscript"/>
        <sz val="10"/>
        <color rgb="FF0000FF"/>
        <rFont val="Arial"/>
        <family val="2"/>
      </rPr>
      <t xml:space="preserve">2 </t>
    </r>
    <r>
      <rPr>
        <sz val="10"/>
        <color rgb="FF0000FF"/>
        <rFont val="Arial"/>
        <family val="2"/>
      </rPr>
      <t>emissions factor = 142S, where S = weight % sulfur and assumed at 0.5% for all boilers except the building 4076 boilers at the hospital, which are permit-limited to 0.3%.</t>
    </r>
  </si>
  <si>
    <t>Waste Oil Combustor, Small Boilers, Building 3476</t>
  </si>
  <si>
    <t>FORT WAINWRIGHT - FAIRBANKS, AK</t>
  </si>
  <si>
    <t>TITLE V RENEWAL APPLICATION - EMISSIONS CALCULATIONS</t>
  </si>
  <si>
    <t>Source ID(s):</t>
  </si>
  <si>
    <t>Unpaved roads</t>
  </si>
  <si>
    <t>Emission Calculation Basis:</t>
  </si>
  <si>
    <t xml:space="preserve">a.  The quantity of PM emissions from vehicles traveling on publicly accessible unpaved roads, dominated by light duty vehicles, </t>
  </si>
  <si>
    <t>may be estimated using the equations in AP-42 Section 13.2.2 (November 2006).</t>
  </si>
  <si>
    <t>E</t>
  </si>
  <si>
    <t>=</t>
  </si>
  <si>
    <r>
      <t>{[k(s/12)</t>
    </r>
    <r>
      <rPr>
        <vertAlign val="superscript"/>
        <sz val="8"/>
        <rFont val="Arial"/>
        <family val="2"/>
      </rPr>
      <t>a</t>
    </r>
    <r>
      <rPr>
        <sz val="8"/>
        <rFont val="Arial"/>
        <family val="2"/>
      </rPr>
      <t xml:space="preserve"> x (S/30)</t>
    </r>
    <r>
      <rPr>
        <vertAlign val="superscript"/>
        <sz val="8"/>
        <rFont val="Arial"/>
        <family val="2"/>
      </rPr>
      <t>d</t>
    </r>
    <r>
      <rPr>
        <sz val="8"/>
        <rFont val="Arial"/>
        <family val="2"/>
      </rPr>
      <t xml:space="preserve"> / (M/0.5)</t>
    </r>
    <r>
      <rPr>
        <vertAlign val="superscript"/>
        <sz val="8"/>
        <rFont val="Arial"/>
        <family val="2"/>
      </rPr>
      <t>c</t>
    </r>
    <r>
      <rPr>
        <sz val="8"/>
        <rFont val="Arial"/>
        <family val="2"/>
      </rPr>
      <t>] - C} x ((365-P)/365)</t>
    </r>
  </si>
  <si>
    <t>where:</t>
  </si>
  <si>
    <t>annual average emission factor (lb/vehicle mile traveled (VMT))</t>
  </si>
  <si>
    <t>s</t>
  </si>
  <si>
    <t>surface material silt content (%)</t>
  </si>
  <si>
    <t>M</t>
  </si>
  <si>
    <t>surface material moisture content (%)</t>
  </si>
  <si>
    <t>S</t>
  </si>
  <si>
    <t>mean vehicle speed (mph)</t>
  </si>
  <si>
    <t>C</t>
  </si>
  <si>
    <t>emission factor for 1980's vehicle fleet exhaust, brake wear, and tire wear (lb/VMT)</t>
  </si>
  <si>
    <t>P</t>
  </si>
  <si>
    <t>number of days with at least 0.01 in of precipitation during the averaging period</t>
  </si>
  <si>
    <t>b.  From AP-42 Table 13.2.2-2 (November, 2006) - Constants for Equations 1a and 1b (for Public Roads):</t>
  </si>
  <si>
    <r>
      <t>PM</t>
    </r>
    <r>
      <rPr>
        <vertAlign val="subscript"/>
        <sz val="8"/>
        <rFont val="Arial"/>
        <family val="2"/>
      </rPr>
      <t>2.5</t>
    </r>
  </si>
  <si>
    <r>
      <t>PM</t>
    </r>
    <r>
      <rPr>
        <vertAlign val="subscript"/>
        <sz val="8"/>
        <rFont val="Arial"/>
        <family val="2"/>
      </rPr>
      <t>10</t>
    </r>
  </si>
  <si>
    <t>k (lb/VMT)</t>
  </si>
  <si>
    <t>a</t>
  </si>
  <si>
    <t>c</t>
  </si>
  <si>
    <t>d</t>
  </si>
  <si>
    <t>c.  Silt content for the Fairbanks area is:</t>
  </si>
  <si>
    <t>%</t>
  </si>
  <si>
    <t>d.  The surface material moisture content is:</t>
  </si>
  <si>
    <t>(under dry, uncontrolled conditions)</t>
  </si>
  <si>
    <t>e.  The mean vehicle speed is:</t>
  </si>
  <si>
    <t>mph</t>
  </si>
  <si>
    <t>f.  From AP-42 Table 13.2.2-4 (November, 2006) - Emission Factor for 1980's Vehicle Fleet Exhaust, Brake Wear, and Tire Wear:</t>
  </si>
  <si>
    <t>C (lb/VMT)</t>
  </si>
  <si>
    <t>g.  Assume that 7 months out of the year have snow packed on the roads.  Add to those seven months (212 days), the mean</t>
  </si>
  <si>
    <t>number of days with 0.01 inches of precipitation in the other 5 months (53 days from May through September).</t>
  </si>
  <si>
    <t>Data from NOAA's Comparative Climatic Data for the U.S. through 2005 (http://www1.ncdc.noaa.gov/pub/data/ccd-data/CCD_2005.pdf).</t>
  </si>
  <si>
    <t>days</t>
  </si>
  <si>
    <t>h.  Total VMT/yr at Fort Wainwright:</t>
  </si>
  <si>
    <t>Unpaved roads in Cantonment Area</t>
  </si>
  <si>
    <t>miles/day-vehicle</t>
  </si>
  <si>
    <t>Actual trips per day over cantonment unpaved roads</t>
  </si>
  <si>
    <t>trip/day</t>
  </si>
  <si>
    <t>Potential trips per day over cantonment unpaved roads</t>
  </si>
  <si>
    <t>Actual total VMT/yr</t>
  </si>
  <si>
    <t>Potential total VMT/yr</t>
  </si>
  <si>
    <t>Emission Calculation Equations:</t>
  </si>
  <si>
    <r>
      <t>a.  Emission factor for PM</t>
    </r>
    <r>
      <rPr>
        <vertAlign val="subscript"/>
        <sz val="8"/>
        <rFont val="Arial"/>
        <family val="2"/>
      </rPr>
      <t>2.5</t>
    </r>
    <r>
      <rPr>
        <sz val="8"/>
        <rFont val="Arial"/>
        <family val="2"/>
      </rPr>
      <t xml:space="preserve"> (lb/VMT)</t>
    </r>
  </si>
  <si>
    <r>
      <t>{[0.18(11/12)</t>
    </r>
    <r>
      <rPr>
        <vertAlign val="superscript"/>
        <sz val="8"/>
        <rFont val="Arial"/>
        <family val="2"/>
      </rPr>
      <t>1</t>
    </r>
    <r>
      <rPr>
        <sz val="8"/>
        <rFont val="Arial"/>
        <family val="2"/>
      </rPr>
      <t xml:space="preserve"> x (20/30)</t>
    </r>
    <r>
      <rPr>
        <vertAlign val="superscript"/>
        <sz val="8"/>
        <rFont val="Arial"/>
        <family val="2"/>
      </rPr>
      <t>0.5</t>
    </r>
    <r>
      <rPr>
        <sz val="8"/>
        <rFont val="Arial"/>
        <family val="2"/>
      </rPr>
      <t xml:space="preserve"> / (0.2/0.5)</t>
    </r>
    <r>
      <rPr>
        <vertAlign val="superscript"/>
        <sz val="8"/>
        <rFont val="Arial"/>
        <family val="2"/>
      </rPr>
      <t xml:space="preserve">0.2 </t>
    </r>
    <r>
      <rPr>
        <sz val="8"/>
        <rFont val="Arial"/>
        <family val="2"/>
      </rPr>
      <t>- 0.00036]} x ((365 - 106)/365)</t>
    </r>
  </si>
  <si>
    <r>
      <t>b.  Emission factor for PM</t>
    </r>
    <r>
      <rPr>
        <vertAlign val="subscript"/>
        <sz val="8"/>
        <rFont val="Arial"/>
        <family val="2"/>
      </rPr>
      <t>10</t>
    </r>
    <r>
      <rPr>
        <sz val="8"/>
        <rFont val="Arial"/>
        <family val="2"/>
      </rPr>
      <t xml:space="preserve"> (lb/VMT)</t>
    </r>
  </si>
  <si>
    <r>
      <t>{[1.8(11/12)</t>
    </r>
    <r>
      <rPr>
        <vertAlign val="superscript"/>
        <sz val="8"/>
        <rFont val="Arial"/>
        <family val="2"/>
      </rPr>
      <t>1</t>
    </r>
    <r>
      <rPr>
        <sz val="8"/>
        <rFont val="Arial"/>
        <family val="2"/>
      </rPr>
      <t xml:space="preserve"> x (20/30)</t>
    </r>
    <r>
      <rPr>
        <vertAlign val="superscript"/>
        <sz val="8"/>
        <rFont val="Arial"/>
        <family val="2"/>
      </rPr>
      <t>0.5</t>
    </r>
    <r>
      <rPr>
        <sz val="8"/>
        <rFont val="Arial"/>
        <family val="2"/>
      </rPr>
      <t xml:space="preserve"> / (0.2/0.5)</t>
    </r>
    <r>
      <rPr>
        <vertAlign val="superscript"/>
        <sz val="8"/>
        <rFont val="Arial"/>
        <family val="2"/>
      </rPr>
      <t xml:space="preserve">0.2 </t>
    </r>
    <r>
      <rPr>
        <sz val="8"/>
        <rFont val="Arial"/>
        <family val="2"/>
      </rPr>
      <t>- 0.00047]} x ((365 - 106)/365)</t>
    </r>
  </si>
  <si>
    <t>c.  Emission factor for PM (lb/VMT)</t>
  </si>
  <si>
    <r>
      <t>{[6(11/12)</t>
    </r>
    <r>
      <rPr>
        <vertAlign val="superscript"/>
        <sz val="8"/>
        <rFont val="Arial"/>
        <family val="2"/>
      </rPr>
      <t>1</t>
    </r>
    <r>
      <rPr>
        <sz val="8"/>
        <rFont val="Arial"/>
        <family val="2"/>
      </rPr>
      <t xml:space="preserve"> x (20/30)</t>
    </r>
    <r>
      <rPr>
        <vertAlign val="superscript"/>
        <sz val="8"/>
        <rFont val="Arial"/>
        <family val="2"/>
      </rPr>
      <t>0.3</t>
    </r>
    <r>
      <rPr>
        <sz val="8"/>
        <rFont val="Arial"/>
        <family val="2"/>
      </rPr>
      <t xml:space="preserve"> / (0.2/0.5)</t>
    </r>
    <r>
      <rPr>
        <vertAlign val="superscript"/>
        <sz val="8"/>
        <rFont val="Arial"/>
        <family val="2"/>
      </rPr>
      <t xml:space="preserve">0.3 </t>
    </r>
    <r>
      <rPr>
        <sz val="8"/>
        <rFont val="Arial"/>
        <family val="2"/>
      </rPr>
      <t>- 0.00047]} x ((365 - 106)/365)</t>
    </r>
  </si>
  <si>
    <t>d.  Emissions (ton/yr)</t>
  </si>
  <si>
    <t>(pollutant emission factor, lb/VMT) x (VMT/yr) / (2,000 lb/ton)</t>
  </si>
  <si>
    <t>Emission Summary:</t>
  </si>
  <si>
    <t>Pollutant</t>
  </si>
  <si>
    <t>Actual</t>
  </si>
  <si>
    <t>Potential</t>
  </si>
  <si>
    <t>(ton/yr)</t>
  </si>
  <si>
    <t>Paved roads</t>
  </si>
  <si>
    <t>a.  The quantity of PM emissions from resuspension of loose material on the road surface due to vehicle travel on a dry paved</t>
  </si>
  <si>
    <t>road may be estimated using the equations in AP-42 Section 13.2.1 (November 2006).</t>
  </si>
  <si>
    <r>
      <t>[k(sL/2)</t>
    </r>
    <r>
      <rPr>
        <vertAlign val="superscript"/>
        <sz val="8"/>
        <rFont val="Arial"/>
        <family val="2"/>
      </rPr>
      <t>0.65</t>
    </r>
    <r>
      <rPr>
        <sz val="8"/>
        <rFont val="Arial"/>
        <family val="2"/>
      </rPr>
      <t xml:space="preserve"> x (W/3)</t>
    </r>
    <r>
      <rPr>
        <vertAlign val="superscript"/>
        <sz val="8"/>
        <rFont val="Arial"/>
        <family val="2"/>
      </rPr>
      <t>1.5</t>
    </r>
    <r>
      <rPr>
        <sz val="8"/>
        <rFont val="Arial"/>
        <family val="2"/>
      </rPr>
      <t xml:space="preserve"> - C] x (1 - (P/4N))</t>
    </r>
  </si>
  <si>
    <t>Annual average PM emission factor (lb/vehicle mile traveled (VMT))</t>
  </si>
  <si>
    <t>k</t>
  </si>
  <si>
    <t>particle size multiplier for particle size range (lb/VMT)</t>
  </si>
  <si>
    <t>sL</t>
  </si>
  <si>
    <r>
      <t>road surface silt loading (g/m</t>
    </r>
    <r>
      <rPr>
        <vertAlign val="superscript"/>
        <sz val="8"/>
        <rFont val="Arial"/>
        <family val="2"/>
      </rPr>
      <t>2</t>
    </r>
    <r>
      <rPr>
        <sz val="8"/>
        <rFont val="Arial"/>
        <family val="2"/>
      </rPr>
      <t>)</t>
    </r>
  </si>
  <si>
    <t>W</t>
  </si>
  <si>
    <t>average weight (ton) of the vehicles traveling the road</t>
  </si>
  <si>
    <t>N</t>
  </si>
  <si>
    <t>365 days in the averaging period</t>
  </si>
  <si>
    <t>b.  From AP-42 Table 13.2.1-1 (November, 2006) - Particle Size Multipliers (k) for Paved Road Equation:</t>
  </si>
  <si>
    <t xml:space="preserve">c.  Silt loading is estimated using the method in AP-42 Table 13.2.1-3 (November, 2006) - Ubiquitous Silt Loading Default Values with </t>
  </si>
  <si>
    <t xml:space="preserve">Hot Spot Contributions from Anti-Skid Abrasives.  Fairbanks, Alaska experiences 7 months out of the year in which the mean </t>
  </si>
  <si>
    <t xml:space="preserve">temperature is below freezing.  </t>
  </si>
  <si>
    <t>(0.2 x 3 x (7/12)) + (0.2 x (5/12))</t>
  </si>
  <si>
    <r>
      <t>g/m</t>
    </r>
    <r>
      <rPr>
        <vertAlign val="superscript"/>
        <sz val="8"/>
        <rFont val="Arial"/>
        <family val="2"/>
      </rPr>
      <t>2</t>
    </r>
  </si>
  <si>
    <t>d.  The average weight of the Light Truck Fleet was obtained from www.nhtsa.gov/cars/rules/CAFÉ/LightTruckFleet.htm.</t>
  </si>
  <si>
    <t>ton</t>
  </si>
  <si>
    <t>e.  From AP-42 Table 13.2.1-2 (November, 2006) - Emission Factor for 1980's Vehicle Fleet Exhaust, Brake Wear, and Tire Wear:</t>
  </si>
  <si>
    <t>f.  Assume that 7 months out of the year have snow packed on the roads.  Add to those seven months (212 days), the mean number</t>
  </si>
  <si>
    <t>of days with 0.01 inches of precipitation in the other 5 months (53 days from May through September).</t>
  </si>
  <si>
    <t>g.  Total VMT/yr at Fort Wainwright:</t>
  </si>
  <si>
    <t>Number of registered vehicles at post</t>
  </si>
  <si>
    <t>vehicles</t>
  </si>
  <si>
    <t>Actual daily vehicles driving at post</t>
  </si>
  <si>
    <t>(est. as 25% of registered vehicles)</t>
  </si>
  <si>
    <t>Potential daily vehicles driving at post</t>
  </si>
  <si>
    <t>(est. as 50% of registered vehicles)</t>
  </si>
  <si>
    <t>Daily miles traveled by each vehicle</t>
  </si>
  <si>
    <r>
      <t>[0.0024(1.32/2)</t>
    </r>
    <r>
      <rPr>
        <vertAlign val="superscript"/>
        <sz val="8"/>
        <rFont val="Arial"/>
        <family val="2"/>
      </rPr>
      <t>0.65</t>
    </r>
    <r>
      <rPr>
        <sz val="8"/>
        <rFont val="Arial"/>
        <family val="2"/>
      </rPr>
      <t xml:space="preserve"> x (2.4/3)</t>
    </r>
    <r>
      <rPr>
        <vertAlign val="superscript"/>
        <sz val="8"/>
        <rFont val="Arial"/>
        <family val="2"/>
      </rPr>
      <t>1.5</t>
    </r>
    <r>
      <rPr>
        <sz val="8"/>
        <rFont val="Arial"/>
        <family val="2"/>
      </rPr>
      <t xml:space="preserve"> - 0.00036] x (1 - (106/(4x365)))</t>
    </r>
  </si>
  <si>
    <r>
      <t>[0.016(1.32/2)</t>
    </r>
    <r>
      <rPr>
        <vertAlign val="superscript"/>
        <sz val="8"/>
        <rFont val="Arial"/>
        <family val="2"/>
      </rPr>
      <t>0.65</t>
    </r>
    <r>
      <rPr>
        <sz val="8"/>
        <rFont val="Arial"/>
        <family val="2"/>
      </rPr>
      <t xml:space="preserve"> x (2.4/3)</t>
    </r>
    <r>
      <rPr>
        <vertAlign val="superscript"/>
        <sz val="8"/>
        <rFont val="Arial"/>
        <family val="2"/>
      </rPr>
      <t>1.5</t>
    </r>
    <r>
      <rPr>
        <sz val="8"/>
        <rFont val="Arial"/>
        <family val="2"/>
      </rPr>
      <t xml:space="preserve"> - 0.00047] x (1 - (106/(4x365)))</t>
    </r>
  </si>
  <si>
    <r>
      <t>[0.082(1.32/2)</t>
    </r>
    <r>
      <rPr>
        <vertAlign val="superscript"/>
        <sz val="8"/>
        <rFont val="Arial"/>
        <family val="2"/>
      </rPr>
      <t>0.65</t>
    </r>
    <r>
      <rPr>
        <sz val="8"/>
        <rFont val="Arial"/>
        <family val="2"/>
      </rPr>
      <t xml:space="preserve"> x (2.4/3)</t>
    </r>
    <r>
      <rPr>
        <vertAlign val="superscript"/>
        <sz val="8"/>
        <rFont val="Arial"/>
        <family val="2"/>
      </rPr>
      <t>1.5</t>
    </r>
    <r>
      <rPr>
        <sz val="8"/>
        <rFont val="Arial"/>
        <family val="2"/>
      </rPr>
      <t xml:space="preserve"> - 0.00047] x (1 - (106/(4x365)))</t>
    </r>
  </si>
  <si>
    <t>Document Source:  Forms D1 and D2 revised 080913</t>
  </si>
  <si>
    <t>Doyon Utilities - Fort Wainwright (Privatized Emission Units)</t>
  </si>
  <si>
    <t>Emission Unit</t>
  </si>
  <si>
    <t>Fuel</t>
  </si>
  <si>
    <t>Electrical Output Rating</t>
  </si>
  <si>
    <t>Name</t>
  </si>
  <si>
    <t>Type</t>
  </si>
  <si>
    <t>Significant Emission Units</t>
  </si>
  <si>
    <t>Coal-Fired Boiler 3</t>
  </si>
  <si>
    <t>Central Heat and Power Plant (CHPP)</t>
  </si>
  <si>
    <t>Coal</t>
  </si>
  <si>
    <t>hr/yr</t>
  </si>
  <si>
    <t>Coal-Fired Boiler 4</t>
  </si>
  <si>
    <t>CHPP</t>
  </si>
  <si>
    <t>Coal-Fired Boiler 5</t>
  </si>
  <si>
    <t>Coal-Fired Boiler 6</t>
  </si>
  <si>
    <t>Coal-Fired Boiler 7</t>
  </si>
  <si>
    <t>Coal-Fired Boiler 8</t>
  </si>
  <si>
    <t>South Coal Handling Dust Collector (DC-01)</t>
  </si>
  <si>
    <t>Airlanco 169-AST-8</t>
  </si>
  <si>
    <r>
      <t>acfm</t>
    </r>
    <r>
      <rPr>
        <vertAlign val="superscript"/>
        <sz val="11"/>
        <color theme="1"/>
        <rFont val="Arial"/>
        <family val="2"/>
      </rPr>
      <t>a</t>
    </r>
  </si>
  <si>
    <t>South Underbunker Dust Collector (DC-02)</t>
  </si>
  <si>
    <t>Airlanco 16-AST</t>
  </si>
  <si>
    <t>North Coal Handling Dust Collector (NDC-1)</t>
  </si>
  <si>
    <t>Dustex C67-10-547</t>
  </si>
  <si>
    <t>Caterpillar 3516C</t>
  </si>
  <si>
    <t>Distillate</t>
  </si>
  <si>
    <r>
      <t>hp</t>
    </r>
    <r>
      <rPr>
        <vertAlign val="superscript"/>
        <sz val="11"/>
        <rFont val="Arial"/>
        <family val="2"/>
      </rPr>
      <t>b</t>
    </r>
  </si>
  <si>
    <t>Generator Engine</t>
  </si>
  <si>
    <t>Detroit 6V92</t>
  </si>
  <si>
    <r>
      <t>hp</t>
    </r>
    <r>
      <rPr>
        <vertAlign val="superscript"/>
        <sz val="11"/>
        <rFont val="Arial"/>
        <family val="2"/>
      </rPr>
      <t>c</t>
    </r>
  </si>
  <si>
    <t>Caterpillar C15</t>
  </si>
  <si>
    <t>Cummins B3.3</t>
  </si>
  <si>
    <t>Caterpillar 3406C TA</t>
  </si>
  <si>
    <t>Cummins QSL-G2 NR3</t>
  </si>
  <si>
    <t>Detroit R1237M36</t>
  </si>
  <si>
    <t>John Deere 6068TF250</t>
  </si>
  <si>
    <t>John Deere 6068HF150</t>
  </si>
  <si>
    <t>John Deere 4045TF270</t>
  </si>
  <si>
    <t>John Deere 4239D</t>
  </si>
  <si>
    <t>Perkins 2046/1800</t>
  </si>
  <si>
    <t>Cummins L634D-I/10386E</t>
  </si>
  <si>
    <t>Caterpillar C1.5</t>
  </si>
  <si>
    <t>Cummins 4B3.9-G2</t>
  </si>
  <si>
    <t>Caterpillar C6.6</t>
  </si>
  <si>
    <t>Lift Pump Engine</t>
  </si>
  <si>
    <t>Detroit Diesel 10245100</t>
  </si>
  <si>
    <t>Perkins</t>
  </si>
  <si>
    <t>Well Pump Engine</t>
  </si>
  <si>
    <t>Detroit Diesel 10447000</t>
  </si>
  <si>
    <t>John Deere 4045DF120</t>
  </si>
  <si>
    <t>Detroit Diesel 4031-C</t>
  </si>
  <si>
    <t>Fly Ash Dust Collector (DC-1)</t>
  </si>
  <si>
    <t>United Conveyor Corp. 32242</t>
  </si>
  <si>
    <t>Bottom Ash Dust Collector (DC-2)</t>
  </si>
  <si>
    <t>Coal Storage  Pile</t>
  </si>
  <si>
    <t>Insignificant Emission Units</t>
  </si>
  <si>
    <t>Fly and Bottom Ash Bin Vent Filter</t>
  </si>
  <si>
    <t>United Conveyor Corp 96TB-BVT-25:S6</t>
  </si>
  <si>
    <t>Ash Loadout to Truck</t>
  </si>
  <si>
    <r>
      <t>tpy</t>
    </r>
    <r>
      <rPr>
        <vertAlign val="superscript"/>
        <sz val="11"/>
        <color theme="1"/>
        <rFont val="Arial"/>
        <family val="2"/>
      </rPr>
      <t>f</t>
    </r>
  </si>
  <si>
    <t>Aboveground Storage Tanks</t>
  </si>
  <si>
    <r>
      <t>N/A</t>
    </r>
    <r>
      <rPr>
        <vertAlign val="superscript"/>
        <sz val="11"/>
        <rFont val="Arial"/>
        <family val="2"/>
      </rPr>
      <t>d</t>
    </r>
  </si>
  <si>
    <t>Diesel</t>
  </si>
  <si>
    <t>Underground Storage Tanks</t>
  </si>
  <si>
    <r>
      <rPr>
        <vertAlign val="superscript"/>
        <sz val="11"/>
        <rFont val="Arial"/>
        <family val="2"/>
      </rPr>
      <t>a</t>
    </r>
    <r>
      <rPr>
        <sz val="11"/>
        <rFont val="Arial"/>
        <family val="2"/>
      </rPr>
      <t xml:space="preserve"> Rating for dust collectors and vent filters is the manufacturer's design inlet gas flow rate in cubic feet per minute</t>
    </r>
  </si>
  <si>
    <r>
      <rPr>
        <vertAlign val="superscript"/>
        <sz val="11"/>
        <rFont val="Arial"/>
        <family val="2"/>
      </rPr>
      <t>b</t>
    </r>
    <r>
      <rPr>
        <sz val="11"/>
        <rFont val="Arial"/>
        <family val="2"/>
      </rPr>
      <t xml:space="preserve"> Engine rating from vendor data</t>
    </r>
  </si>
  <si>
    <r>
      <rPr>
        <vertAlign val="superscript"/>
        <sz val="11"/>
        <rFont val="Arial"/>
        <family val="2"/>
      </rPr>
      <t xml:space="preserve">c </t>
    </r>
    <r>
      <rPr>
        <sz val="11"/>
        <rFont val="Arial"/>
        <family val="2"/>
      </rPr>
      <t xml:space="preserve">Engine rating in hp calculated from electrical output assuming 95% efficiency (hp=kW*1.341/.95). </t>
    </r>
  </si>
  <si>
    <t>Conversion factors:</t>
  </si>
  <si>
    <t>Engine horsepower</t>
  </si>
  <si>
    <t>hp/kw</t>
  </si>
  <si>
    <t>Engine drive shaft efficiency</t>
  </si>
  <si>
    <t>Per Alan Schuler at ADEC</t>
  </si>
  <si>
    <t>Factor</t>
  </si>
  <si>
    <r>
      <t>NO</t>
    </r>
    <r>
      <rPr>
        <b/>
        <vertAlign val="subscript"/>
        <sz val="11"/>
        <rFont val="Arial"/>
        <family val="2"/>
      </rPr>
      <t>X</t>
    </r>
    <r>
      <rPr>
        <b/>
        <sz val="11"/>
        <rFont val="Arial"/>
        <family val="2"/>
      </rPr>
      <t xml:space="preserve"> Emission </t>
    </r>
  </si>
  <si>
    <t xml:space="preserve">Allowable Annual </t>
  </si>
  <si>
    <t>Reference</t>
  </si>
  <si>
    <t xml:space="preserve">Factor </t>
  </si>
  <si>
    <t>Rating/Capacity</t>
  </si>
  <si>
    <t>Operation</t>
  </si>
  <si>
    <r>
      <t>NO</t>
    </r>
    <r>
      <rPr>
        <b/>
        <vertAlign val="subscript"/>
        <sz val="11"/>
        <rFont val="Arial"/>
        <family val="2"/>
      </rPr>
      <t>X</t>
    </r>
    <r>
      <rPr>
        <b/>
        <sz val="11"/>
        <rFont val="Arial"/>
        <family val="2"/>
      </rPr>
      <t xml:space="preserve"> Emissions</t>
    </r>
  </si>
  <si>
    <t>lb/ton</t>
  </si>
  <si>
    <t>tpy</t>
  </si>
  <si>
    <t>/A</t>
  </si>
  <si>
    <t>Vendor</t>
  </si>
  <si>
    <t>AP-42, Table 3.3-1</t>
  </si>
  <si>
    <t>lb/hp-hr</t>
  </si>
  <si>
    <t>AP-42, Table 3.4-1</t>
  </si>
  <si>
    <t>Weight</t>
  </si>
  <si>
    <t>g/lb</t>
  </si>
  <si>
    <t>Coal Heating Value</t>
  </si>
  <si>
    <t>MMBtu/ton</t>
  </si>
  <si>
    <t>From www.usibelli.com/Coal_data.php</t>
  </si>
  <si>
    <r>
      <t>Table D-2.7. Unlimited Potential to Emit Calculations - Particulate Matter Less Than 10 Microns (PM</t>
    </r>
    <r>
      <rPr>
        <b/>
        <vertAlign val="subscript"/>
        <sz val="11"/>
        <rFont val="Arial"/>
        <family val="2"/>
      </rPr>
      <t>10</t>
    </r>
    <r>
      <rPr>
        <b/>
        <sz val="11"/>
        <rFont val="Arial"/>
        <family val="2"/>
      </rPr>
      <t>) Emissions</t>
    </r>
  </si>
  <si>
    <r>
      <t>PM</t>
    </r>
    <r>
      <rPr>
        <b/>
        <vertAlign val="subscript"/>
        <sz val="11"/>
        <rFont val="Arial"/>
        <family val="2"/>
      </rPr>
      <t>10</t>
    </r>
    <r>
      <rPr>
        <b/>
        <sz val="11"/>
        <rFont val="Arial"/>
        <family val="2"/>
      </rPr>
      <t xml:space="preserve"> Emission </t>
    </r>
  </si>
  <si>
    <r>
      <t>PM</t>
    </r>
    <r>
      <rPr>
        <b/>
        <vertAlign val="subscript"/>
        <sz val="11"/>
        <rFont val="Arial"/>
        <family val="2"/>
      </rPr>
      <t>10</t>
    </r>
    <r>
      <rPr>
        <b/>
        <sz val="11"/>
        <rFont val="Arial"/>
        <family val="2"/>
      </rPr>
      <t xml:space="preserve"> Emissions</t>
    </r>
  </si>
  <si>
    <t>AP-42, Tables 1.1-5 and 1.1-9</t>
  </si>
  <si>
    <t>See detailed calculations in Table D-2.7a</t>
  </si>
  <si>
    <t>See detailed calculations in Table D-2.7b</t>
  </si>
  <si>
    <t>See detailed calculations in Table D-2.7c</t>
  </si>
  <si>
    <r>
      <t>Significant Emission Units Total Unlimited Potential to Emit - PM</t>
    </r>
    <r>
      <rPr>
        <b/>
        <vertAlign val="subscript"/>
        <sz val="11"/>
        <rFont val="Arial"/>
        <family val="2"/>
      </rPr>
      <t>10</t>
    </r>
  </si>
  <si>
    <r>
      <t>Insignificant Emission Units Total Unlimited Potential to Emit - PM</t>
    </r>
    <r>
      <rPr>
        <b/>
        <vertAlign val="subscript"/>
        <sz val="11"/>
        <rFont val="Arial"/>
        <family val="2"/>
      </rPr>
      <t>10</t>
    </r>
  </si>
  <si>
    <r>
      <t>Total Unlimited Potential to Emit - PM</t>
    </r>
    <r>
      <rPr>
        <b/>
        <vertAlign val="subscript"/>
        <sz val="11"/>
        <rFont val="Arial"/>
        <family val="2"/>
      </rPr>
      <t>10</t>
    </r>
  </si>
  <si>
    <t>Factor Reference</t>
  </si>
  <si>
    <r>
      <t>PM</t>
    </r>
    <r>
      <rPr>
        <b/>
        <vertAlign val="subscript"/>
        <sz val="11"/>
        <rFont val="Arial"/>
        <family val="2"/>
      </rPr>
      <t>10</t>
    </r>
    <r>
      <rPr>
        <b/>
        <sz val="11"/>
        <rFont val="Arial"/>
        <family val="2"/>
      </rPr>
      <t xml:space="preserve"> Emission Factor</t>
    </r>
    <r>
      <rPr>
        <b/>
        <vertAlign val="superscript"/>
        <sz val="11"/>
        <rFont val="Arial"/>
        <family val="2"/>
      </rPr>
      <t>d</t>
    </r>
  </si>
  <si>
    <t>Emission Unit Rating/Capacity</t>
  </si>
  <si>
    <r>
      <t>Annual Operation</t>
    </r>
    <r>
      <rPr>
        <b/>
        <vertAlign val="superscript"/>
        <sz val="11"/>
        <rFont val="Arial"/>
        <family val="2"/>
      </rPr>
      <t>a</t>
    </r>
  </si>
  <si>
    <r>
      <t>Potential PM</t>
    </r>
    <r>
      <rPr>
        <b/>
        <vertAlign val="subscript"/>
        <sz val="11"/>
        <rFont val="Arial"/>
        <family val="2"/>
      </rPr>
      <t>10</t>
    </r>
    <r>
      <rPr>
        <b/>
        <sz val="11"/>
        <rFont val="Arial"/>
        <family val="2"/>
      </rPr>
      <t xml:space="preserve"> Emission</t>
    </r>
    <r>
      <rPr>
        <b/>
        <vertAlign val="superscript"/>
        <sz val="11"/>
        <rFont val="Arial"/>
        <family val="2"/>
      </rPr>
      <t>b</t>
    </r>
  </si>
  <si>
    <t>Permit ID</t>
  </si>
  <si>
    <t>Year Installed</t>
  </si>
  <si>
    <t>gr/dscf</t>
  </si>
  <si>
    <r>
      <t>Manufacturer's guarantee</t>
    </r>
    <r>
      <rPr>
        <vertAlign val="superscript"/>
        <sz val="11"/>
        <rFont val="Arial"/>
        <family val="2"/>
      </rPr>
      <t>c</t>
    </r>
  </si>
  <si>
    <t>Average daily coal handling operations</t>
  </si>
  <si>
    <t xml:space="preserve">hr/day, 365 operating days per year </t>
  </si>
  <si>
    <t>Percent of time South coal handling dust collector is in use</t>
  </si>
  <si>
    <t>percent, primary coal handling system</t>
  </si>
  <si>
    <t>Percent of time North coal handling dust collector is in use</t>
  </si>
  <si>
    <t>percent, North handling system is emergency backup to South handling system</t>
  </si>
  <si>
    <t>hrs/yr</t>
  </si>
  <si>
    <r>
      <rPr>
        <vertAlign val="superscript"/>
        <sz val="11"/>
        <rFont val="Arial"/>
        <family val="2"/>
      </rPr>
      <t>b</t>
    </r>
    <r>
      <rPr>
        <sz val="11"/>
        <rFont val="Arial"/>
        <family val="2"/>
      </rPr>
      <t xml:space="preserve"> Coal handling dust collection emission calculations:</t>
    </r>
  </si>
  <si>
    <r>
      <t>(exhaust rate, acfm) x (Temp at STP/Temp of exhaust) x (PM</t>
    </r>
    <r>
      <rPr>
        <vertAlign val="subscript"/>
        <sz val="11"/>
        <color theme="1"/>
        <rFont val="Arial"/>
        <family val="2"/>
      </rPr>
      <t>10</t>
    </r>
    <r>
      <rPr>
        <sz val="11"/>
        <color theme="1"/>
        <rFont val="Arial"/>
        <family val="2"/>
      </rPr>
      <t xml:space="preserve"> exhaust concentration, gr/dscf) x (1 lb/ 7,000 gr) x (1 ton/ 2,000 lb) x (60 min/hr) x (operation, hr/yr)</t>
    </r>
  </si>
  <si>
    <t xml:space="preserve">Temperature at standard conditions = </t>
  </si>
  <si>
    <t>degrees Kelvin</t>
  </si>
  <si>
    <t xml:space="preserve">Exhaust temperature dust collectors = </t>
  </si>
  <si>
    <t>Annual Operation</t>
  </si>
  <si>
    <t>Typical Value</t>
  </si>
  <si>
    <r>
      <t>tpy</t>
    </r>
    <r>
      <rPr>
        <vertAlign val="superscript"/>
        <sz val="11"/>
        <rFont val="Arial"/>
        <family val="2"/>
      </rPr>
      <t>a</t>
    </r>
  </si>
  <si>
    <t>gr/scfm</t>
  </si>
  <si>
    <t>AP-42, Section 13.2.4</t>
  </si>
  <si>
    <r>
      <t>tpy</t>
    </r>
    <r>
      <rPr>
        <vertAlign val="superscript"/>
        <sz val="11"/>
        <rFont val="Arial"/>
        <family val="2"/>
      </rPr>
      <t>b</t>
    </r>
  </si>
  <si>
    <r>
      <rPr>
        <vertAlign val="superscript"/>
        <sz val="11"/>
        <rFont val="Arial"/>
        <family val="2"/>
      </rPr>
      <t>a</t>
    </r>
    <r>
      <rPr>
        <sz val="11"/>
        <rFont val="Arial"/>
        <family val="2"/>
      </rPr>
      <t xml:space="preserve"> Fly and bottom ash dust collector emission calculations:</t>
    </r>
  </si>
  <si>
    <t>degrees Fahrenheit</t>
  </si>
  <si>
    <t xml:space="preserve">Exhaust temperature of ash bin vent filter = </t>
  </si>
  <si>
    <t xml:space="preserve">Exhaust temperature of fan duct blower/bag filter = </t>
  </si>
  <si>
    <r>
      <rPr>
        <vertAlign val="superscript"/>
        <sz val="11"/>
        <rFont val="Arial"/>
        <family val="2"/>
      </rPr>
      <t>b</t>
    </r>
    <r>
      <rPr>
        <sz val="11"/>
        <rFont val="Arial"/>
        <family val="2"/>
      </rPr>
      <t xml:space="preserve"> Ash loadout emission calculations:</t>
    </r>
  </si>
  <si>
    <r>
      <t>Emission factor from AP-42, Section 13.2.4 based on empirical equation E = k x 0.0032 x (U/5)</t>
    </r>
    <r>
      <rPr>
        <vertAlign val="superscript"/>
        <sz val="11"/>
        <rFont val="Arial"/>
        <family val="2"/>
      </rPr>
      <t>1.3</t>
    </r>
    <r>
      <rPr>
        <sz val="11"/>
        <rFont val="Arial"/>
        <family val="2"/>
      </rPr>
      <t>/(M/2)</t>
    </r>
    <r>
      <rPr>
        <vertAlign val="superscript"/>
        <sz val="11"/>
        <rFont val="Arial"/>
        <family val="2"/>
      </rPr>
      <t>1.4</t>
    </r>
    <r>
      <rPr>
        <sz val="11"/>
        <rFont val="Arial"/>
        <family val="2"/>
      </rPr>
      <t xml:space="preserve"> lb/ton transferred where:</t>
    </r>
  </si>
  <si>
    <r>
      <t>k = 0.35 for PM</t>
    </r>
    <r>
      <rPr>
        <vertAlign val="subscript"/>
        <sz val="11"/>
        <rFont val="Arial"/>
        <family val="2"/>
      </rPr>
      <t>10</t>
    </r>
  </si>
  <si>
    <t xml:space="preserve">U = mean wind speed = 5.4 mph in Fairbanks, per National Climactic Data Center (http://lwf.ncdc.noaa.gov/oa/climate/online/ccd/avgwind.html) </t>
  </si>
  <si>
    <t>M = ash moisture content = 27 percent (AP-42, Table 13.2.4-1)</t>
  </si>
  <si>
    <t>Ash loadout emissions based on maximum possible coal consumption</t>
  </si>
  <si>
    <t>Boiler Rating</t>
  </si>
  <si>
    <t>Number of boilers</t>
  </si>
  <si>
    <t>Ash content of coal per Usibelli Coal Mine website</t>
  </si>
  <si>
    <t>percent</t>
  </si>
  <si>
    <t>Operations, ash tons/yr = coal consumption x (0.085 ash content)</t>
  </si>
  <si>
    <t>Ash loadout emissions, tons/yr = (emission factor, lb/ton) x (ash loading, ton/yr) / (2,000 lb/ton)</t>
  </si>
  <si>
    <r>
      <rPr>
        <vertAlign val="superscript"/>
        <sz val="11"/>
        <rFont val="Arial"/>
        <family val="2"/>
      </rPr>
      <t xml:space="preserve">c </t>
    </r>
    <r>
      <rPr>
        <sz val="11"/>
        <rFont val="Arial"/>
        <family val="2"/>
      </rPr>
      <t>Manufacturer's guarantee for particle sizes over 5 microns in diameter</t>
    </r>
  </si>
  <si>
    <r>
      <t>PM</t>
    </r>
    <r>
      <rPr>
        <b/>
        <vertAlign val="subscript"/>
        <sz val="11"/>
        <rFont val="Arial"/>
        <family val="2"/>
      </rPr>
      <t>10</t>
    </r>
    <r>
      <rPr>
        <b/>
        <sz val="11"/>
        <rFont val="Arial"/>
        <family val="2"/>
      </rPr>
      <t xml:space="preserve"> Emission Factor</t>
    </r>
  </si>
  <si>
    <r>
      <t>Annual Operation</t>
    </r>
    <r>
      <rPr>
        <b/>
        <vertAlign val="superscript"/>
        <sz val="11"/>
        <rFont val="Arial"/>
        <family val="2"/>
      </rPr>
      <t>b</t>
    </r>
  </si>
  <si>
    <r>
      <t>Potential PM</t>
    </r>
    <r>
      <rPr>
        <b/>
        <vertAlign val="subscript"/>
        <sz val="11"/>
        <rFont val="Arial"/>
        <family val="2"/>
      </rPr>
      <t>10</t>
    </r>
    <r>
      <rPr>
        <b/>
        <sz val="11"/>
        <rFont val="Arial"/>
        <family val="2"/>
      </rPr>
      <t xml:space="preserve"> Emission</t>
    </r>
  </si>
  <si>
    <t>Coal chute to coal pile</t>
  </si>
  <si>
    <r>
      <t>lb/ton</t>
    </r>
    <r>
      <rPr>
        <vertAlign val="superscript"/>
        <sz val="11"/>
        <rFont val="Arial"/>
        <family val="2"/>
      </rPr>
      <t>a</t>
    </r>
  </si>
  <si>
    <t>Front end loader drop onto stockpile</t>
  </si>
  <si>
    <t>Front end loader movement - chute to coal pile</t>
  </si>
  <si>
    <t xml:space="preserve">AP-42, Section 13.2.2 </t>
  </si>
  <si>
    <r>
      <t>lb/VMT</t>
    </r>
    <r>
      <rPr>
        <vertAlign val="superscript"/>
        <sz val="11"/>
        <rFont val="Arial"/>
        <family val="2"/>
      </rPr>
      <t>c</t>
    </r>
  </si>
  <si>
    <t>VMT</t>
  </si>
  <si>
    <t>Front end loader movement - coal pile to South grizzly</t>
  </si>
  <si>
    <t>Front end loader movement - coal pile to North grizzly</t>
  </si>
  <si>
    <t>Stockpile wind erosion</t>
  </si>
  <si>
    <t>AP-42, Section 13.2.5</t>
  </si>
  <si>
    <r>
      <t>g/m</t>
    </r>
    <r>
      <rPr>
        <vertAlign val="superscript"/>
        <sz val="11"/>
        <rFont val="Arial"/>
        <family val="2"/>
      </rPr>
      <t>2-</t>
    </r>
    <r>
      <rPr>
        <sz val="11"/>
        <rFont val="Arial"/>
        <family val="2"/>
      </rPr>
      <t>yr</t>
    </r>
    <r>
      <rPr>
        <vertAlign val="superscript"/>
        <sz val="11"/>
        <rFont val="Arial"/>
        <family val="2"/>
      </rPr>
      <t>d</t>
    </r>
  </si>
  <si>
    <r>
      <t>m</t>
    </r>
    <r>
      <rPr>
        <vertAlign val="superscript"/>
        <sz val="11"/>
        <rFont val="Arial"/>
        <family val="2"/>
      </rPr>
      <t>2</t>
    </r>
  </si>
  <si>
    <t>Front end loader drop into grizzly</t>
  </si>
  <si>
    <r>
      <t>a</t>
    </r>
    <r>
      <rPr>
        <sz val="11"/>
        <rFont val="Arial"/>
        <family val="2"/>
      </rPr>
      <t>Coal transfer emission factor from AP-42, Section 13.2.4 based on empirical equation E = k x 0.0032 x (U/5)</t>
    </r>
    <r>
      <rPr>
        <vertAlign val="superscript"/>
        <sz val="11"/>
        <rFont val="Arial"/>
        <family val="2"/>
      </rPr>
      <t>1.3</t>
    </r>
    <r>
      <rPr>
        <sz val="11"/>
        <rFont val="Arial"/>
        <family val="2"/>
      </rPr>
      <t>/(M/2)</t>
    </r>
    <r>
      <rPr>
        <vertAlign val="superscript"/>
        <sz val="11"/>
        <rFont val="Arial"/>
        <family val="2"/>
      </rPr>
      <t>1.4</t>
    </r>
    <r>
      <rPr>
        <sz val="11"/>
        <rFont val="Arial"/>
        <family val="2"/>
      </rPr>
      <t xml:space="preserve"> lb/ton transferred where:</t>
    </r>
  </si>
  <si>
    <t xml:space="preserve">k </t>
  </si>
  <si>
    <r>
      <t>for PM</t>
    </r>
    <r>
      <rPr>
        <vertAlign val="subscript"/>
        <sz val="11"/>
        <rFont val="Arial"/>
        <family val="2"/>
      </rPr>
      <t>10</t>
    </r>
  </si>
  <si>
    <t>U = mean wind speed</t>
  </si>
  <si>
    <t>miles/hr</t>
  </si>
  <si>
    <t>per http://lwf.ncdc.noaa.gov/oa/climate/online/ccd/avgwind.html</t>
  </si>
  <si>
    <t>M = coal moisture content</t>
  </si>
  <si>
    <r>
      <t>b</t>
    </r>
    <r>
      <rPr>
        <sz val="11"/>
        <rFont val="Arial"/>
        <family val="2"/>
      </rPr>
      <t>For unlimited potential assume entire coal pile is turned over in one year:</t>
    </r>
  </si>
  <si>
    <t>Coal pile volume</t>
  </si>
  <si>
    <r>
      <t>yd</t>
    </r>
    <r>
      <rPr>
        <vertAlign val="superscript"/>
        <sz val="11"/>
        <rFont val="Arial"/>
        <family val="2"/>
      </rPr>
      <t>3</t>
    </r>
  </si>
  <si>
    <t>per September 24, 2012 survey</t>
  </si>
  <si>
    <t>Density of coal</t>
  </si>
  <si>
    <r>
      <t>lb/ft</t>
    </r>
    <r>
      <rPr>
        <vertAlign val="superscript"/>
        <sz val="11"/>
        <rFont val="Arial"/>
        <family val="2"/>
      </rPr>
      <t>3</t>
    </r>
  </si>
  <si>
    <t>Coal pile weight</t>
  </si>
  <si>
    <t>tons</t>
  </si>
  <si>
    <t>Coal moved to coal pile</t>
  </si>
  <si>
    <t>Coal moved from coal pile</t>
  </si>
  <si>
    <r>
      <t>c</t>
    </r>
    <r>
      <rPr>
        <sz val="11"/>
        <rFont val="Arial"/>
        <family val="2"/>
      </rPr>
      <t>Front end loader movement emission factor from AP-42, Section 13.2.2, Empirical Equation 1a, E = k x (s/12)</t>
    </r>
    <r>
      <rPr>
        <vertAlign val="superscript"/>
        <sz val="11"/>
        <rFont val="Arial"/>
        <family val="2"/>
      </rPr>
      <t>a</t>
    </r>
    <r>
      <rPr>
        <sz val="11"/>
        <rFont val="Arial"/>
        <family val="2"/>
      </rPr>
      <t xml:space="preserve"> x (W/3)</t>
    </r>
    <r>
      <rPr>
        <vertAlign val="superscript"/>
        <sz val="11"/>
        <rFont val="Arial"/>
        <family val="2"/>
      </rPr>
      <t xml:space="preserve">b  </t>
    </r>
    <r>
      <rPr>
        <sz val="11"/>
        <rFont val="Arial"/>
        <family val="2"/>
      </rPr>
      <t>lb/VMT where:</t>
    </r>
  </si>
  <si>
    <t>s = surface material silt content (haul road)</t>
  </si>
  <si>
    <t>percent,  from AP-42, Table 13.2.2-1</t>
  </si>
  <si>
    <t>W = mean vehicle weight</t>
  </si>
  <si>
    <t>tons, estimate</t>
  </si>
  <si>
    <t>Size of load bucket</t>
  </si>
  <si>
    <t>Coal moved per trip</t>
  </si>
  <si>
    <t>tons  (Density of coal x 27 ft3/yd3 x bucket size / 2000 lb/ton)</t>
  </si>
  <si>
    <t>a (empirical constant)</t>
  </si>
  <si>
    <t>from AP-42, Table 13.2.2-2</t>
  </si>
  <si>
    <t>b (empirical constant)</t>
  </si>
  <si>
    <t>Approximate distance from coal chute to coal pile (round trip)</t>
  </si>
  <si>
    <t>feet</t>
  </si>
  <si>
    <t>Approximate distance from coal pile to South grizzly (round trip)</t>
  </si>
  <si>
    <t>Approximate distance from coal pile to North grizzly (round trip)</t>
  </si>
  <si>
    <t>Percent of annual coal transferred to South grizzly</t>
  </si>
  <si>
    <t>Percent of annual coal transferred to North grizzly</t>
  </si>
  <si>
    <t>VMT = vehicles miles traveled per year</t>
  </si>
  <si>
    <t>VMT = annual stockpile throughput/coal moved per trip x distanced traveled per round trip in feet / 5280 ft/mi</t>
  </si>
  <si>
    <r>
      <rPr>
        <vertAlign val="superscript"/>
        <sz val="11"/>
        <rFont val="Arial"/>
        <family val="2"/>
      </rPr>
      <t>d</t>
    </r>
    <r>
      <rPr>
        <sz val="11"/>
        <rFont val="Arial"/>
        <family val="2"/>
      </rPr>
      <t>From AP-42, Section 13.2.5, Industrial Wind Erosion</t>
    </r>
  </si>
  <si>
    <r>
      <t>Coal Pile at FWA CHPP (</t>
    </r>
    <r>
      <rPr>
        <i/>
        <sz val="11"/>
        <rFont val="Arial"/>
        <family val="2"/>
      </rPr>
      <t>source: Topographic Map for the Coal Pile South of the Main Power Plant on Fort Wainwright, September 24, 2012, RCH Surveys</t>
    </r>
    <r>
      <rPr>
        <sz val="11"/>
        <rFont val="Arial"/>
        <family val="2"/>
      </rPr>
      <t>)</t>
    </r>
  </si>
  <si>
    <t>Average Height =</t>
  </si>
  <si>
    <t>ft</t>
  </si>
  <si>
    <t>Width at Base =</t>
  </si>
  <si>
    <t>The minimum width (south face) of the coal pile is used as a conservative approach</t>
  </si>
  <si>
    <t>Height-to-Base Ratio =</t>
  </si>
  <si>
    <t>&lt; 0.2.  FWA CHPP coal pile can therefore be considered a large relatively flat pile with little penetration into the surface wind layer and  and a single friction velocity (using Equation (1)) can be used to for the entire surface of the coal pile.  Friction velocity is a measure of wind shear stress on the erodible surface.</t>
  </si>
  <si>
    <t>Surface Area of Active (north) Face =</t>
  </si>
  <si>
    <t>Calculated from survey using Computer Aided Design (CAD) software</t>
  </si>
  <si>
    <t>AP-42 Section 13.2.5, Equation (2)</t>
  </si>
  <si>
    <t>Emission factor for wind-generated particulate emissions from mixtures of erodible and nonerodible surface material subject to disturbance, EF</t>
  </si>
  <si>
    <t xml:space="preserve">                         N</t>
  </si>
  <si>
    <r>
      <t>EF (g/m</t>
    </r>
    <r>
      <rPr>
        <vertAlign val="superscript"/>
        <sz val="11"/>
        <color rgb="FF000000"/>
        <rFont val="Arial"/>
        <family val="2"/>
      </rPr>
      <t>2</t>
    </r>
    <r>
      <rPr>
        <sz val="11"/>
        <color rgb="FF000000"/>
        <rFont val="Arial"/>
        <family val="2"/>
      </rPr>
      <t>-yr) = k ƩP</t>
    </r>
    <r>
      <rPr>
        <vertAlign val="subscript"/>
        <sz val="11"/>
        <color rgb="FF000000"/>
        <rFont val="Arial"/>
        <family val="2"/>
      </rPr>
      <t>i</t>
    </r>
  </si>
  <si>
    <t xml:space="preserve">                         i=1</t>
  </si>
  <si>
    <t>where</t>
  </si>
  <si>
    <t>k = particle size multiplier (0.5 for particle size &lt; 10 microns, per table on page 13.2.5-3)</t>
  </si>
  <si>
    <t>N = number of disturbances per year</t>
  </si>
  <si>
    <r>
      <t>P</t>
    </r>
    <r>
      <rPr>
        <vertAlign val="subscript"/>
        <sz val="11"/>
        <rFont val="Arial"/>
        <family val="2"/>
      </rPr>
      <t xml:space="preserve">i </t>
    </r>
    <r>
      <rPr>
        <sz val="11"/>
        <rFont val="Arial"/>
        <family val="2"/>
      </rPr>
      <t>= erosion potential corresponding to the fastest mile of wind for the ith period between disturbances, g/m</t>
    </r>
    <r>
      <rPr>
        <vertAlign val="superscript"/>
        <sz val="11"/>
        <rFont val="Arial"/>
        <family val="2"/>
      </rPr>
      <t>2</t>
    </r>
  </si>
  <si>
    <t>AP-42 Section 13.2.5, Equation (3)</t>
  </si>
  <si>
    <t>Erosion potential function for a dry exposed surface, P</t>
  </si>
  <si>
    <r>
      <t>P = 58 (u* - u</t>
    </r>
    <r>
      <rPr>
        <vertAlign val="subscript"/>
        <sz val="11"/>
        <rFont val="Arial"/>
        <family val="2"/>
      </rPr>
      <t>t</t>
    </r>
    <r>
      <rPr>
        <sz val="11"/>
        <rFont val="Arial"/>
        <family val="2"/>
      </rPr>
      <t>*)</t>
    </r>
    <r>
      <rPr>
        <vertAlign val="superscript"/>
        <sz val="11"/>
        <rFont val="Arial"/>
        <family val="2"/>
      </rPr>
      <t>2</t>
    </r>
    <r>
      <rPr>
        <sz val="11"/>
        <rFont val="Arial"/>
        <family val="2"/>
      </rPr>
      <t xml:space="preserve"> + 25 (u* - u</t>
    </r>
    <r>
      <rPr>
        <vertAlign val="subscript"/>
        <sz val="11"/>
        <rFont val="Arial"/>
        <family val="2"/>
      </rPr>
      <t>t</t>
    </r>
    <r>
      <rPr>
        <sz val="11"/>
        <rFont val="Arial"/>
        <family val="2"/>
      </rPr>
      <t>*)</t>
    </r>
  </si>
  <si>
    <r>
      <t xml:space="preserve">P = 0 for u* </t>
    </r>
    <r>
      <rPr>
        <u/>
        <sz val="11"/>
        <rFont val="Arial"/>
        <family val="2"/>
      </rPr>
      <t>&lt;</t>
    </r>
    <r>
      <rPr>
        <sz val="11"/>
        <rFont val="Arial"/>
        <family val="2"/>
      </rPr>
      <t xml:space="preserve"> u</t>
    </r>
    <r>
      <rPr>
        <vertAlign val="subscript"/>
        <sz val="11"/>
        <rFont val="Arial"/>
        <family val="2"/>
      </rPr>
      <t>t</t>
    </r>
    <r>
      <rPr>
        <sz val="11"/>
        <rFont val="Arial"/>
        <family val="2"/>
      </rPr>
      <t>*</t>
    </r>
  </si>
  <si>
    <t>u* = friction velocity (m/s)</t>
  </si>
  <si>
    <r>
      <t>u</t>
    </r>
    <r>
      <rPr>
        <vertAlign val="subscript"/>
        <sz val="11"/>
        <rFont val="Arial"/>
        <family val="2"/>
      </rPr>
      <t xml:space="preserve">t </t>
    </r>
    <r>
      <rPr>
        <sz val="11"/>
        <rFont val="Arial"/>
        <family val="2"/>
      </rPr>
      <t>= threshold friction velocity (m/s)</t>
    </r>
  </si>
  <si>
    <t>AP-42 Section 13.2.5, Equation (1)</t>
  </si>
  <si>
    <t>Friction velocity, u*</t>
  </si>
  <si>
    <r>
      <t>u* = 0.4 x u(z) / ln(z/z</t>
    </r>
    <r>
      <rPr>
        <vertAlign val="subscript"/>
        <sz val="11"/>
        <rFont val="Arial"/>
        <family val="2"/>
      </rPr>
      <t>o</t>
    </r>
    <r>
      <rPr>
        <sz val="11"/>
        <rFont val="Arial"/>
        <family val="2"/>
      </rPr>
      <t>)</t>
    </r>
  </si>
  <si>
    <r>
      <t>when z &gt;z</t>
    </r>
    <r>
      <rPr>
        <vertAlign val="subscript"/>
        <sz val="11"/>
        <rFont val="Arial"/>
        <family val="2"/>
      </rPr>
      <t>o</t>
    </r>
  </si>
  <si>
    <t>u* = friction velocity (cm/s)</t>
  </si>
  <si>
    <t>u(z) = wind speed at height z above test surface (cm/s)</t>
  </si>
  <si>
    <t>z = height above test surface (cm)</t>
  </si>
  <si>
    <r>
      <t>z</t>
    </r>
    <r>
      <rPr>
        <vertAlign val="subscript"/>
        <sz val="11"/>
        <rFont val="Arial"/>
        <family val="2"/>
      </rPr>
      <t>o</t>
    </r>
    <r>
      <rPr>
        <sz val="11"/>
        <rFont val="Arial"/>
        <family val="2"/>
      </rPr>
      <t xml:space="preserve"> = roughness height, cm</t>
    </r>
  </si>
  <si>
    <t>Data:</t>
  </si>
  <si>
    <t>u(z)</t>
  </si>
  <si>
    <t>Use maximum wind gust speed recorded at Fairbanks International Airport for each of the previous 12 months (see table below)</t>
  </si>
  <si>
    <t>z</t>
  </si>
  <si>
    <t>meters</t>
  </si>
  <si>
    <t>disturbances/year for active face, as determined from 2012 records</t>
  </si>
  <si>
    <t>average disturbances/month</t>
  </si>
  <si>
    <r>
      <t>Uncrusted coal pile</t>
    </r>
    <r>
      <rPr>
        <vertAlign val="superscript"/>
        <sz val="11"/>
        <rFont val="Arial"/>
        <family val="2"/>
      </rPr>
      <t>2</t>
    </r>
    <r>
      <rPr>
        <sz val="11"/>
        <rFont val="Arial"/>
        <family val="2"/>
      </rPr>
      <t xml:space="preserve">
(Table 13.2.5-2)</t>
    </r>
  </si>
  <si>
    <t>Scraper tracks on coal pile
(Table 13.2.5-2)</t>
  </si>
  <si>
    <t>Month-Year</t>
  </si>
  <si>
    <r>
      <t>Maximum Wind Speed (u(10))</t>
    </r>
    <r>
      <rPr>
        <vertAlign val="superscript"/>
        <sz val="11"/>
        <rFont val="Arial"/>
        <family val="2"/>
      </rPr>
      <t>1</t>
    </r>
  </si>
  <si>
    <t>Wind Direction</t>
  </si>
  <si>
    <r>
      <t>Roughness Height
(z</t>
    </r>
    <r>
      <rPr>
        <vertAlign val="subscript"/>
        <sz val="11"/>
        <rFont val="Arial"/>
        <family val="2"/>
      </rPr>
      <t>o</t>
    </r>
    <r>
      <rPr>
        <sz val="11"/>
        <rFont val="Arial"/>
        <family val="2"/>
      </rPr>
      <t>)</t>
    </r>
  </si>
  <si>
    <r>
      <t>Threshold Friction Velocity
(u</t>
    </r>
    <r>
      <rPr>
        <vertAlign val="subscript"/>
        <sz val="11"/>
        <rFont val="Arial"/>
        <family val="2"/>
      </rPr>
      <t>t</t>
    </r>
    <r>
      <rPr>
        <sz val="11"/>
        <rFont val="Arial"/>
        <family val="2"/>
      </rPr>
      <t>)</t>
    </r>
  </si>
  <si>
    <t>Calculated Friction Velocity (u*)</t>
  </si>
  <si>
    <t>Erosion potential function, 
P</t>
  </si>
  <si>
    <t>P x N</t>
  </si>
  <si>
    <t>Emission Factor,
EF</t>
  </si>
  <si>
    <t>m/s</t>
  </si>
  <si>
    <t>deg</t>
  </si>
  <si>
    <t>cm</t>
  </si>
  <si>
    <r>
      <t>g/m</t>
    </r>
    <r>
      <rPr>
        <vertAlign val="superscript"/>
        <sz val="11"/>
        <rFont val="Arial"/>
        <family val="2"/>
      </rPr>
      <t>2</t>
    </r>
    <r>
      <rPr>
        <sz val="11"/>
        <rFont val="Arial"/>
        <family val="2"/>
      </rPr>
      <t>-yr</t>
    </r>
  </si>
  <si>
    <t>Annual Total</t>
  </si>
  <si>
    <r>
      <rPr>
        <vertAlign val="superscript"/>
        <sz val="11"/>
        <rFont val="Arial"/>
        <family val="2"/>
      </rPr>
      <t>1</t>
    </r>
    <r>
      <rPr>
        <sz val="11"/>
        <rFont val="Arial"/>
        <family val="2"/>
      </rPr>
      <t>http://www.nws.noaa.gov/climate/index.php?wfo=pafg.  Tower height of 10 meters confirmed by Fairbanks Weather Forecast Office, National Weather Service on 27-March-2013</t>
    </r>
  </si>
  <si>
    <r>
      <rPr>
        <vertAlign val="superscript"/>
        <sz val="11"/>
        <rFont val="Arial"/>
        <family val="2"/>
      </rPr>
      <t>2</t>
    </r>
    <r>
      <rPr>
        <sz val="11"/>
        <rFont val="Arial"/>
        <family val="2"/>
      </rPr>
      <t>The erosion potential factor for the uncrusted coal pile is zero for all months.  Therefore, wind erosion of the uncrusted coal pile is not a significant source of PM emissions</t>
    </r>
  </si>
  <si>
    <r>
      <t>PM</t>
    </r>
    <r>
      <rPr>
        <b/>
        <vertAlign val="subscript"/>
        <sz val="11"/>
        <rFont val="Arial"/>
        <family val="2"/>
      </rPr>
      <t>2.5</t>
    </r>
    <r>
      <rPr>
        <b/>
        <sz val="11"/>
        <rFont val="Arial"/>
        <family val="2"/>
      </rPr>
      <t xml:space="preserve"> Emission </t>
    </r>
  </si>
  <si>
    <r>
      <t>PM</t>
    </r>
    <r>
      <rPr>
        <b/>
        <vertAlign val="subscript"/>
        <sz val="11"/>
        <rFont val="Arial"/>
        <family val="2"/>
      </rPr>
      <t>2.5</t>
    </r>
    <r>
      <rPr>
        <b/>
        <sz val="11"/>
        <rFont val="Arial"/>
        <family val="2"/>
      </rPr>
      <t xml:space="preserve"> Emissions</t>
    </r>
  </si>
  <si>
    <r>
      <t>Total Unlimited Potential to Emit - PM</t>
    </r>
    <r>
      <rPr>
        <b/>
        <vertAlign val="subscript"/>
        <sz val="11"/>
        <rFont val="Arial"/>
        <family val="2"/>
      </rPr>
      <t>2.5</t>
    </r>
  </si>
  <si>
    <r>
      <t>tpy</t>
    </r>
    <r>
      <rPr>
        <b/>
        <vertAlign val="superscript"/>
        <sz val="11"/>
        <rFont val="Arial"/>
        <family val="2"/>
      </rPr>
      <t>2</t>
    </r>
  </si>
  <si>
    <t>Fuel Sulfur</t>
  </si>
  <si>
    <r>
      <t>SO</t>
    </r>
    <r>
      <rPr>
        <b/>
        <vertAlign val="subscript"/>
        <sz val="11"/>
        <rFont val="Arial"/>
        <family val="2"/>
      </rPr>
      <t>2</t>
    </r>
    <r>
      <rPr>
        <b/>
        <sz val="11"/>
        <rFont val="Arial"/>
        <family val="2"/>
      </rPr>
      <t xml:space="preserve"> Emission </t>
    </r>
  </si>
  <si>
    <t>Content</t>
  </si>
  <si>
    <r>
      <t>SO</t>
    </r>
    <r>
      <rPr>
        <b/>
        <vertAlign val="subscript"/>
        <sz val="11"/>
        <rFont val="Arial"/>
        <family val="2"/>
      </rPr>
      <t>2</t>
    </r>
    <r>
      <rPr>
        <b/>
        <sz val="11"/>
        <rFont val="Arial"/>
        <family val="2"/>
      </rPr>
      <t xml:space="preserve"> Emissions</t>
    </r>
  </si>
  <si>
    <r>
      <t>wt. pct.</t>
    </r>
    <r>
      <rPr>
        <vertAlign val="superscript"/>
        <sz val="11"/>
        <rFont val="Arial"/>
        <family val="2"/>
      </rPr>
      <t>a</t>
    </r>
  </si>
  <si>
    <t>lb/ton-coal</t>
  </si>
  <si>
    <r>
      <t>wt. pct.</t>
    </r>
    <r>
      <rPr>
        <vertAlign val="superscript"/>
        <sz val="11"/>
        <rFont val="Arial"/>
        <family val="2"/>
      </rPr>
      <t>b</t>
    </r>
  </si>
  <si>
    <t>Mass balance</t>
  </si>
  <si>
    <t>lb/1000 gal</t>
  </si>
  <si>
    <t>wt. pct.</t>
  </si>
  <si>
    <r>
      <rPr>
        <vertAlign val="superscript"/>
        <sz val="11"/>
        <rFont val="Arial"/>
        <family val="2"/>
      </rPr>
      <t>b</t>
    </r>
    <r>
      <rPr>
        <sz val="11"/>
        <rFont val="Arial"/>
        <family val="2"/>
      </rPr>
      <t xml:space="preserve"> For engines subject to 40 CFR 60 Subpart IIII, fuel used must meet the requirements of 40 CFR 80.510(b).  </t>
    </r>
  </si>
  <si>
    <t>Diesel Heating Value</t>
  </si>
  <si>
    <t>Btu/gal</t>
  </si>
  <si>
    <t>From AP 42, Appendix A, Page A-5</t>
  </si>
  <si>
    <t>Density of Diesel</t>
  </si>
  <si>
    <t>lb/gal</t>
  </si>
  <si>
    <t>From AP 42, Appendix A, Page A-7, density for Distillate Oil</t>
  </si>
  <si>
    <t>Engine Heat Rate</t>
  </si>
  <si>
    <t>Btu/hp-hr</t>
  </si>
  <si>
    <t>Average brake-specific fuel consumption (BSFC) from AP 42, Table 3.3-1, footnote a</t>
  </si>
  <si>
    <t>Emission Unit Type</t>
  </si>
  <si>
    <r>
      <t xml:space="preserve">Regulated Air Pollutant Emissions (tons per year) </t>
    </r>
    <r>
      <rPr>
        <b/>
        <vertAlign val="superscript"/>
        <sz val="11"/>
        <rFont val="Arial"/>
        <family val="2"/>
      </rPr>
      <t>1,2</t>
    </r>
  </si>
  <si>
    <r>
      <t>NO</t>
    </r>
    <r>
      <rPr>
        <b/>
        <vertAlign val="subscript"/>
        <sz val="11"/>
        <rFont val="Arial"/>
        <family val="2"/>
      </rPr>
      <t>X</t>
    </r>
  </si>
  <si>
    <r>
      <t>PM</t>
    </r>
    <r>
      <rPr>
        <b/>
        <vertAlign val="subscript"/>
        <sz val="11"/>
        <rFont val="Arial"/>
        <family val="2"/>
      </rPr>
      <t>10</t>
    </r>
  </si>
  <si>
    <r>
      <t>PM</t>
    </r>
    <r>
      <rPr>
        <b/>
        <vertAlign val="subscript"/>
        <sz val="11"/>
        <rFont val="Arial"/>
        <family val="2"/>
      </rPr>
      <t xml:space="preserve">2.5 </t>
    </r>
    <r>
      <rPr>
        <b/>
        <vertAlign val="superscript"/>
        <sz val="11"/>
        <rFont val="Arial"/>
        <family val="2"/>
      </rPr>
      <t>3</t>
    </r>
  </si>
  <si>
    <r>
      <t>SO</t>
    </r>
    <r>
      <rPr>
        <b/>
        <vertAlign val="subscript"/>
        <sz val="11"/>
        <rFont val="Arial"/>
        <family val="2"/>
      </rPr>
      <t>2</t>
    </r>
  </si>
  <si>
    <t>HAP</t>
  </si>
  <si>
    <r>
      <t>GHG (CO</t>
    </r>
    <r>
      <rPr>
        <b/>
        <vertAlign val="subscript"/>
        <sz val="11"/>
        <rFont val="Arial"/>
        <family val="2"/>
      </rPr>
      <t>2</t>
    </r>
    <r>
      <rPr>
        <b/>
        <sz val="11"/>
        <rFont val="Arial"/>
        <family val="2"/>
      </rPr>
      <t>e)</t>
    </r>
    <r>
      <rPr>
        <b/>
        <vertAlign val="subscript"/>
        <sz val="11"/>
        <rFont val="Arial"/>
        <family val="2"/>
      </rPr>
      <t xml:space="preserve"> </t>
    </r>
    <r>
      <rPr>
        <b/>
        <vertAlign val="superscript"/>
        <sz val="11"/>
        <rFont val="Arial"/>
        <family val="2"/>
      </rPr>
      <t>4</t>
    </r>
  </si>
  <si>
    <r>
      <rPr>
        <vertAlign val="superscript"/>
        <sz val="11"/>
        <rFont val="Arial"/>
        <family val="2"/>
      </rPr>
      <t>5</t>
    </r>
    <r>
      <rPr>
        <sz val="11"/>
        <rFont val="Arial"/>
        <family val="2"/>
      </rPr>
      <t xml:space="preserve"> Emission Units 1 through 6, 7a, 7b, 7c, 51a, and 51b at Fort Wainwright (Privatized Emission Units) have emission control devices.</t>
    </r>
  </si>
  <si>
    <t>EU 1 through 6, EU 51a, and 51b have baghouses.  EU 7a through 7c have dust collectors.</t>
  </si>
  <si>
    <t>Additionally, the insignificant emission unit "fly and bottom ash bin vent filter" has a dust collector.</t>
  </si>
  <si>
    <t>Certified Engine</t>
  </si>
  <si>
    <t>1 hp</t>
  </si>
  <si>
    <t>Max Rating/Capacity</t>
  </si>
  <si>
    <t>Permit condition 23.1c</t>
  </si>
  <si>
    <t>g/kW-hr</t>
  </si>
  <si>
    <t>Derived PM2.5 from Filterable PM Testing, 2016</t>
  </si>
  <si>
    <t>AP-42 Emission Factors</t>
  </si>
  <si>
    <t>Section 1.1, 9/98</t>
  </si>
  <si>
    <t>Table 1.1.9</t>
  </si>
  <si>
    <t>lb/MMBTU</t>
  </si>
  <si>
    <t>PM 2.5, Stoker</t>
  </si>
  <si>
    <t>Table 1.1.4</t>
  </si>
  <si>
    <t>B</t>
  </si>
  <si>
    <t>PM, Filterable, Spreader Stoker, uncontrolled</t>
  </si>
  <si>
    <t>PM10 Filterable, Spreader Stoker, uncontrolled</t>
  </si>
  <si>
    <t>Table 1.1.5</t>
  </si>
  <si>
    <t>PM-Total Condensable, uncontrolled</t>
  </si>
  <si>
    <t>Sub bit heat content</t>
  </si>
  <si>
    <t>MMBTU/ton</t>
  </si>
  <si>
    <t>footnote e, table 1.1.5</t>
  </si>
  <si>
    <t>MACT 2016 Testing, Air Polllution Testing June 2016</t>
  </si>
  <si>
    <t>Unit 3</t>
  </si>
  <si>
    <t>Unit 4</t>
  </si>
  <si>
    <t>Unit 5</t>
  </si>
  <si>
    <t>Unit 6</t>
  </si>
  <si>
    <t>Unit 7</t>
  </si>
  <si>
    <t>Unit 8</t>
  </si>
  <si>
    <t>Average Filterable PM, lb/mmbtu</t>
  </si>
  <si>
    <t>Converting AP-42 data to lb/mmbtu using 20 MMBTU/ton per AP-42 notation</t>
  </si>
  <si>
    <t>lb/MMBtu</t>
  </si>
  <si>
    <t>Building 2089 - John Deere Engine - Manufacturer information used</t>
  </si>
  <si>
    <t>John Deere 2089 Engine (g/hp-hr)</t>
  </si>
  <si>
    <t>tpye</t>
  </si>
  <si>
    <t>tpyf</t>
  </si>
  <si>
    <t>Unknown</t>
  </si>
  <si>
    <t>Non Certified Engines (Emission factors in g/hp-hr)</t>
  </si>
  <si>
    <t xml:space="preserve">Cat 3512 - </t>
  </si>
  <si>
    <t>Nox+HC</t>
  </si>
  <si>
    <t>Cummins QSB7-G3 NR3 - Certified Engine (g/hp-hr)</t>
  </si>
  <si>
    <t>ton/year</t>
  </si>
  <si>
    <t>29a</t>
  </si>
  <si>
    <t>31a</t>
  </si>
  <si>
    <r>
      <t>Potential PM2.5 Emission</t>
    </r>
    <r>
      <rPr>
        <b/>
        <vertAlign val="superscript"/>
        <sz val="11"/>
        <rFont val="Arial"/>
        <family val="2"/>
      </rPr>
      <t>e</t>
    </r>
  </si>
  <si>
    <r>
      <rPr>
        <vertAlign val="superscript"/>
        <sz val="11"/>
        <color theme="1"/>
        <rFont val="Calibri"/>
        <family val="2"/>
        <scheme val="minor"/>
      </rPr>
      <t>e</t>
    </r>
    <r>
      <rPr>
        <sz val="11"/>
        <color theme="1"/>
        <rFont val="Calibri"/>
        <family val="2"/>
        <scheme val="minor"/>
      </rPr>
      <t xml:space="preserve"> Using the "Proposed Revisions to Fine Fraction Ratios Used for AP-42 Fugitive Dust Emission Factors" report authored by Chatten Cowherd, Jr., John Donaldson, and Robert Hegarty Midwest Research Institute, 425 Volker Blvd., Kansas City, MO 64110 ccowherd@mriresearch.org, in 2006, PM2.5 is calculated from these sources as 0.15*PM10.</t>
    </r>
  </si>
  <si>
    <r>
      <rPr>
        <vertAlign val="superscript"/>
        <sz val="11"/>
        <rFont val="Arial"/>
        <family val="2"/>
      </rPr>
      <t xml:space="preserve">c </t>
    </r>
    <r>
      <rPr>
        <sz val="11"/>
        <rFont val="Arial"/>
        <family val="2"/>
      </rPr>
      <t xml:space="preserve">Manufacturer's guarantee for particle sizes 2 microns in diameter and larger; PM2.5 estimate is conservative as the 15% ratio identified in note e uses PM10 as the basis.  </t>
    </r>
  </si>
  <si>
    <r>
      <t xml:space="preserve">Total </t>
    </r>
    <r>
      <rPr>
        <b/>
        <sz val="11"/>
        <color theme="1"/>
        <rFont val="Arial"/>
        <family val="2"/>
      </rPr>
      <t>Emissions</t>
    </r>
  </si>
  <si>
    <t>Maximum possible coal consumption per permit</t>
  </si>
  <si>
    <t>AP-42 11-19.2-2, truck loading conveyor crushed stone, 200% safety factor for "E" rating</t>
  </si>
  <si>
    <r>
      <t xml:space="preserve">Total </t>
    </r>
    <r>
      <rPr>
        <b/>
        <sz val="11"/>
        <color theme="1"/>
        <rFont val="Arial"/>
        <family val="2"/>
      </rPr>
      <t xml:space="preserve"> Emissions</t>
    </r>
  </si>
  <si>
    <t>AP-42, 1.1-9 using baghouse, 500% safety factor applied for "E" rating</t>
  </si>
  <si>
    <r>
      <rPr>
        <vertAlign val="superscript"/>
        <sz val="11"/>
        <rFont val="Arial"/>
        <family val="2"/>
      </rPr>
      <t>a</t>
    </r>
    <r>
      <rPr>
        <sz val="11"/>
        <rFont val="Arial"/>
        <family val="2"/>
      </rPr>
      <t xml:space="preserve"> Weighted Sulfur content, averaged over 2015-2016=0.13</t>
    </r>
  </si>
  <si>
    <t>tons/year</t>
  </si>
  <si>
    <t>Installation Date</t>
  </si>
  <si>
    <t>UNK</t>
  </si>
  <si>
    <t>Type of Service</t>
  </si>
  <si>
    <t>John Deere 4045TF290</t>
  </si>
  <si>
    <t>For certified engines, PM2.5 is conservatively estimated as the PM Emission Standard applicable to that engine.</t>
  </si>
  <si>
    <r>
      <t>Significant Emission Units Total Potential to Emit - PM</t>
    </r>
    <r>
      <rPr>
        <b/>
        <vertAlign val="subscript"/>
        <sz val="11"/>
        <rFont val="Arial"/>
        <family val="2"/>
      </rPr>
      <t>2.5</t>
    </r>
  </si>
  <si>
    <r>
      <t>Insignificant Emission Units Total  Potential to Emit - PM</t>
    </r>
    <r>
      <rPr>
        <b/>
        <vertAlign val="subscript"/>
        <sz val="11"/>
        <rFont val="Arial"/>
        <family val="2"/>
      </rPr>
      <t>2.5</t>
    </r>
  </si>
  <si>
    <r>
      <t>Federally-Enforceable Limits or PTE Limits</t>
    </r>
    <r>
      <rPr>
        <b/>
        <vertAlign val="superscript"/>
        <sz val="11"/>
        <rFont val="Arial"/>
        <family val="2"/>
      </rPr>
      <t xml:space="preserve"> g</t>
    </r>
  </si>
  <si>
    <r>
      <rPr>
        <vertAlign val="superscript"/>
        <sz val="11"/>
        <rFont val="Arial"/>
        <family val="2"/>
      </rPr>
      <t>1</t>
    </r>
    <r>
      <rPr>
        <sz val="11"/>
        <rFont val="Arial"/>
        <family val="2"/>
      </rPr>
      <t xml:space="preserve"> Emissions are potential to emit as limited by the facility's Permit and EPA Guidance.</t>
    </r>
  </si>
  <si>
    <r>
      <rPr>
        <vertAlign val="superscript"/>
        <sz val="11"/>
        <rFont val="Arial"/>
        <family val="2"/>
      </rPr>
      <t>2</t>
    </r>
    <r>
      <rPr>
        <sz val="11"/>
        <rFont val="Arial"/>
        <family val="2"/>
      </rPr>
      <t xml:space="preserve"> Regulated air pollutant calculations based on AP-42 emission factors, manufacturer data, source tests, and mass balances as shown in accompanying spreadsheets.</t>
    </r>
  </si>
  <si>
    <r>
      <t>Significant Emission Units Potential to Emit - NO</t>
    </r>
    <r>
      <rPr>
        <b/>
        <vertAlign val="subscript"/>
        <sz val="11"/>
        <rFont val="Arial"/>
        <family val="2"/>
      </rPr>
      <t>X</t>
    </r>
  </si>
  <si>
    <r>
      <t>Total Potential to Emit - NO</t>
    </r>
    <r>
      <rPr>
        <b/>
        <vertAlign val="subscript"/>
        <sz val="11"/>
        <rFont val="Arial"/>
        <family val="2"/>
      </rPr>
      <t>X</t>
    </r>
  </si>
  <si>
    <r>
      <t>Insignificant Emission Units Potential to Emit - NO</t>
    </r>
    <r>
      <rPr>
        <b/>
        <vertAlign val="subscript"/>
        <sz val="11"/>
        <rFont val="Arial"/>
        <family val="2"/>
      </rPr>
      <t>X</t>
    </r>
  </si>
  <si>
    <t xml:space="preserve">Table XXX. Potential to Emit Calculations - Emergency Coal Storage Pile PM2.5 </t>
  </si>
  <si>
    <r>
      <t>Insignificant Emission Units Potential to Emit - SO</t>
    </r>
    <r>
      <rPr>
        <b/>
        <vertAlign val="subscript"/>
        <sz val="11"/>
        <rFont val="Arial"/>
        <family val="2"/>
      </rPr>
      <t>2</t>
    </r>
  </si>
  <si>
    <r>
      <t>Total  Potential to Emit - SO</t>
    </r>
    <r>
      <rPr>
        <b/>
        <vertAlign val="subscript"/>
        <sz val="11"/>
        <rFont val="Arial"/>
        <family val="2"/>
      </rPr>
      <t>2</t>
    </r>
  </si>
  <si>
    <r>
      <t>Significant Emission Units Potential to Emit - SO</t>
    </r>
    <r>
      <rPr>
        <b/>
        <vertAlign val="subscript"/>
        <sz val="11"/>
        <rFont val="Arial"/>
        <family val="2"/>
      </rPr>
      <t>2</t>
    </r>
  </si>
  <si>
    <t>Doyon Utilities</t>
  </si>
  <si>
    <t>Coal Handling</t>
  </si>
  <si>
    <t>Emergency Engines and Generators</t>
  </si>
  <si>
    <t>Ash Handling</t>
  </si>
  <si>
    <t>Significant Units Total (TPY)</t>
  </si>
  <si>
    <t>Insignficant Unit Totals (TPY)</t>
  </si>
  <si>
    <t>Fuel Oil Boilers  (EU 8,9,10,40)</t>
  </si>
  <si>
    <r>
      <t>PM</t>
    </r>
    <r>
      <rPr>
        <b/>
        <vertAlign val="subscript"/>
        <sz val="10"/>
        <color indexed="17"/>
        <rFont val="Arial"/>
        <family val="2"/>
      </rPr>
      <t xml:space="preserve">10 </t>
    </r>
    <r>
      <rPr>
        <b/>
        <vertAlign val="superscript"/>
        <sz val="10"/>
        <color indexed="17"/>
        <rFont val="Arial"/>
        <family val="2"/>
      </rPr>
      <t>a</t>
    </r>
    <r>
      <rPr>
        <b/>
        <vertAlign val="subscript"/>
        <sz val="10"/>
        <color indexed="17"/>
        <rFont val="Arial"/>
        <family val="2"/>
      </rPr>
      <t xml:space="preserve"> </t>
    </r>
  </si>
  <si>
    <r>
      <rPr>
        <vertAlign val="superscript"/>
        <sz val="10"/>
        <rFont val="Arial"/>
        <family val="2"/>
      </rPr>
      <t xml:space="preserve">a  </t>
    </r>
    <r>
      <rPr>
        <sz val="10"/>
        <rFont val="Arial"/>
        <family val="2"/>
      </rPr>
      <t xml:space="preserve">PM </t>
    </r>
    <r>
      <rPr>
        <vertAlign val="subscript"/>
        <sz val="10"/>
        <rFont val="Arial"/>
        <family val="2"/>
      </rPr>
      <t>2.5</t>
    </r>
    <r>
      <rPr>
        <sz val="10"/>
        <rFont val="Arial"/>
        <family val="2"/>
      </rPr>
      <t xml:space="preserve"> is assumed to equal PM</t>
    </r>
    <r>
      <rPr>
        <vertAlign val="subscript"/>
        <sz val="10"/>
        <rFont val="Arial"/>
        <family val="2"/>
      </rPr>
      <t>10</t>
    </r>
    <r>
      <rPr>
        <sz val="10"/>
        <rFont val="Arial"/>
        <family val="2"/>
      </rPr>
      <t>.</t>
    </r>
  </si>
  <si>
    <t>Facility Total</t>
  </si>
  <si>
    <t>Total</t>
  </si>
  <si>
    <t>Doyon Utilities and Fort Wainwright  Garrison</t>
  </si>
  <si>
    <t>Fort Wainwright Garrison</t>
  </si>
  <si>
    <t>Emergency Engines</t>
  </si>
  <si>
    <t>Emergency Generators</t>
  </si>
  <si>
    <t>Mfg Information</t>
  </si>
  <si>
    <t>Make</t>
  </si>
  <si>
    <t>Year</t>
  </si>
  <si>
    <t>Status</t>
  </si>
  <si>
    <t>Annual Operating Limits (non-Emergency)</t>
  </si>
  <si>
    <t>Size (hp)</t>
  </si>
  <si>
    <t>DU</t>
  </si>
  <si>
    <t>FWA</t>
  </si>
  <si>
    <t>Location</t>
  </si>
  <si>
    <t xml:space="preserve">Proposed BACT </t>
  </si>
  <si>
    <t>Comply with 40 CFR 60 Subpart IIII</t>
  </si>
  <si>
    <t>Owner Requested Limit of 600 hours/12-month period cumulative for these three engines.</t>
  </si>
  <si>
    <t>Good Combustion Practices</t>
  </si>
  <si>
    <t>Cummins B3.3; SN 68011380</t>
  </si>
  <si>
    <t>Caterpillar 3406C TA; SN 4ZR04910</t>
  </si>
  <si>
    <t>Detroit R1237M36; SN 5352004032</t>
  </si>
  <si>
    <t>John Deere 6068TF250; SN PE6068T440136</t>
  </si>
  <si>
    <t>John Deere 6068HF150; SN PE6068H46179</t>
  </si>
  <si>
    <t>John Deere 4239D; SN T04239D226632</t>
  </si>
  <si>
    <t>Perkins 2046/1800; SN AK50724</t>
  </si>
  <si>
    <t>John Deere 6068HF150; SN PE6068H221858</t>
  </si>
  <si>
    <t>Cummins L634D-I/10386E; SN 53112605</t>
  </si>
  <si>
    <t>Cummins 4B3.9-G2: SN 46319490</t>
  </si>
  <si>
    <t>Cost/Ton Reduced</t>
  </si>
  <si>
    <t>$/hp</t>
  </si>
  <si>
    <t>PM2.5</t>
  </si>
  <si>
    <t>DPF Cost (CARB basis)</t>
  </si>
  <si>
    <t>DOC Cost (ODEQ basis)</t>
  </si>
  <si>
    <t>ODEQ Costs for DPF</t>
  </si>
  <si>
    <t>CARB DPF Costs</t>
  </si>
  <si>
    <t>CARB DPF Control</t>
  </si>
  <si>
    <t>ODEQ DPF Control</t>
  </si>
  <si>
    <t>ODEQ DOC Control</t>
  </si>
  <si>
    <t>ODEQ DOC cost</t>
  </si>
  <si>
    <t>$4000-$7500</t>
  </si>
  <si>
    <t>$1000-$2000</t>
  </si>
  <si>
    <t>max</t>
  </si>
  <si>
    <t>min</t>
  </si>
  <si>
    <t>ave</t>
  </si>
  <si>
    <t>ODEQ Clean Diesel Range, use average</t>
  </si>
  <si>
    <t>Waste Oil Boiler</t>
  </si>
  <si>
    <r>
      <rPr>
        <vertAlign val="superscript"/>
        <sz val="11"/>
        <rFont val="Arial"/>
        <family val="2"/>
      </rPr>
      <t>3</t>
    </r>
    <r>
      <rPr>
        <sz val="11"/>
        <rFont val="Arial"/>
        <family val="2"/>
      </rPr>
      <t xml:space="preserve"> PM</t>
    </r>
    <r>
      <rPr>
        <vertAlign val="subscript"/>
        <sz val="11"/>
        <rFont val="Arial"/>
        <family val="2"/>
      </rPr>
      <t>2.5</t>
    </r>
    <r>
      <rPr>
        <sz val="11"/>
        <rFont val="Arial"/>
        <family val="2"/>
      </rPr>
      <t xml:space="preserve"> emissions are assumed to be equal to PM</t>
    </r>
    <r>
      <rPr>
        <vertAlign val="subscript"/>
        <sz val="11"/>
        <rFont val="Arial"/>
        <family val="2"/>
      </rPr>
      <t>10</t>
    </r>
    <r>
      <rPr>
        <sz val="11"/>
        <rFont val="Arial"/>
        <family val="2"/>
      </rPr>
      <t xml:space="preserve"> emissions except as noted on Tables 4-7.</t>
    </r>
  </si>
  <si>
    <t>Emergency Boilers - assume 500 hours/year - Informational Only - These are Insignificant Sources within the Title V Permit.</t>
  </si>
  <si>
    <t>Significant Sources</t>
  </si>
  <si>
    <t>Insignficant Sources</t>
  </si>
  <si>
    <t>Limit fuel to ULSD.</t>
  </si>
  <si>
    <t>Ours is really 15.1 MMBTU/ton</t>
  </si>
  <si>
    <t>lb/mmbtu</t>
  </si>
  <si>
    <t>@15 mmbtu/ton</t>
  </si>
  <si>
    <t>Volumetric flow rate at MACT testing</t>
  </si>
  <si>
    <t>dscfm</t>
  </si>
  <si>
    <t>Fd</t>
  </si>
  <si>
    <t>dscf/MMBTU</t>
  </si>
  <si>
    <t>grain loading</t>
  </si>
  <si>
    <t>grain/dscf</t>
  </si>
  <si>
    <t>Conversion</t>
  </si>
  <si>
    <t xml:space="preserve">grain </t>
  </si>
  <si>
    <t>equals</t>
  </si>
  <si>
    <t>pounds</t>
  </si>
  <si>
    <t>PM emissions per grain loading guarantee</t>
  </si>
  <si>
    <t>lb/min/boiler stack</t>
  </si>
  <si>
    <t>lb/hr/stack</t>
  </si>
  <si>
    <t>Permit Limit in lb/MMBTU, Filterable PM</t>
  </si>
  <si>
    <t>Boiler Size, each</t>
  </si>
  <si>
    <t>MMBTU/hr</t>
  </si>
  <si>
    <t>Filterable PM limit, lb/hr</t>
  </si>
  <si>
    <t>PM2.5 proposed PTE</t>
  </si>
  <si>
    <t>lb/hr, annual average</t>
  </si>
  <si>
    <t>AP-42 CPM Total</t>
  </si>
  <si>
    <t>AP-42 PM2.5, Bit Coal, Baghouse Controlled</t>
  </si>
  <si>
    <t>SO2 emissions from Coal combustion at CHPP</t>
  </si>
  <si>
    <t>AP-42 emission factor, table 1.1-3</t>
  </si>
  <si>
    <t>35*%S by weight</t>
  </si>
  <si>
    <t>% S by weight</t>
  </si>
  <si>
    <t>lb/ton coal</t>
  </si>
  <si>
    <t>From CHPP data</t>
  </si>
  <si>
    <t>coal BTU content</t>
  </si>
  <si>
    <t>Btu/lb</t>
  </si>
  <si>
    <t>2016 average</t>
  </si>
  <si>
    <t xml:space="preserve">SO2 </t>
  </si>
  <si>
    <t>lb SO2/MMBTU</t>
  </si>
  <si>
    <r>
      <t xml:space="preserve">Factor </t>
    </r>
    <r>
      <rPr>
        <b/>
        <vertAlign val="superscript"/>
        <sz val="11"/>
        <rFont val="Arial"/>
        <family val="2"/>
      </rPr>
      <t>a</t>
    </r>
  </si>
  <si>
    <r>
      <t>Significant Emission Units Total Assessable Potential to Emit - PM</t>
    </r>
    <r>
      <rPr>
        <b/>
        <vertAlign val="subscript"/>
        <sz val="11"/>
        <rFont val="Arial"/>
        <family val="2"/>
      </rPr>
      <t>2.5</t>
    </r>
  </si>
  <si>
    <r>
      <t>Insignificant Emission Units Total Assessable Potential to Emit - PM</t>
    </r>
    <r>
      <rPr>
        <b/>
        <vertAlign val="subscript"/>
        <sz val="11"/>
        <rFont val="Arial"/>
        <family val="2"/>
      </rPr>
      <t>2.5</t>
    </r>
  </si>
  <si>
    <r>
      <t>Total Assessable Potential to Emit - PM</t>
    </r>
    <r>
      <rPr>
        <b/>
        <vertAlign val="subscript"/>
        <sz val="11"/>
        <rFont val="Arial"/>
        <family val="2"/>
      </rPr>
      <t>2.5</t>
    </r>
  </si>
  <si>
    <t>DPF Cost (ODEQ basis)</t>
  </si>
  <si>
    <t>PM Reduced (tpy)</t>
  </si>
  <si>
    <t>AP-42, Table 1.1-3</t>
  </si>
  <si>
    <r>
      <t>Significant Emission Units Total Assessable Potential to Emit - NO</t>
    </r>
    <r>
      <rPr>
        <b/>
        <vertAlign val="subscript"/>
        <sz val="11"/>
        <rFont val="Arial"/>
        <family val="2"/>
      </rPr>
      <t>X</t>
    </r>
  </si>
  <si>
    <r>
      <t>Insignificant Emission Units Total Assessable Potential to Emit - NO</t>
    </r>
    <r>
      <rPr>
        <b/>
        <vertAlign val="subscript"/>
        <sz val="11"/>
        <rFont val="Arial"/>
        <family val="2"/>
      </rPr>
      <t>X</t>
    </r>
  </si>
  <si>
    <r>
      <t>Total Assessable Potential to Emit - NO</t>
    </r>
    <r>
      <rPr>
        <b/>
        <vertAlign val="subscript"/>
        <sz val="11"/>
        <rFont val="Arial"/>
        <family val="2"/>
      </rPr>
      <t>X</t>
    </r>
  </si>
  <si>
    <t>Flow (dscfm)</t>
  </si>
  <si>
    <t>Fd (dscf/MMBTU)</t>
  </si>
  <si>
    <t>PM (gr/dscf)</t>
  </si>
  <si>
    <t>PM (lb/MMBTU)</t>
  </si>
  <si>
    <t xml:space="preserve">CPM (lb/MMBTU) </t>
  </si>
  <si>
    <t>O2 (%)</t>
  </si>
  <si>
    <t>Mt/Vmstd</t>
  </si>
  <si>
    <t>So, to convert back to gr/dscf assuming this CPM loading rate (see calculations from MACT report, page 124)</t>
  </si>
  <si>
    <t>mmbtu/hr</t>
  </si>
  <si>
    <t>Using the highest heat rating from Usibelli data (7200-8000) btu/lb</t>
  </si>
  <si>
    <t xml:space="preserve">AP-42 Table 1.1.3 with 25% control assumed by OFA and OT per table 1.1.2 (9/98).  </t>
  </si>
  <si>
    <t>AP-42 Table 1.1-3</t>
  </si>
  <si>
    <t>Wet Scrubber</t>
  </si>
  <si>
    <t>$/KW</t>
  </si>
  <si>
    <t>$/Kw</t>
  </si>
  <si>
    <t>capital low</t>
  </si>
  <si>
    <t>capital high</t>
  </si>
  <si>
    <t>cents/kwH</t>
  </si>
  <si>
    <t>operating low</t>
  </si>
  <si>
    <t>operating high</t>
  </si>
  <si>
    <t xml:space="preserve">MMBTU/hr </t>
  </si>
  <si>
    <t>total capacity</t>
  </si>
  <si>
    <t>$ capital low</t>
  </si>
  <si>
    <t>$ capital high</t>
  </si>
  <si>
    <t>btu/lb</t>
  </si>
  <si>
    <t>Usibelli Coal data sheet</t>
  </si>
  <si>
    <t>ton/yr</t>
  </si>
  <si>
    <t>coal combustion</t>
  </si>
  <si>
    <t>btu/kw</t>
  </si>
  <si>
    <t>CHPP data report</t>
  </si>
  <si>
    <t>BTU</t>
  </si>
  <si>
    <t>kWh</t>
  </si>
  <si>
    <t>$/year operating expense, high estimate</t>
  </si>
  <si>
    <t>$/year operating expense, low estimate</t>
  </si>
  <si>
    <t>Base case</t>
  </si>
  <si>
    <t>Control</t>
  </si>
  <si>
    <t>Removed</t>
  </si>
  <si>
    <t>$/ton</t>
  </si>
  <si>
    <t>Backup Generator Engine</t>
  </si>
  <si>
    <t xml:space="preserve">Source:  </t>
  </si>
  <si>
    <t xml:space="preserve">tpy </t>
  </si>
  <si>
    <r>
      <rPr>
        <vertAlign val="superscript"/>
        <sz val="11"/>
        <rFont val="Arial"/>
        <family val="2"/>
      </rPr>
      <t>a</t>
    </r>
    <r>
      <rPr>
        <sz val="11"/>
        <rFont val="Arial"/>
        <family val="2"/>
      </rPr>
      <t xml:space="preserve"> PM</t>
    </r>
    <r>
      <rPr>
        <vertAlign val="subscript"/>
        <sz val="11"/>
        <rFont val="Arial"/>
        <family val="2"/>
      </rPr>
      <t>2.5</t>
    </r>
    <r>
      <rPr>
        <sz val="11"/>
        <rFont val="Arial"/>
        <family val="2"/>
      </rPr>
      <t xml:space="preserve"> potential to emit calculations conservatively assumes that PM</t>
    </r>
    <r>
      <rPr>
        <vertAlign val="subscript"/>
        <sz val="11"/>
        <rFont val="Arial"/>
        <family val="2"/>
      </rPr>
      <t>2.5</t>
    </r>
    <r>
      <rPr>
        <sz val="11"/>
        <rFont val="Arial"/>
        <family val="2"/>
      </rPr>
      <t xml:space="preserve"> emissions are equal to PM</t>
    </r>
    <r>
      <rPr>
        <vertAlign val="subscript"/>
        <sz val="11"/>
        <rFont val="Arial"/>
        <family val="2"/>
      </rPr>
      <t>10</t>
    </r>
    <r>
      <rPr>
        <sz val="11"/>
        <rFont val="Arial"/>
        <family val="2"/>
      </rPr>
      <t xml:space="preserve"> emissions.</t>
    </r>
  </si>
  <si>
    <t>Filterable PM from "Source Emission Testing Report, Doyon Utilities LLC, June 15-20, 2016, Air Pollution Testing, Inc.</t>
  </si>
  <si>
    <t>MACTEC guidance on CPM emissions (to Mid Atlantic Regional Air Management Association) August 2008</t>
  </si>
  <si>
    <t>Total filterable PM - not just PM2.5</t>
  </si>
  <si>
    <t>Source:  Underlying data from Title V Renewal Permit Application.  Modifications to the calculations for the boilers is detailed in the BACT Submittal.</t>
  </si>
  <si>
    <t>AP-42, Tables 1.1-5 and 1.1-6</t>
  </si>
  <si>
    <t>See detailed calculations in Table D-1.7a in the Title V Renewal Permit Application</t>
  </si>
  <si>
    <t>Current Owner Requested Limit of 600 hours/12-month period cumulative for these three engines.</t>
  </si>
  <si>
    <r>
      <t>Table XX  --  Oxides of Nitrogen (NO</t>
    </r>
    <r>
      <rPr>
        <b/>
        <vertAlign val="subscript"/>
        <sz val="11"/>
        <rFont val="Arial"/>
        <family val="2"/>
      </rPr>
      <t>X</t>
    </r>
    <r>
      <rPr>
        <b/>
        <sz val="11"/>
        <rFont val="Arial"/>
        <family val="2"/>
      </rPr>
      <t>) Emissions - Base Case</t>
    </r>
  </si>
  <si>
    <r>
      <t>TableXXX. Revised  Oxides of Nitrogen (NO</t>
    </r>
    <r>
      <rPr>
        <b/>
        <vertAlign val="subscript"/>
        <sz val="11"/>
        <rFont val="Arial"/>
        <family val="2"/>
      </rPr>
      <t>X</t>
    </r>
    <r>
      <rPr>
        <b/>
        <sz val="11"/>
        <rFont val="Arial"/>
        <family val="2"/>
      </rPr>
      <t>) Emissions  - Proposed</t>
    </r>
  </si>
  <si>
    <r>
      <t>Table XXX.  Particulate Matter Less Than 2.5 Microns (PM</t>
    </r>
    <r>
      <rPr>
        <b/>
        <vertAlign val="subscript"/>
        <sz val="11"/>
        <rFont val="Arial"/>
        <family val="2"/>
      </rPr>
      <t>2.5</t>
    </r>
    <r>
      <rPr>
        <b/>
        <sz val="11"/>
        <rFont val="Arial"/>
        <family val="2"/>
      </rPr>
      <t>) Emissions - Base Case for BACT analysis</t>
    </r>
  </si>
  <si>
    <r>
      <t>Table xxx  Revised Particulate Matter Less Than 2.5 Microns (PM</t>
    </r>
    <r>
      <rPr>
        <b/>
        <vertAlign val="subscript"/>
        <sz val="11"/>
        <rFont val="Arial"/>
        <family val="2"/>
      </rPr>
      <t>2.5</t>
    </r>
    <r>
      <rPr>
        <b/>
        <sz val="11"/>
        <rFont val="Arial"/>
        <family val="2"/>
      </rPr>
      <t>) Emissions - Proposed</t>
    </r>
  </si>
  <si>
    <t>Calculated total CPM+FPM(lb/MMBTU)</t>
  </si>
  <si>
    <t>calculated total for CPM+FPM (gr/dscf)</t>
  </si>
  <si>
    <t>Uses confidence interval for the CPM data and 25% safety factor for the FPM testing data; additional safety factor present since testing was total filterable matter.</t>
  </si>
  <si>
    <t>Assumed:</t>
  </si>
  <si>
    <t>Heat Content of Coal</t>
  </si>
  <si>
    <t>BTU/lb</t>
  </si>
  <si>
    <t>Includes the confidence interval for CPM; additionally assumes the total FPM represents PM2.5</t>
  </si>
  <si>
    <t>CPM+FPM (lb/MMBTU)</t>
  </si>
  <si>
    <t>CPM+FPM (lb/ton)</t>
  </si>
  <si>
    <t>Notes</t>
  </si>
  <si>
    <t>MACT 2016 testing and MACTEC guidance on CPM emissions (to Mid Atlantic Regional Air Management Association) August 2008; See Excel Sheet "CPM and PM25 for CHPP Boilers"</t>
  </si>
  <si>
    <r>
      <t>Table xxx BACT Cost Estimates for Particulate Matter Less Than 2.5 Microns (PM</t>
    </r>
    <r>
      <rPr>
        <b/>
        <vertAlign val="subscript"/>
        <sz val="11"/>
        <rFont val="Arial"/>
        <family val="2"/>
      </rPr>
      <t>2.5</t>
    </r>
    <r>
      <rPr>
        <b/>
        <sz val="11"/>
        <rFont val="Arial"/>
        <family val="2"/>
      </rPr>
      <t>) Emissions from Engines</t>
    </r>
  </si>
  <si>
    <t>Table XXX  Coal Handling Systems PM2.5 - Base Case for BACT Analysis</t>
  </si>
  <si>
    <t>Table XXX.  - Ash Handling System PM2.5 - Base Case for BACT Analaysis</t>
  </si>
  <si>
    <r>
      <rPr>
        <vertAlign val="superscript"/>
        <sz val="11"/>
        <rFont val="Arial"/>
        <family val="2"/>
      </rPr>
      <t>d</t>
    </r>
    <r>
      <rPr>
        <sz val="11"/>
        <rFont val="Arial"/>
        <family val="2"/>
      </rPr>
      <t xml:space="preserve"> Maximum annual coal consumption, combined for Emissions Units 1 through 6, per AQ1121TVP01 Revision 3 Condition 11.1.</t>
    </r>
  </si>
  <si>
    <r>
      <rPr>
        <vertAlign val="superscript"/>
        <sz val="11"/>
        <rFont val="Arial"/>
        <family val="2"/>
      </rPr>
      <t>e</t>
    </r>
    <r>
      <rPr>
        <sz val="11"/>
        <rFont val="Arial"/>
        <family val="2"/>
      </rPr>
      <t xml:space="preserve"> Maximum annual operation for Emission Unit 8, per AQ1121TVP01 Revision 3 Condition 13.</t>
    </r>
  </si>
  <si>
    <r>
      <rPr>
        <vertAlign val="superscript"/>
        <sz val="11"/>
        <rFont val="Arial"/>
        <family val="2"/>
      </rPr>
      <t>f</t>
    </r>
    <r>
      <rPr>
        <sz val="11"/>
        <rFont val="Arial"/>
        <family val="2"/>
      </rPr>
      <t xml:space="preserve"> Annual operating hours for potential emissions are based on historical operating hours for emergency engines, EU IDs 9 through 37. Please refer to Table D-4.</t>
    </r>
  </si>
  <si>
    <r>
      <rPr>
        <vertAlign val="superscript"/>
        <sz val="11"/>
        <rFont val="Arial"/>
        <family val="2"/>
      </rPr>
      <t>g</t>
    </r>
    <r>
      <rPr>
        <sz val="11"/>
        <rFont val="Arial"/>
        <family val="2"/>
      </rPr>
      <t xml:space="preserve"> As calculated in Table D-1.7a</t>
    </r>
  </si>
  <si>
    <r>
      <rPr>
        <vertAlign val="superscript"/>
        <sz val="11"/>
        <rFont val="Arial"/>
        <family val="2"/>
      </rPr>
      <t>h</t>
    </r>
    <r>
      <rPr>
        <sz val="11"/>
        <rFont val="Arial"/>
        <family val="2"/>
      </rPr>
      <t xml:space="preserve"> As calculated in Table D-1.7b</t>
    </r>
  </si>
  <si>
    <r>
      <rPr>
        <vertAlign val="superscript"/>
        <sz val="11"/>
        <rFont val="Arial"/>
        <family val="2"/>
      </rPr>
      <t>i</t>
    </r>
    <r>
      <rPr>
        <sz val="11"/>
        <rFont val="Arial"/>
        <family val="2"/>
      </rPr>
      <t xml:space="preserve"> Multiple tanks, see Table D-1.3 for details</t>
    </r>
  </si>
  <si>
    <r>
      <rPr>
        <vertAlign val="superscript"/>
        <sz val="11"/>
        <rFont val="Arial"/>
        <family val="2"/>
      </rPr>
      <t>j</t>
    </r>
    <r>
      <rPr>
        <sz val="11"/>
        <rFont val="Arial"/>
        <family val="2"/>
      </rPr>
      <t xml:space="preserve"> As calculated in Table D-1.7c</t>
    </r>
  </si>
  <si>
    <r>
      <t>ton coal/year combined</t>
    </r>
    <r>
      <rPr>
        <vertAlign val="superscript"/>
        <sz val="11"/>
        <color theme="1"/>
        <rFont val="Arial"/>
        <family val="2"/>
      </rPr>
      <t xml:space="preserve"> d</t>
    </r>
  </si>
  <si>
    <r>
      <t xml:space="preserve">hr/yr </t>
    </r>
    <r>
      <rPr>
        <vertAlign val="superscript"/>
        <sz val="11"/>
        <color theme="1"/>
        <rFont val="Arial"/>
        <family val="2"/>
      </rPr>
      <t>g</t>
    </r>
  </si>
  <si>
    <r>
      <t xml:space="preserve">hr/yr </t>
    </r>
    <r>
      <rPr>
        <vertAlign val="superscript"/>
        <sz val="11"/>
        <color theme="1"/>
        <rFont val="Arial"/>
        <family val="2"/>
      </rPr>
      <t>e</t>
    </r>
  </si>
  <si>
    <r>
      <t>hr/yr</t>
    </r>
    <r>
      <rPr>
        <vertAlign val="superscript"/>
        <sz val="11"/>
        <color theme="1"/>
        <rFont val="Arial"/>
        <family val="2"/>
      </rPr>
      <t xml:space="preserve"> f</t>
    </r>
  </si>
  <si>
    <r>
      <t xml:space="preserve">hr/yr </t>
    </r>
    <r>
      <rPr>
        <vertAlign val="superscript"/>
        <sz val="11"/>
        <color theme="1"/>
        <rFont val="Arial"/>
        <family val="2"/>
      </rPr>
      <t>h</t>
    </r>
  </si>
  <si>
    <r>
      <t>tpy</t>
    </r>
    <r>
      <rPr>
        <vertAlign val="superscript"/>
        <sz val="11"/>
        <color theme="1"/>
        <rFont val="Arial"/>
        <family val="2"/>
      </rPr>
      <t xml:space="preserve"> j</t>
    </r>
  </si>
  <si>
    <t>Significant Emission Unit Parameters - Base Case</t>
  </si>
  <si>
    <t xml:space="preserve">Source Test, 2003 </t>
  </si>
  <si>
    <r>
      <rPr>
        <vertAlign val="superscript"/>
        <sz val="11"/>
        <rFont val="Arial"/>
        <family val="2"/>
      </rPr>
      <t>a</t>
    </r>
    <r>
      <rPr>
        <sz val="11"/>
        <rFont val="Arial"/>
        <family val="2"/>
      </rPr>
      <t xml:space="preserve"> Annual operating hours:</t>
    </r>
  </si>
  <si>
    <t>Maximum allowable coal consumption</t>
  </si>
  <si>
    <t>Conveyor operation rate</t>
  </si>
  <si>
    <t>tph</t>
  </si>
  <si>
    <t>Annual operating hours for coal handling</t>
  </si>
  <si>
    <t>Underbunker dust collector operating hours</t>
  </si>
  <si>
    <t>hrs/yr, used only when emptying coal bunker for unscheduled boiler shutdown or bunker fire</t>
  </si>
  <si>
    <r>
      <rPr>
        <vertAlign val="superscript"/>
        <sz val="11"/>
        <color theme="1"/>
        <rFont val="Arial"/>
        <family val="2"/>
      </rPr>
      <t xml:space="preserve">d </t>
    </r>
    <r>
      <rPr>
        <sz val="11"/>
        <color theme="1"/>
        <rFont val="Arial"/>
        <family val="2"/>
      </rPr>
      <t>To estimate uncontrolled emission factor, an estimated of 95% efficiency for dust collection filters was used.  Controlled emissions are expected to be significantly less than the potential emission listed.</t>
    </r>
  </si>
  <si>
    <r>
      <t>hr/yr</t>
    </r>
    <r>
      <rPr>
        <vertAlign val="superscript"/>
        <sz val="11"/>
        <rFont val="Arial"/>
        <family val="2"/>
      </rPr>
      <t xml:space="preserve"> f</t>
    </r>
  </si>
  <si>
    <r>
      <rPr>
        <vertAlign val="superscript"/>
        <sz val="11"/>
        <color theme="1"/>
        <rFont val="Arial"/>
        <family val="2"/>
      </rPr>
      <t>f</t>
    </r>
    <r>
      <rPr>
        <sz val="11"/>
        <color theme="1"/>
        <rFont val="Arial"/>
        <family val="2"/>
      </rPr>
      <t xml:space="preserve"> Average run time for DC-1 and DC-2 is 12 hours/day per reasonable inquiry of plant operations</t>
    </r>
  </si>
  <si>
    <r>
      <rPr>
        <vertAlign val="superscript"/>
        <sz val="11"/>
        <rFont val="Arial"/>
        <family val="2"/>
      </rPr>
      <t>g</t>
    </r>
    <r>
      <rPr>
        <sz val="11"/>
        <rFont val="Arial"/>
        <family val="2"/>
      </rPr>
      <t xml:space="preserve"> Operation of ash bin vent filter assumed to be the same as the dust collectors</t>
    </r>
  </si>
  <si>
    <r>
      <t>hr/yr</t>
    </r>
    <r>
      <rPr>
        <vertAlign val="superscript"/>
        <sz val="11"/>
        <rFont val="Arial"/>
        <family val="2"/>
      </rPr>
      <t xml:space="preserve"> g</t>
    </r>
  </si>
  <si>
    <t>See detailed calculations in Table Coal Prep 7a 7b 7c</t>
  </si>
  <si>
    <t>See detailed calculations in Table DU Ash Handling</t>
  </si>
  <si>
    <t>See detailed calculations in Table DU Coal Pile</t>
  </si>
  <si>
    <r>
      <rPr>
        <vertAlign val="superscript"/>
        <sz val="11"/>
        <rFont val="Arial"/>
        <family val="2"/>
      </rPr>
      <t>a</t>
    </r>
    <r>
      <rPr>
        <sz val="11"/>
        <rFont val="Arial"/>
        <family val="2"/>
      </rPr>
      <t xml:space="preserve"> PM</t>
    </r>
    <r>
      <rPr>
        <vertAlign val="subscript"/>
        <sz val="11"/>
        <rFont val="Arial"/>
        <family val="2"/>
      </rPr>
      <t>2.5</t>
    </r>
    <r>
      <rPr>
        <sz val="11"/>
        <rFont val="Arial"/>
        <family val="2"/>
      </rPr>
      <t xml:space="preserve"> potential to emit calculations for all emission units other than 1 through 6, 7a through 7c, 51a, 51b, and 52 conservatively assume that PM</t>
    </r>
    <r>
      <rPr>
        <vertAlign val="subscript"/>
        <sz val="11"/>
        <rFont val="Arial"/>
        <family val="2"/>
      </rPr>
      <t>2.5</t>
    </r>
    <r>
      <rPr>
        <sz val="11"/>
        <rFont val="Arial"/>
        <family val="2"/>
      </rPr>
      <t xml:space="preserve"> emissions are equal to PM</t>
    </r>
    <r>
      <rPr>
        <vertAlign val="subscript"/>
        <sz val="11"/>
        <rFont val="Arial"/>
        <family val="2"/>
      </rPr>
      <t>10</t>
    </r>
    <r>
      <rPr>
        <sz val="11"/>
        <rFont val="Arial"/>
        <family val="2"/>
      </rPr>
      <t xml:space="preserve"> emissions.</t>
    </r>
  </si>
  <si>
    <t>See detailed calculations in Table D-1.7b of Title V Renewal Permit Application</t>
  </si>
  <si>
    <t>See detailed calculations in Table D-1.7c of Title V Renewal Permit Application</t>
  </si>
  <si>
    <t>Usibelli Coal Data sheet indicates range between 0.08 and 0.28% gross as received.  http://www.usibelli.com/coal/data-sheet, accessed June 8, 2017</t>
  </si>
  <si>
    <r>
      <t>Table xxx  Sulfur Dioxide (SO</t>
    </r>
    <r>
      <rPr>
        <b/>
        <vertAlign val="subscript"/>
        <sz val="11"/>
        <rFont val="Arial"/>
        <family val="2"/>
      </rPr>
      <t>2</t>
    </r>
    <r>
      <rPr>
        <b/>
        <sz val="11"/>
        <rFont val="Arial"/>
        <family val="2"/>
      </rPr>
      <t>) Emissions - Base Case</t>
    </r>
  </si>
  <si>
    <r>
      <t>Table xxx  Sulfur Dioxide (SO</t>
    </r>
    <r>
      <rPr>
        <b/>
        <vertAlign val="subscript"/>
        <sz val="11"/>
        <rFont val="Arial"/>
        <family val="2"/>
      </rPr>
      <t>2</t>
    </r>
    <r>
      <rPr>
        <b/>
        <sz val="11"/>
        <rFont val="Arial"/>
        <family val="2"/>
      </rPr>
      <t xml:space="preserve">) Emissions - Propsed </t>
    </r>
  </si>
  <si>
    <t>Source:  Andreas Poullikkas, "Review of Design, Operating, and Financial Considerations in Flue Gas Desulfurization Systems" Energy Technology and Policy, June 2015</t>
  </si>
  <si>
    <t>Semi Dry System</t>
  </si>
  <si>
    <t>Back up Generator Engine</t>
  </si>
  <si>
    <t>Source:  Doyon Title V Renewal Permit Application,  D-1.5</t>
  </si>
  <si>
    <r>
      <rPr>
        <vertAlign val="superscript"/>
        <sz val="11"/>
        <rFont val="Arial"/>
        <family val="2"/>
      </rPr>
      <t>3</t>
    </r>
    <r>
      <rPr>
        <sz val="11"/>
        <rFont val="Arial"/>
        <family val="2"/>
      </rPr>
      <t xml:space="preserve"> PM</t>
    </r>
    <r>
      <rPr>
        <vertAlign val="subscript"/>
        <sz val="11"/>
        <rFont val="Arial"/>
        <family val="2"/>
      </rPr>
      <t>2.5</t>
    </r>
    <r>
      <rPr>
        <sz val="11"/>
        <rFont val="Arial"/>
        <family val="2"/>
      </rPr>
      <t xml:space="preserve"> emissions are assumed to be equal to PM</t>
    </r>
    <r>
      <rPr>
        <vertAlign val="subscript"/>
        <sz val="11"/>
        <rFont val="Arial"/>
        <family val="2"/>
      </rPr>
      <t>10</t>
    </r>
    <r>
      <rPr>
        <sz val="11"/>
        <rFont val="Arial"/>
        <family val="2"/>
      </rPr>
      <t xml:space="preserve"> emissions except as noted on Tables XXX</t>
    </r>
  </si>
  <si>
    <t>Coal Pile</t>
  </si>
  <si>
    <t>Good Housekeeping Practices</t>
  </si>
  <si>
    <t>DU Title V Renewal Permit Application, May 2013</t>
  </si>
  <si>
    <t>Original Source:  Table D-1.7b Ash Handling, Title V Renewal Permit Application, May 2013</t>
  </si>
  <si>
    <t>Original Source:  Title V Renewal Permit Application, Table D-1.10 SO2, May 2013</t>
  </si>
  <si>
    <t>Original Source:  Table D 1.7a of Title V Renewal Permit Application, May 2013</t>
  </si>
  <si>
    <t>Original Source:  Title V Renewal Permit Application Table D-1.7c, May 2013</t>
  </si>
  <si>
    <t>Source:  Doyon Title V Renewal Permit Application,  D-1.5, May 2013</t>
  </si>
  <si>
    <r>
      <rPr>
        <vertAlign val="superscript"/>
        <sz val="11"/>
        <rFont val="Arial"/>
        <family val="2"/>
      </rPr>
      <t>a</t>
    </r>
    <r>
      <rPr>
        <sz val="11"/>
        <rFont val="Arial"/>
        <family val="2"/>
      </rPr>
      <t xml:space="preserve"> PM</t>
    </r>
    <r>
      <rPr>
        <vertAlign val="subscript"/>
        <sz val="11"/>
        <rFont val="Arial"/>
        <family val="2"/>
      </rPr>
      <t>2.5</t>
    </r>
    <r>
      <rPr>
        <sz val="11"/>
        <rFont val="Arial"/>
        <family val="2"/>
      </rPr>
      <t xml:space="preserve"> potential to emit calculations for all emission units (other than 1 through 6, 7a through 7c, 51a and 51b) conservatively assume that PM</t>
    </r>
    <r>
      <rPr>
        <vertAlign val="subscript"/>
        <sz val="11"/>
        <rFont val="Arial"/>
        <family val="2"/>
      </rPr>
      <t>2.5</t>
    </r>
    <r>
      <rPr>
        <sz val="11"/>
        <rFont val="Arial"/>
        <family val="2"/>
      </rPr>
      <t xml:space="preserve"> emissions are equal to PM</t>
    </r>
    <r>
      <rPr>
        <vertAlign val="subscript"/>
        <sz val="11"/>
        <rFont val="Arial"/>
        <family val="2"/>
      </rPr>
      <t>10</t>
    </r>
    <r>
      <rPr>
        <sz val="11"/>
        <rFont val="Arial"/>
        <family val="2"/>
      </rPr>
      <t xml:space="preserve"> emissions.</t>
    </r>
  </si>
  <si>
    <t>Original Source:  Table D-1.8 from Title V Renewal Permit Application, May 2013; this table reflects greater emissions of PM2.5 than was included in the Title V Renewal Permit Application as a result of using 500 hours/year for emergency engines rather than 100 hours/year.</t>
  </si>
  <si>
    <t>Table 1a   Emissions Summary - Base Case</t>
  </si>
  <si>
    <t>Table 1b  Emission Summary - As Proposed</t>
  </si>
  <si>
    <t>Source:  From D1 and D2 Revised 080913.xls provided 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</si>
</sst>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_(&quot;$&quot;* \(#,##0.00\);_(&quot;$&quot;* &quot;-&quot;??_);_(@_)"/>
    <numFmt numFmtId="43" formatCode="_(* #,##0.00_);_(* \(#,##0.00\);_(* &quot;-&quot;??_);_(@_)"/>
    <numFmt numFmtId="164" formatCode="#,##0.0"/>
    <numFmt numFmtId="165" formatCode="0.0"/>
    <numFmt numFmtId="166" formatCode="0.000"/>
    <numFmt numFmtId="167" formatCode="0.0E+00"/>
    <numFmt numFmtId="168" formatCode="0.00000"/>
    <numFmt numFmtId="169" formatCode="_(* #,##0_);_(* \(#,##0\);_(* &quot;-&quot;??_);_(@_)"/>
    <numFmt numFmtId="170" formatCode="#,##0.000"/>
    <numFmt numFmtId="171" formatCode="0.0000"/>
    <numFmt numFmtId="172" formatCode="000"/>
    <numFmt numFmtId="173" formatCode="[$-409]mmm\-yy;@"/>
    <numFmt numFmtId="174" formatCode="&quot;$&quot;#,##0"/>
    <numFmt numFmtId="175" formatCode="0E+00"/>
    <numFmt numFmtId="176" formatCode="_(&quot;$&quot;* #,##0_);_(&quot;$&quot;* \(#,##0\);_(&quot;$&quot;* &quot;-&quot;??_);_(@_)"/>
  </numFmts>
  <fonts count="80" x14ac:knownFonts="1">
    <font>
      <sz val="11"/>
      <color theme="1"/>
      <name val="Calibri"/>
      <family val="2"/>
      <scheme val="minor"/>
    </font>
    <font>
      <b/>
      <sz val="11"/>
      <color theme="1"/>
      <name val="Calibri"/>
      <family val="2"/>
      <scheme val="minor"/>
    </font>
    <font>
      <b/>
      <sz val="12"/>
      <color theme="0"/>
      <name val="Calibri"/>
      <family val="2"/>
      <scheme val="minor"/>
    </font>
    <font>
      <i/>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2"/>
      <name val="Arial"/>
      <family val="2"/>
    </font>
    <font>
      <b/>
      <sz val="10"/>
      <color indexed="20"/>
      <name val="Arial"/>
      <family val="2"/>
    </font>
    <font>
      <sz val="10"/>
      <color indexed="20"/>
      <name val="Arial"/>
      <family val="2"/>
    </font>
    <font>
      <sz val="10"/>
      <name val="Arial"/>
      <family val="2"/>
    </font>
    <font>
      <b/>
      <sz val="10"/>
      <name val="Arial"/>
      <family val="2"/>
    </font>
    <font>
      <b/>
      <sz val="10"/>
      <color indexed="12"/>
      <name val="Arial"/>
      <family val="2"/>
    </font>
    <font>
      <sz val="10"/>
      <color indexed="12"/>
      <name val="Arial"/>
      <family val="2"/>
    </font>
    <font>
      <b/>
      <vertAlign val="superscript"/>
      <sz val="10"/>
      <color indexed="12"/>
      <name val="Arial"/>
      <family val="2"/>
    </font>
    <font>
      <b/>
      <vertAlign val="subscript"/>
      <sz val="10"/>
      <color indexed="12"/>
      <name val="Arial"/>
      <family val="2"/>
    </font>
    <font>
      <vertAlign val="superscript"/>
      <sz val="10"/>
      <color indexed="12"/>
      <name val="Arial"/>
      <family val="2"/>
    </font>
    <font>
      <b/>
      <u/>
      <sz val="10"/>
      <color indexed="12"/>
      <name val="Arial"/>
      <family val="2"/>
    </font>
    <font>
      <b/>
      <sz val="10"/>
      <color indexed="17"/>
      <name val="Arial"/>
      <family val="2"/>
    </font>
    <font>
      <sz val="10"/>
      <color indexed="17"/>
      <name val="Arial"/>
      <family val="2"/>
    </font>
    <font>
      <b/>
      <vertAlign val="subscript"/>
      <sz val="10"/>
      <color indexed="17"/>
      <name val="Arial"/>
      <family val="2"/>
    </font>
    <font>
      <b/>
      <sz val="10"/>
      <color rgb="FF008000"/>
      <name val="Arial"/>
      <family val="2"/>
    </font>
    <font>
      <b/>
      <vertAlign val="subscript"/>
      <sz val="10"/>
      <color rgb="FF008000"/>
      <name val="Arial"/>
      <family val="2"/>
    </font>
    <font>
      <sz val="10"/>
      <color theme="1"/>
      <name val="Calibri"/>
      <family val="2"/>
      <scheme val="minor"/>
    </font>
    <font>
      <sz val="10"/>
      <color rgb="FF008000"/>
      <name val="Arial"/>
      <family val="2"/>
    </font>
    <font>
      <sz val="10"/>
      <color indexed="10"/>
      <name val="Arial"/>
      <family val="2"/>
    </font>
    <font>
      <vertAlign val="superscript"/>
      <sz val="9"/>
      <color indexed="12"/>
      <name val="Arial"/>
      <family val="2"/>
    </font>
    <font>
      <sz val="9"/>
      <color indexed="12"/>
      <name val="Arial"/>
      <family val="2"/>
    </font>
    <font>
      <vertAlign val="superscript"/>
      <sz val="10"/>
      <color rgb="FF0000FF"/>
      <name val="Arial"/>
      <family val="2"/>
    </font>
    <font>
      <sz val="10"/>
      <color rgb="FF0000FF"/>
      <name val="Arial"/>
      <family val="2"/>
    </font>
    <font>
      <vertAlign val="subscript"/>
      <sz val="10"/>
      <color rgb="FF0000FF"/>
      <name val="Arial"/>
      <family val="2"/>
    </font>
    <font>
      <b/>
      <vertAlign val="superscript"/>
      <sz val="10"/>
      <color indexed="17"/>
      <name val="Arial"/>
      <family val="2"/>
    </font>
    <font>
      <sz val="11"/>
      <name val="Arial"/>
      <family val="2"/>
    </font>
    <font>
      <vertAlign val="superscript"/>
      <sz val="10"/>
      <color rgb="FF008000"/>
      <name val="Arial"/>
      <family val="2"/>
    </font>
    <font>
      <sz val="10"/>
      <color rgb="FF009900"/>
      <name val="Arial"/>
      <family val="2"/>
    </font>
    <font>
      <b/>
      <sz val="10"/>
      <color rgb="FF0000FF"/>
      <name val="Arial"/>
      <family val="2"/>
    </font>
    <font>
      <sz val="9"/>
      <color indexed="17"/>
      <name val="Arial"/>
      <family val="2"/>
    </font>
    <font>
      <b/>
      <sz val="11"/>
      <color theme="1"/>
      <name val="Arial"/>
      <family val="2"/>
    </font>
    <font>
      <sz val="10"/>
      <color theme="1"/>
      <name val="Arial"/>
      <family val="2"/>
    </font>
    <font>
      <sz val="9"/>
      <color indexed="20"/>
      <name val="Arial"/>
      <family val="2"/>
    </font>
    <font>
      <b/>
      <vertAlign val="superscript"/>
      <sz val="10"/>
      <color rgb="FF0000FF"/>
      <name val="Arial"/>
      <family val="2"/>
    </font>
    <font>
      <b/>
      <vertAlign val="subscript"/>
      <sz val="10"/>
      <color rgb="FF0000FF"/>
      <name val="Arial"/>
      <family val="2"/>
    </font>
    <font>
      <b/>
      <u/>
      <sz val="10"/>
      <color rgb="FF0000FF"/>
      <name val="Arial"/>
      <family val="2"/>
    </font>
    <font>
      <b/>
      <sz val="10"/>
      <color theme="1"/>
      <name val="Arial"/>
      <family val="2"/>
    </font>
    <font>
      <b/>
      <sz val="8"/>
      <name val="Arial"/>
      <family val="2"/>
    </font>
    <font>
      <sz val="8"/>
      <name val="Arial"/>
      <family val="2"/>
    </font>
    <font>
      <vertAlign val="superscript"/>
      <sz val="8"/>
      <name val="Arial"/>
      <family val="2"/>
    </font>
    <font>
      <vertAlign val="subscript"/>
      <sz val="8"/>
      <name val="Arial"/>
      <family val="2"/>
    </font>
    <font>
      <b/>
      <sz val="12"/>
      <name val="Arial"/>
      <family val="2"/>
    </font>
    <font>
      <sz val="10"/>
      <name val="Times New Roman"/>
      <family val="1"/>
    </font>
    <font>
      <b/>
      <sz val="11"/>
      <name val="Arial"/>
      <family val="2"/>
    </font>
    <font>
      <sz val="11"/>
      <color theme="1"/>
      <name val="Arial"/>
      <family val="2"/>
    </font>
    <font>
      <sz val="11"/>
      <name val="Times New Roman"/>
      <family val="1"/>
    </font>
    <font>
      <vertAlign val="superscript"/>
      <sz val="11"/>
      <color theme="1"/>
      <name val="Arial"/>
      <family val="2"/>
    </font>
    <font>
      <vertAlign val="superscript"/>
      <sz val="11"/>
      <name val="Arial"/>
      <family val="2"/>
    </font>
    <font>
      <sz val="11"/>
      <color rgb="FFFF0000"/>
      <name val="Times New Roman"/>
      <family val="1"/>
    </font>
    <font>
      <b/>
      <sz val="10"/>
      <name val="Times New Roman"/>
      <family val="1"/>
    </font>
    <font>
      <b/>
      <vertAlign val="subscript"/>
      <sz val="11"/>
      <name val="Arial"/>
      <family val="2"/>
    </font>
    <font>
      <sz val="10"/>
      <name val="Helv"/>
    </font>
    <font>
      <sz val="11"/>
      <color rgb="FFFF0000"/>
      <name val="Arial"/>
      <family val="2"/>
    </font>
    <font>
      <i/>
      <sz val="11"/>
      <name val="Arial"/>
      <family val="2"/>
    </font>
    <font>
      <b/>
      <vertAlign val="superscript"/>
      <sz val="11"/>
      <name val="Arial"/>
      <family val="2"/>
    </font>
    <font>
      <b/>
      <sz val="11"/>
      <color indexed="18"/>
      <name val="Arial"/>
      <family val="2"/>
    </font>
    <font>
      <vertAlign val="subscript"/>
      <sz val="11"/>
      <color theme="1"/>
      <name val="Arial"/>
      <family val="2"/>
    </font>
    <font>
      <sz val="12"/>
      <name val="Times New Roman"/>
      <family val="1"/>
    </font>
    <font>
      <vertAlign val="subscript"/>
      <sz val="11"/>
      <name val="Arial"/>
      <family val="2"/>
    </font>
    <font>
      <sz val="10"/>
      <color rgb="FFFF0000"/>
      <name val="Arial"/>
      <family val="2"/>
    </font>
    <font>
      <vertAlign val="superscript"/>
      <sz val="10"/>
      <name val="Arial"/>
      <family val="2"/>
    </font>
    <font>
      <sz val="11"/>
      <color rgb="FF000000"/>
      <name val="Arial"/>
      <family val="2"/>
    </font>
    <font>
      <vertAlign val="superscript"/>
      <sz val="11"/>
      <color rgb="FF000000"/>
      <name val="Arial"/>
      <family val="2"/>
    </font>
    <font>
      <vertAlign val="subscript"/>
      <sz val="11"/>
      <color rgb="FF000000"/>
      <name val="Arial"/>
      <family val="2"/>
    </font>
    <font>
      <u/>
      <sz val="11"/>
      <name val="Arial"/>
      <family val="2"/>
    </font>
    <font>
      <vertAlign val="superscript"/>
      <sz val="11"/>
      <color theme="1"/>
      <name val="Calibri"/>
      <family val="2"/>
      <scheme val="minor"/>
    </font>
    <font>
      <vertAlign val="subscript"/>
      <sz val="10"/>
      <name val="Arial"/>
      <family val="2"/>
    </font>
    <font>
      <sz val="10"/>
      <name val="Arial"/>
      <family val="2"/>
    </font>
    <font>
      <b/>
      <sz val="11"/>
      <name val="Calibri"/>
      <family val="2"/>
      <scheme val="minor"/>
    </font>
    <font>
      <sz val="11"/>
      <name val="Calibri"/>
      <family val="2"/>
      <scheme val="minor"/>
    </font>
    <font>
      <sz val="9"/>
      <name val="Arial"/>
      <family val="2"/>
    </font>
    <font>
      <sz val="11"/>
      <color rgb="FFFF0000"/>
      <name val="Calibri"/>
      <family val="2"/>
      <scheme val="minor"/>
    </font>
    <font>
      <b/>
      <sz val="11"/>
      <color rgb="FFFF0000"/>
      <name val="Calibri"/>
      <family val="2"/>
      <scheme val="minor"/>
    </font>
  </fonts>
  <fills count="1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45"/>
        <bgColor indexed="64"/>
      </patternFill>
    </fill>
    <fill>
      <patternFill patternType="solid">
        <fgColor rgb="FFFF99CC"/>
        <bgColor indexed="64"/>
      </patternFill>
    </fill>
    <fill>
      <patternFill patternType="solid">
        <fgColor indexed="44"/>
        <bgColor indexed="64"/>
      </patternFill>
    </fill>
    <fill>
      <patternFill patternType="solid">
        <fgColor rgb="FF99CCFF"/>
        <bgColor indexed="64"/>
      </patternFill>
    </fill>
    <fill>
      <patternFill patternType="solid">
        <fgColor indexed="42"/>
        <bgColor indexed="64"/>
      </patternFill>
    </fill>
    <fill>
      <patternFill patternType="solid">
        <fgColor rgb="FFCCFFCC"/>
        <bgColor indexed="64"/>
      </patternFill>
    </fill>
    <fill>
      <patternFill patternType="solid">
        <fgColor theme="6" tint="0.59999389629810485"/>
        <bgColor indexed="64"/>
      </patternFill>
    </fill>
    <fill>
      <patternFill patternType="solid">
        <fgColor theme="4" tint="0.79998168889431442"/>
        <bgColor indexed="64"/>
      </patternFill>
    </fill>
    <fill>
      <patternFill patternType="gray0625"/>
    </fill>
    <fill>
      <patternFill patternType="solid">
        <fgColor theme="0" tint="-0.14999847407452621"/>
        <bgColor indexed="64"/>
      </patternFill>
    </fill>
    <fill>
      <patternFill patternType="solid">
        <fgColor theme="6" tint="0.59996337778862885"/>
        <bgColor indexed="64"/>
      </patternFill>
    </fill>
  </fills>
  <borders count="2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20"/>
      </left>
      <right/>
      <top style="double">
        <color indexed="20"/>
      </top>
      <bottom/>
      <diagonal/>
    </border>
    <border>
      <left/>
      <right/>
      <top style="double">
        <color indexed="20"/>
      </top>
      <bottom/>
      <diagonal/>
    </border>
    <border>
      <left/>
      <right style="thin">
        <color indexed="20"/>
      </right>
      <top style="double">
        <color indexed="20"/>
      </top>
      <bottom/>
      <diagonal/>
    </border>
    <border>
      <left style="thin">
        <color indexed="20"/>
      </left>
      <right/>
      <top style="double">
        <color indexed="20"/>
      </top>
      <bottom/>
      <diagonal/>
    </border>
    <border>
      <left/>
      <right style="double">
        <color indexed="20"/>
      </right>
      <top style="double">
        <color indexed="20"/>
      </top>
      <bottom/>
      <diagonal/>
    </border>
    <border>
      <left style="double">
        <color indexed="20"/>
      </left>
      <right/>
      <top style="double">
        <color rgb="FF800080"/>
      </top>
      <bottom style="double">
        <color rgb="FF800080"/>
      </bottom>
      <diagonal/>
    </border>
    <border>
      <left/>
      <right/>
      <top style="double">
        <color rgb="FF800080"/>
      </top>
      <bottom style="double">
        <color rgb="FF800080"/>
      </bottom>
      <diagonal/>
    </border>
    <border>
      <left/>
      <right style="thin">
        <color indexed="20"/>
      </right>
      <top style="double">
        <color rgb="FF800080"/>
      </top>
      <bottom style="double">
        <color rgb="FF800080"/>
      </bottom>
      <diagonal/>
    </border>
    <border>
      <left style="thin">
        <color indexed="20"/>
      </left>
      <right/>
      <top style="double">
        <color rgb="FF800080"/>
      </top>
      <bottom style="double">
        <color rgb="FF800080"/>
      </bottom>
      <diagonal/>
    </border>
    <border>
      <left/>
      <right style="double">
        <color indexed="20"/>
      </right>
      <top style="double">
        <color rgb="FF800080"/>
      </top>
      <bottom style="double">
        <color rgb="FF800080"/>
      </bottom>
      <diagonal/>
    </border>
    <border>
      <left/>
      <right/>
      <top/>
      <bottom style="double">
        <color rgb="FF0000FF"/>
      </bottom>
      <diagonal/>
    </border>
    <border>
      <left style="double">
        <color indexed="12"/>
      </left>
      <right/>
      <top style="double">
        <color indexed="12"/>
      </top>
      <bottom style="double">
        <color rgb="FF0000FF"/>
      </bottom>
      <diagonal/>
    </border>
    <border>
      <left/>
      <right/>
      <top style="double">
        <color indexed="12"/>
      </top>
      <bottom style="double">
        <color rgb="FF0000FF"/>
      </bottom>
      <diagonal/>
    </border>
    <border>
      <left style="thin">
        <color indexed="12"/>
      </left>
      <right style="thin">
        <color indexed="12"/>
      </right>
      <top style="double">
        <color indexed="12"/>
      </top>
      <bottom style="double">
        <color rgb="FF0000FF"/>
      </bottom>
      <diagonal/>
    </border>
    <border>
      <left style="thin">
        <color indexed="12"/>
      </left>
      <right style="thin">
        <color indexed="12"/>
      </right>
      <top style="double">
        <color indexed="12"/>
      </top>
      <bottom style="double">
        <color indexed="12"/>
      </bottom>
      <diagonal/>
    </border>
    <border>
      <left style="thin">
        <color indexed="12"/>
      </left>
      <right/>
      <top style="double">
        <color indexed="12"/>
      </top>
      <bottom style="double">
        <color indexed="12"/>
      </bottom>
      <diagonal/>
    </border>
    <border>
      <left style="thin">
        <color rgb="FF0000FF"/>
      </left>
      <right/>
      <top style="double">
        <color rgb="FF0000FF"/>
      </top>
      <bottom style="double">
        <color rgb="FF0000FF"/>
      </bottom>
      <diagonal/>
    </border>
    <border>
      <left style="double">
        <color indexed="12"/>
      </left>
      <right/>
      <top/>
      <bottom style="double">
        <color indexed="12"/>
      </bottom>
      <diagonal/>
    </border>
    <border>
      <left/>
      <right/>
      <top/>
      <bottom style="double">
        <color indexed="12"/>
      </bottom>
      <diagonal/>
    </border>
    <border>
      <left style="thin">
        <color indexed="39"/>
      </left>
      <right style="thin">
        <color indexed="39"/>
      </right>
      <top/>
      <bottom style="double">
        <color indexed="12"/>
      </bottom>
      <diagonal/>
    </border>
    <border>
      <left style="thin">
        <color rgb="FF0000FF"/>
      </left>
      <right style="double">
        <color rgb="FF0000FF"/>
      </right>
      <top style="double">
        <color rgb="FF0000FF"/>
      </top>
      <bottom style="double">
        <color rgb="FF0000FF"/>
      </bottom>
      <diagonal/>
    </border>
    <border>
      <left style="double">
        <color rgb="FF008000"/>
      </left>
      <right style="thin">
        <color indexed="17"/>
      </right>
      <top style="double">
        <color indexed="17"/>
      </top>
      <bottom/>
      <diagonal/>
    </border>
    <border>
      <left style="thin">
        <color indexed="17"/>
      </left>
      <right/>
      <top style="double">
        <color indexed="17"/>
      </top>
      <bottom/>
      <diagonal/>
    </border>
    <border>
      <left style="thin">
        <color indexed="17"/>
      </left>
      <right style="thin">
        <color indexed="17"/>
      </right>
      <top style="double">
        <color indexed="17"/>
      </top>
      <bottom/>
      <diagonal/>
    </border>
    <border>
      <left style="thin">
        <color rgb="FF008000"/>
      </left>
      <right style="thin">
        <color rgb="FF008000"/>
      </right>
      <top style="double">
        <color rgb="FF008000"/>
      </top>
      <bottom style="thin">
        <color rgb="FF008000"/>
      </bottom>
      <diagonal/>
    </border>
    <border>
      <left style="thin">
        <color rgb="FF008000"/>
      </left>
      <right style="double">
        <color rgb="FF008000"/>
      </right>
      <top style="double">
        <color rgb="FF008000"/>
      </top>
      <bottom style="thin">
        <color rgb="FF008000"/>
      </bottom>
      <diagonal/>
    </border>
    <border>
      <left style="double">
        <color rgb="FF008000"/>
      </left>
      <right style="thin">
        <color indexed="17"/>
      </right>
      <top/>
      <bottom/>
      <diagonal/>
    </border>
    <border>
      <left style="thin">
        <color indexed="17"/>
      </left>
      <right/>
      <top/>
      <bottom/>
      <diagonal/>
    </border>
    <border>
      <left style="thin">
        <color indexed="17"/>
      </left>
      <right style="thin">
        <color indexed="17"/>
      </right>
      <top/>
      <bottom/>
      <diagonal/>
    </border>
    <border>
      <left style="thin">
        <color rgb="FF008000"/>
      </left>
      <right style="thin">
        <color rgb="FF008000"/>
      </right>
      <top style="thin">
        <color rgb="FF008000"/>
      </top>
      <bottom style="thin">
        <color rgb="FF008000"/>
      </bottom>
      <diagonal/>
    </border>
    <border>
      <left style="thin">
        <color rgb="FF008000"/>
      </left>
      <right style="double">
        <color rgb="FF008000"/>
      </right>
      <top style="thin">
        <color rgb="FF008000"/>
      </top>
      <bottom style="thin">
        <color rgb="FF008000"/>
      </bottom>
      <diagonal/>
    </border>
    <border>
      <left style="double">
        <color rgb="FF008000"/>
      </left>
      <right style="thin">
        <color indexed="17"/>
      </right>
      <top/>
      <bottom style="double">
        <color indexed="17"/>
      </bottom>
      <diagonal/>
    </border>
    <border>
      <left style="thin">
        <color indexed="17"/>
      </left>
      <right/>
      <top/>
      <bottom style="double">
        <color indexed="17"/>
      </bottom>
      <diagonal/>
    </border>
    <border>
      <left style="thin">
        <color indexed="17"/>
      </left>
      <right style="thin">
        <color indexed="17"/>
      </right>
      <top/>
      <bottom style="double">
        <color indexed="17"/>
      </bottom>
      <diagonal/>
    </border>
    <border>
      <left style="thin">
        <color rgb="FF008000"/>
      </left>
      <right style="thin">
        <color rgb="FF008000"/>
      </right>
      <top style="thin">
        <color rgb="FF008000"/>
      </top>
      <bottom style="double">
        <color indexed="17"/>
      </bottom>
      <diagonal/>
    </border>
    <border>
      <left style="thin">
        <color rgb="FF008000"/>
      </left>
      <right style="thin">
        <color rgb="FF008000"/>
      </right>
      <top style="thin">
        <color rgb="FF008000"/>
      </top>
      <bottom/>
      <diagonal/>
    </border>
    <border>
      <left style="thin">
        <color rgb="FF008000"/>
      </left>
      <right style="double">
        <color rgb="FF008000"/>
      </right>
      <top style="thin">
        <color rgb="FF008000"/>
      </top>
      <bottom style="double">
        <color rgb="FF008000"/>
      </bottom>
      <diagonal/>
    </border>
    <border>
      <left style="double">
        <color rgb="FF008000"/>
      </left>
      <right style="thin">
        <color indexed="17"/>
      </right>
      <top style="double">
        <color indexed="17"/>
      </top>
      <bottom style="thin">
        <color indexed="17"/>
      </bottom>
      <diagonal/>
    </border>
    <border>
      <left style="thin">
        <color indexed="17"/>
      </left>
      <right style="thin">
        <color indexed="17"/>
      </right>
      <top style="double">
        <color indexed="17"/>
      </top>
      <bottom style="thin">
        <color indexed="17"/>
      </bottom>
      <diagonal/>
    </border>
    <border>
      <left style="thin">
        <color indexed="17"/>
      </left>
      <right style="thin">
        <color indexed="17"/>
      </right>
      <top style="double">
        <color indexed="17"/>
      </top>
      <bottom style="thin">
        <color rgb="FF008000"/>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style="thin">
        <color rgb="FF008000"/>
      </top>
      <bottom/>
      <diagonal/>
    </border>
    <border>
      <left style="thin">
        <color indexed="17"/>
      </left>
      <right style="thin">
        <color indexed="17"/>
      </right>
      <top/>
      <bottom style="thin">
        <color rgb="FF008000"/>
      </bottom>
      <diagonal/>
    </border>
    <border>
      <left style="thin">
        <color indexed="17"/>
      </left>
      <right style="thin">
        <color indexed="17"/>
      </right>
      <top style="thin">
        <color rgb="FF008000"/>
      </top>
      <bottom style="thin">
        <color rgb="FF008000"/>
      </bottom>
      <diagonal/>
    </border>
    <border>
      <left/>
      <right style="thin">
        <color indexed="17"/>
      </right>
      <top style="thin">
        <color rgb="FF008000"/>
      </top>
      <bottom style="thin">
        <color rgb="FF008000"/>
      </bottom>
      <diagonal/>
    </border>
    <border>
      <left style="thin">
        <color indexed="17"/>
      </left>
      <right/>
      <top style="thin">
        <color rgb="FF008000"/>
      </top>
      <bottom/>
      <diagonal/>
    </border>
    <border>
      <left style="thin">
        <color rgb="FF008000"/>
      </left>
      <right style="double">
        <color rgb="FF008000"/>
      </right>
      <top/>
      <bottom style="thin">
        <color rgb="FF008000"/>
      </bottom>
      <diagonal/>
    </border>
    <border>
      <left/>
      <right style="thin">
        <color indexed="17"/>
      </right>
      <top/>
      <bottom/>
      <diagonal/>
    </border>
    <border>
      <left style="thin">
        <color indexed="17"/>
      </left>
      <right/>
      <top style="thin">
        <color rgb="FF008000"/>
      </top>
      <bottom style="thin">
        <color rgb="FF008000"/>
      </bottom>
      <diagonal/>
    </border>
    <border>
      <left style="thin">
        <color rgb="FF008000"/>
      </left>
      <right/>
      <top style="thin">
        <color rgb="FF008000"/>
      </top>
      <bottom/>
      <diagonal/>
    </border>
    <border>
      <left style="thin">
        <color indexed="17"/>
      </left>
      <right style="thin">
        <color indexed="17"/>
      </right>
      <top/>
      <bottom style="thin">
        <color indexed="17"/>
      </bottom>
      <diagonal/>
    </border>
    <border>
      <left style="double">
        <color indexed="17"/>
      </left>
      <right/>
      <top style="double">
        <color indexed="17"/>
      </top>
      <bottom style="thin">
        <color indexed="17"/>
      </bottom>
      <diagonal/>
    </border>
    <border>
      <left style="thin">
        <color rgb="FF008000"/>
      </left>
      <right/>
      <top style="double">
        <color indexed="17"/>
      </top>
      <bottom style="thin">
        <color indexed="17"/>
      </bottom>
      <diagonal/>
    </border>
    <border>
      <left/>
      <right/>
      <top style="double">
        <color indexed="17"/>
      </top>
      <bottom style="thin">
        <color indexed="17"/>
      </bottom>
      <diagonal/>
    </border>
    <border>
      <left/>
      <right style="thin">
        <color rgb="FF008000"/>
      </right>
      <top style="double">
        <color indexed="17"/>
      </top>
      <bottom style="thin">
        <color indexed="17"/>
      </bottom>
      <diagonal/>
    </border>
    <border>
      <left/>
      <right style="thin">
        <color indexed="17"/>
      </right>
      <top style="double">
        <color indexed="17"/>
      </top>
      <bottom style="thin">
        <color indexed="17"/>
      </bottom>
      <diagonal/>
    </border>
    <border>
      <left style="thin">
        <color indexed="17"/>
      </left>
      <right/>
      <top style="double">
        <color indexed="17"/>
      </top>
      <bottom style="thin">
        <color indexed="17"/>
      </bottom>
      <diagonal/>
    </border>
    <border>
      <left style="thin">
        <color indexed="17"/>
      </left>
      <right style="thin">
        <color indexed="17"/>
      </right>
      <top style="thin">
        <color indexed="17"/>
      </top>
      <bottom style="double">
        <color indexed="17"/>
      </bottom>
      <diagonal/>
    </border>
    <border>
      <left style="thin">
        <color indexed="17"/>
      </left>
      <right/>
      <top style="thin">
        <color indexed="17"/>
      </top>
      <bottom style="double">
        <color indexed="17"/>
      </bottom>
      <diagonal/>
    </border>
    <border>
      <left style="double">
        <color indexed="20"/>
      </left>
      <right/>
      <top style="double">
        <color indexed="20"/>
      </top>
      <bottom style="double">
        <color indexed="20"/>
      </bottom>
      <diagonal/>
    </border>
    <border>
      <left/>
      <right/>
      <top style="double">
        <color indexed="20"/>
      </top>
      <bottom style="double">
        <color indexed="20"/>
      </bottom>
      <diagonal/>
    </border>
    <border>
      <left/>
      <right style="thin">
        <color rgb="FF800080"/>
      </right>
      <top style="double">
        <color indexed="20"/>
      </top>
      <bottom style="double">
        <color indexed="20"/>
      </bottom>
      <diagonal/>
    </border>
    <border>
      <left/>
      <right/>
      <top style="double">
        <color rgb="FF800080"/>
      </top>
      <bottom/>
      <diagonal/>
    </border>
    <border>
      <left style="double">
        <color rgb="FF800080"/>
      </left>
      <right/>
      <top/>
      <bottom/>
      <diagonal/>
    </border>
    <border>
      <left/>
      <right style="thin">
        <color indexed="20"/>
      </right>
      <top style="double">
        <color indexed="20"/>
      </top>
      <bottom style="double">
        <color indexed="20"/>
      </bottom>
      <diagonal/>
    </border>
    <border>
      <left style="thin">
        <color indexed="20"/>
      </left>
      <right style="thin">
        <color indexed="20"/>
      </right>
      <top style="double">
        <color indexed="20"/>
      </top>
      <bottom style="double">
        <color indexed="20"/>
      </bottom>
      <diagonal/>
    </border>
    <border>
      <left style="thin">
        <color indexed="20"/>
      </left>
      <right style="double">
        <color rgb="FF800080"/>
      </right>
      <top style="double">
        <color indexed="20"/>
      </top>
      <bottom style="double">
        <color indexed="20"/>
      </bottom>
      <diagonal/>
    </border>
    <border>
      <left style="double">
        <color indexed="39"/>
      </left>
      <right style="thin">
        <color indexed="39"/>
      </right>
      <top style="double">
        <color indexed="39"/>
      </top>
      <bottom style="thin">
        <color indexed="39"/>
      </bottom>
      <diagonal/>
    </border>
    <border>
      <left style="thin">
        <color indexed="39"/>
      </left>
      <right style="thin">
        <color indexed="39"/>
      </right>
      <top style="double">
        <color indexed="39"/>
      </top>
      <bottom style="thin">
        <color indexed="39"/>
      </bottom>
      <diagonal/>
    </border>
    <border>
      <left style="thin">
        <color indexed="39"/>
      </left>
      <right style="double">
        <color indexed="39"/>
      </right>
      <top style="double">
        <color indexed="39"/>
      </top>
      <bottom style="thin">
        <color indexed="39"/>
      </bottom>
      <diagonal/>
    </border>
    <border>
      <left style="double">
        <color indexed="39"/>
      </left>
      <right style="thin">
        <color indexed="39"/>
      </right>
      <top style="thin">
        <color indexed="39"/>
      </top>
      <bottom style="double">
        <color indexed="39"/>
      </bottom>
      <diagonal/>
    </border>
    <border>
      <left style="thin">
        <color indexed="39"/>
      </left>
      <right style="thin">
        <color indexed="39"/>
      </right>
      <top style="thin">
        <color indexed="39"/>
      </top>
      <bottom style="double">
        <color indexed="39"/>
      </bottom>
      <diagonal/>
    </border>
    <border>
      <left style="thin">
        <color indexed="39"/>
      </left>
      <right style="double">
        <color indexed="39"/>
      </right>
      <top style="thin">
        <color indexed="39"/>
      </top>
      <bottom style="double">
        <color indexed="39"/>
      </bottom>
      <diagonal/>
    </border>
    <border>
      <left style="double">
        <color indexed="39"/>
      </left>
      <right style="thin">
        <color indexed="39"/>
      </right>
      <top/>
      <bottom style="double">
        <color indexed="39"/>
      </bottom>
      <diagonal/>
    </border>
    <border>
      <left style="thin">
        <color indexed="39"/>
      </left>
      <right style="thin">
        <color indexed="39"/>
      </right>
      <top/>
      <bottom style="double">
        <color indexed="39"/>
      </bottom>
      <diagonal/>
    </border>
    <border>
      <left style="thin">
        <color indexed="39"/>
      </left>
      <right style="double">
        <color indexed="39"/>
      </right>
      <top/>
      <bottom style="double">
        <color indexed="39"/>
      </bottom>
      <diagonal/>
    </border>
    <border>
      <left style="double">
        <color indexed="17"/>
      </left>
      <right style="thin">
        <color indexed="17"/>
      </right>
      <top style="double">
        <color indexed="17"/>
      </top>
      <bottom style="thin">
        <color indexed="17"/>
      </bottom>
      <diagonal/>
    </border>
    <border>
      <left style="thin">
        <color indexed="17"/>
      </left>
      <right style="double">
        <color indexed="17"/>
      </right>
      <top style="double">
        <color indexed="17"/>
      </top>
      <bottom style="thin">
        <color indexed="17"/>
      </bottom>
      <diagonal/>
    </border>
    <border>
      <left style="double">
        <color indexed="17"/>
      </left>
      <right style="thin">
        <color indexed="17"/>
      </right>
      <top style="thin">
        <color indexed="17"/>
      </top>
      <bottom style="double">
        <color indexed="17"/>
      </bottom>
      <diagonal/>
    </border>
    <border>
      <left style="thin">
        <color indexed="17"/>
      </left>
      <right style="double">
        <color indexed="17"/>
      </right>
      <top style="thin">
        <color indexed="17"/>
      </top>
      <bottom style="double">
        <color indexed="17"/>
      </bottom>
      <diagonal/>
    </border>
    <border>
      <left style="double">
        <color indexed="17"/>
      </left>
      <right style="thin">
        <color indexed="17"/>
      </right>
      <top style="thin">
        <color indexed="17"/>
      </top>
      <bottom style="thin">
        <color indexed="17"/>
      </bottom>
      <diagonal/>
    </border>
    <border>
      <left style="thin">
        <color indexed="17"/>
      </left>
      <right style="double">
        <color indexed="17"/>
      </right>
      <top/>
      <bottom style="thin">
        <color indexed="17"/>
      </bottom>
      <diagonal/>
    </border>
    <border>
      <left style="double">
        <color indexed="64"/>
      </left>
      <right/>
      <top style="double">
        <color indexed="17"/>
      </top>
      <bottom/>
      <diagonal/>
    </border>
    <border>
      <left/>
      <right/>
      <top style="double">
        <color indexed="17"/>
      </top>
      <bottom/>
      <diagonal/>
    </border>
    <border>
      <left style="thin">
        <color indexed="64"/>
      </left>
      <right style="double">
        <color indexed="64"/>
      </right>
      <top style="double">
        <color indexed="17"/>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right/>
      <top style="double">
        <color indexed="64"/>
      </top>
      <bottom/>
      <diagonal/>
    </border>
    <border>
      <left style="double">
        <color indexed="20"/>
      </left>
      <right/>
      <top style="double">
        <color rgb="FF800080"/>
      </top>
      <bottom/>
      <diagonal/>
    </border>
    <border>
      <left/>
      <right style="thin">
        <color indexed="20"/>
      </right>
      <top style="double">
        <color rgb="FF800080"/>
      </top>
      <bottom/>
      <diagonal/>
    </border>
    <border>
      <left style="thin">
        <color indexed="20"/>
      </left>
      <right/>
      <top style="double">
        <color rgb="FF800080"/>
      </top>
      <bottom/>
      <diagonal/>
    </border>
    <border>
      <left/>
      <right style="double">
        <color indexed="20"/>
      </right>
      <top style="double">
        <color rgb="FF800080"/>
      </top>
      <bottom/>
      <diagonal/>
    </border>
    <border>
      <left style="double">
        <color indexed="20"/>
      </left>
      <right/>
      <top style="thin">
        <color indexed="64"/>
      </top>
      <bottom style="double">
        <color rgb="FF800080"/>
      </bottom>
      <diagonal/>
    </border>
    <border>
      <left/>
      <right/>
      <top style="thin">
        <color indexed="64"/>
      </top>
      <bottom style="double">
        <color rgb="FF800080"/>
      </bottom>
      <diagonal/>
    </border>
    <border>
      <left/>
      <right style="thin">
        <color indexed="20"/>
      </right>
      <top style="thin">
        <color indexed="64"/>
      </top>
      <bottom style="double">
        <color rgb="FF800080"/>
      </bottom>
      <diagonal/>
    </border>
    <border>
      <left style="thin">
        <color indexed="20"/>
      </left>
      <right/>
      <top style="thin">
        <color indexed="64"/>
      </top>
      <bottom style="double">
        <color rgb="FF800080"/>
      </bottom>
      <diagonal/>
    </border>
    <border>
      <left/>
      <right style="double">
        <color indexed="20"/>
      </right>
      <top style="thin">
        <color indexed="64"/>
      </top>
      <bottom style="double">
        <color rgb="FF800080"/>
      </bottom>
      <diagonal/>
    </border>
    <border>
      <left style="double">
        <color rgb="FF0000FF"/>
      </left>
      <right/>
      <top/>
      <bottom/>
      <diagonal/>
    </border>
    <border>
      <left style="double">
        <color indexed="12"/>
      </left>
      <right/>
      <top style="double">
        <color rgb="FF0000FF"/>
      </top>
      <bottom/>
      <diagonal/>
    </border>
    <border>
      <left/>
      <right/>
      <top style="double">
        <color rgb="FF0000FF"/>
      </top>
      <bottom/>
      <diagonal/>
    </border>
    <border>
      <left style="thin">
        <color indexed="39"/>
      </left>
      <right style="thin">
        <color indexed="64"/>
      </right>
      <top style="double">
        <color rgb="FF0000FF"/>
      </top>
      <bottom style="thin">
        <color indexed="64"/>
      </bottom>
      <diagonal/>
    </border>
    <border>
      <left style="thin">
        <color indexed="64"/>
      </left>
      <right style="thin">
        <color indexed="64"/>
      </right>
      <top style="double">
        <color rgb="FF0000FF"/>
      </top>
      <bottom style="thin">
        <color indexed="64"/>
      </bottom>
      <diagonal/>
    </border>
    <border>
      <left style="thin">
        <color indexed="64"/>
      </left>
      <right style="thin">
        <color rgb="FF0000FF"/>
      </right>
      <top style="double">
        <color rgb="FF0000FF"/>
      </top>
      <bottom style="thin">
        <color indexed="64"/>
      </bottom>
      <diagonal/>
    </border>
    <border>
      <left style="thin">
        <color rgb="FF0000FF"/>
      </left>
      <right style="thin">
        <color rgb="FF0000FF"/>
      </right>
      <top/>
      <bottom/>
      <diagonal/>
    </border>
    <border>
      <left style="thin">
        <color rgb="FF0000FF"/>
      </left>
      <right style="double">
        <color rgb="FF0000FF"/>
      </right>
      <top style="double">
        <color rgb="FF0000FF"/>
      </top>
      <bottom/>
      <diagonal/>
    </border>
    <border>
      <left style="double">
        <color indexed="12"/>
      </left>
      <right/>
      <top style="thin">
        <color indexed="64"/>
      </top>
      <bottom style="double">
        <color indexed="12"/>
      </bottom>
      <diagonal/>
    </border>
    <border>
      <left/>
      <right/>
      <top style="thin">
        <color indexed="64"/>
      </top>
      <bottom style="double">
        <color indexed="12"/>
      </bottom>
      <diagonal/>
    </border>
    <border>
      <left/>
      <right style="thin">
        <color indexed="39"/>
      </right>
      <top style="thin">
        <color indexed="64"/>
      </top>
      <bottom style="double">
        <color indexed="12"/>
      </bottom>
      <diagonal/>
    </border>
    <border>
      <left style="thin">
        <color indexed="39"/>
      </left>
      <right style="thin">
        <color indexed="39"/>
      </right>
      <top style="thin">
        <color indexed="64"/>
      </top>
      <bottom style="double">
        <color indexed="12"/>
      </bottom>
      <diagonal/>
    </border>
    <border>
      <left style="thin">
        <color indexed="39"/>
      </left>
      <right style="thin">
        <color rgb="FF0000FF"/>
      </right>
      <top style="thin">
        <color indexed="64"/>
      </top>
      <bottom style="double">
        <color indexed="12"/>
      </bottom>
      <diagonal/>
    </border>
    <border>
      <left style="thin">
        <color rgb="FF0000FF"/>
      </left>
      <right style="double">
        <color rgb="FF0000FF"/>
      </right>
      <top style="thin">
        <color indexed="64"/>
      </top>
      <bottom style="double">
        <color rgb="FF0000FF"/>
      </bottom>
      <diagonal/>
    </border>
    <border>
      <left/>
      <right/>
      <top/>
      <bottom style="thin">
        <color rgb="FFCCFFCC"/>
      </bottom>
      <diagonal/>
    </border>
    <border>
      <left style="double">
        <color rgb="FF008000"/>
      </left>
      <right style="thin">
        <color rgb="FF008000"/>
      </right>
      <top/>
      <bottom style="thin">
        <color rgb="FF008000"/>
      </bottom>
      <diagonal/>
    </border>
    <border>
      <left style="thin">
        <color rgb="FF008000"/>
      </left>
      <right style="thin">
        <color rgb="FF008000"/>
      </right>
      <top/>
      <bottom style="thin">
        <color rgb="FF008000"/>
      </bottom>
      <diagonal/>
    </border>
    <border>
      <left style="double">
        <color rgb="FF008000"/>
      </left>
      <right style="thin">
        <color rgb="FF008000"/>
      </right>
      <top style="thin">
        <color rgb="FF008000"/>
      </top>
      <bottom style="thin">
        <color rgb="FF008000"/>
      </bottom>
      <diagonal/>
    </border>
    <border>
      <left/>
      <right style="thin">
        <color indexed="12"/>
      </right>
      <top/>
      <bottom/>
      <diagonal/>
    </border>
    <border>
      <left style="thin">
        <color indexed="20"/>
      </left>
      <right style="double">
        <color indexed="20"/>
      </right>
      <top style="double">
        <color indexed="20"/>
      </top>
      <bottom style="double">
        <color indexed="20"/>
      </bottom>
      <diagonal/>
    </border>
    <border>
      <left/>
      <right style="double">
        <color indexed="20"/>
      </right>
      <top style="double">
        <color indexed="20"/>
      </top>
      <bottom style="double">
        <color indexed="20"/>
      </bottom>
      <diagonal/>
    </border>
    <border>
      <left style="double">
        <color rgb="FF0000FF"/>
      </left>
      <right/>
      <top style="double">
        <color rgb="FF0000FF"/>
      </top>
      <bottom style="thin">
        <color rgb="FF0000FF"/>
      </bottom>
      <diagonal/>
    </border>
    <border>
      <left/>
      <right/>
      <top style="double">
        <color rgb="FF0000FF"/>
      </top>
      <bottom style="thin">
        <color rgb="FF0000FF"/>
      </bottom>
      <diagonal/>
    </border>
    <border>
      <left/>
      <right style="thin">
        <color rgb="FF0000FF"/>
      </right>
      <top style="double">
        <color rgb="FF0000FF"/>
      </top>
      <bottom style="thin">
        <color rgb="FF0000FF"/>
      </bottom>
      <diagonal/>
    </border>
    <border>
      <left style="thin">
        <color rgb="FF0000FF"/>
      </left>
      <right style="thin">
        <color rgb="FF0000FF"/>
      </right>
      <top style="double">
        <color rgb="FF0000FF"/>
      </top>
      <bottom style="thin">
        <color rgb="FF0000FF"/>
      </bottom>
      <diagonal/>
    </border>
    <border>
      <left style="thin">
        <color rgb="FF0000FF"/>
      </left>
      <right style="double">
        <color rgb="FF0000FF"/>
      </right>
      <top style="double">
        <color rgb="FF0000FF"/>
      </top>
      <bottom style="thin">
        <color rgb="FF0000FF"/>
      </bottom>
      <diagonal/>
    </border>
    <border>
      <left style="double">
        <color rgb="FF0000FF"/>
      </left>
      <right style="thin">
        <color rgb="FF0000FF"/>
      </right>
      <top style="thin">
        <color rgb="FF0000FF"/>
      </top>
      <bottom style="double">
        <color rgb="FF0000FF"/>
      </bottom>
      <diagonal/>
    </border>
    <border>
      <left style="thin">
        <color rgb="FF0000FF"/>
      </left>
      <right style="thin">
        <color rgb="FF0000FF"/>
      </right>
      <top style="thin">
        <color rgb="FF0000FF"/>
      </top>
      <bottom style="double">
        <color rgb="FF0000FF"/>
      </bottom>
      <diagonal/>
    </border>
    <border>
      <left style="thin">
        <color rgb="FF0000FF"/>
      </left>
      <right style="double">
        <color rgb="FF0000FF"/>
      </right>
      <top style="thin">
        <color rgb="FF0000FF"/>
      </top>
      <bottom style="double">
        <color rgb="FF0000FF"/>
      </bottom>
      <diagonal/>
    </border>
    <border>
      <left style="double">
        <color rgb="FF008000"/>
      </left>
      <right style="thin">
        <color rgb="FF008000"/>
      </right>
      <top style="double">
        <color rgb="FF008000"/>
      </top>
      <bottom style="thin">
        <color rgb="FF008000"/>
      </bottom>
      <diagonal/>
    </border>
    <border>
      <left style="double">
        <color rgb="FF008000"/>
      </left>
      <right style="thin">
        <color rgb="FF008000"/>
      </right>
      <top style="thin">
        <color rgb="FF008000"/>
      </top>
      <bottom/>
      <diagonal/>
    </border>
    <border>
      <left style="thin">
        <color rgb="FF008000"/>
      </left>
      <right style="double">
        <color rgb="FF008000"/>
      </right>
      <top style="thin">
        <color rgb="FF008000"/>
      </top>
      <bottom/>
      <diagonal/>
    </border>
    <border>
      <left style="double">
        <color rgb="FF008000"/>
      </left>
      <right style="thin">
        <color rgb="FF008000"/>
      </right>
      <top style="thin">
        <color rgb="FF008000"/>
      </top>
      <bottom style="double">
        <color rgb="FF008000"/>
      </bottom>
      <diagonal/>
    </border>
    <border>
      <left style="thin">
        <color rgb="FF008000"/>
      </left>
      <right style="thin">
        <color rgb="FF008000"/>
      </right>
      <top style="thin">
        <color rgb="FF008000"/>
      </top>
      <bottom style="double">
        <color rgb="FF008000"/>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auto="1"/>
      </top>
      <bottom style="double">
        <color auto="1"/>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top/>
      <bottom style="double">
        <color auto="1"/>
      </bottom>
      <diagonal/>
    </border>
    <border>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thin">
        <color indexed="64"/>
      </top>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diagonal/>
    </border>
    <border>
      <left style="double">
        <color rgb="FF008000"/>
      </left>
      <right/>
      <top style="thin">
        <color indexed="17"/>
      </top>
      <bottom style="thin">
        <color indexed="17"/>
      </bottom>
      <diagonal/>
    </border>
    <border>
      <left style="thin">
        <color indexed="17"/>
      </left>
      <right style="thin">
        <color indexed="17"/>
      </right>
      <top style="thin">
        <color indexed="64"/>
      </top>
      <bottom style="thin">
        <color indexed="64"/>
      </bottom>
      <diagonal/>
    </border>
    <border>
      <left style="thin">
        <color indexed="17"/>
      </left>
      <right style="thin">
        <color indexed="17"/>
      </right>
      <top style="thin">
        <color indexed="64"/>
      </top>
      <bottom style="thin">
        <color indexed="17"/>
      </bottom>
      <diagonal/>
    </border>
    <border>
      <left style="thin">
        <color indexed="17"/>
      </left>
      <right/>
      <top style="thin">
        <color indexed="17"/>
      </top>
      <bottom style="thin">
        <color indexed="17"/>
      </bottom>
      <diagonal/>
    </border>
    <border>
      <left style="thin">
        <color rgb="FF008000"/>
      </left>
      <right style="thin">
        <color indexed="17"/>
      </right>
      <top style="thin">
        <color indexed="17"/>
      </top>
      <bottom style="thin">
        <color indexed="17"/>
      </bottom>
      <diagonal/>
    </border>
    <border>
      <left style="double">
        <color rgb="FF008000"/>
      </left>
      <right/>
      <top style="thin">
        <color indexed="17"/>
      </top>
      <bottom style="double">
        <color indexed="17"/>
      </bottom>
      <diagonal/>
    </border>
    <border>
      <left style="double">
        <color indexed="17"/>
      </left>
      <right/>
      <top style="thin">
        <color indexed="17"/>
      </top>
      <bottom style="double">
        <color indexed="17"/>
      </bottom>
      <diagonal/>
    </border>
    <border>
      <left style="thin">
        <color rgb="FF008000"/>
      </left>
      <right/>
      <top style="thin">
        <color indexed="17"/>
      </top>
      <bottom style="double">
        <color rgb="FF008000"/>
      </bottom>
      <diagonal/>
    </border>
    <border>
      <left/>
      <right/>
      <top style="thin">
        <color indexed="17"/>
      </top>
      <bottom style="double">
        <color indexed="17"/>
      </bottom>
      <diagonal/>
    </border>
    <border>
      <left/>
      <right style="thin">
        <color rgb="FF008000"/>
      </right>
      <top style="thin">
        <color indexed="17"/>
      </top>
      <bottom style="double">
        <color indexed="17"/>
      </bottom>
      <diagonal/>
    </border>
    <border>
      <left/>
      <right style="thin">
        <color indexed="17"/>
      </right>
      <top style="thin">
        <color indexed="17"/>
      </top>
      <bottom style="double">
        <color indexed="17"/>
      </bottom>
      <diagonal/>
    </border>
    <border>
      <left style="thin">
        <color indexed="12"/>
      </left>
      <right style="thin">
        <color rgb="FF0000FF"/>
      </right>
      <top style="thin">
        <color indexed="12"/>
      </top>
      <bottom style="thin">
        <color indexed="12"/>
      </bottom>
      <diagonal/>
    </border>
    <border>
      <left style="double">
        <color indexed="12"/>
      </left>
      <right/>
      <top style="double">
        <color indexed="12"/>
      </top>
      <bottom/>
      <diagonal/>
    </border>
    <border>
      <left/>
      <right/>
      <top style="double">
        <color indexed="12"/>
      </top>
      <bottom/>
      <diagonal/>
    </border>
    <border>
      <left style="thin">
        <color indexed="12"/>
      </left>
      <right style="thin">
        <color indexed="12"/>
      </right>
      <top style="double">
        <color indexed="12"/>
      </top>
      <bottom/>
      <diagonal/>
    </border>
    <border>
      <left style="thin">
        <color indexed="12"/>
      </left>
      <right/>
      <top style="double">
        <color indexed="12"/>
      </top>
      <bottom/>
      <diagonal/>
    </border>
    <border>
      <left style="thin">
        <color indexed="39"/>
      </left>
      <right/>
      <top/>
      <bottom style="double">
        <color indexed="12"/>
      </bottom>
      <diagonal/>
    </border>
    <border>
      <left style="thin">
        <color indexed="12"/>
      </left>
      <right style="thin">
        <color indexed="12"/>
      </right>
      <top style="thin">
        <color indexed="12"/>
      </top>
      <bottom style="thin">
        <color indexed="12"/>
      </bottom>
      <diagonal/>
    </border>
    <border>
      <left style="thin">
        <color indexed="64"/>
      </left>
      <right/>
      <top style="double">
        <color auto="1"/>
      </top>
      <bottom/>
      <diagonal/>
    </border>
    <border>
      <left/>
      <right style="medium">
        <color indexed="64"/>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double">
        <color indexed="17"/>
      </left>
      <right style="thin">
        <color indexed="17"/>
      </right>
      <top/>
      <bottom/>
      <diagonal/>
    </border>
    <border>
      <left style="thin">
        <color indexed="17"/>
      </left>
      <right style="thin">
        <color indexed="17"/>
      </right>
      <top style="thin">
        <color indexed="17"/>
      </top>
      <bottom style="double">
        <color indexed="64"/>
      </bottom>
      <diagonal/>
    </border>
    <border>
      <left style="double">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thin">
        <color indexed="64"/>
      </top>
      <bottom/>
      <diagonal/>
    </border>
  </borders>
  <cellStyleXfs count="24">
    <xf numFmtId="0" fontId="0" fillId="0" borderId="0"/>
    <xf numFmtId="0" fontId="7" fillId="0" borderId="0"/>
    <xf numFmtId="0" fontId="10" fillId="0" borderId="0"/>
    <xf numFmtId="0" fontId="7" fillId="0" borderId="0"/>
    <xf numFmtId="0" fontId="10" fillId="0" borderId="0"/>
    <xf numFmtId="0" fontId="10" fillId="0" borderId="0"/>
    <xf numFmtId="0" fontId="10" fillId="0" borderId="0"/>
    <xf numFmtId="0" fontId="6" fillId="0" borderId="0"/>
    <xf numFmtId="43" fontId="10" fillId="0" borderId="0" applyFont="0" applyFill="0" applyBorder="0" applyAlignment="0" applyProtection="0"/>
    <xf numFmtId="0" fontId="6" fillId="0" borderId="0"/>
    <xf numFmtId="0" fontId="6" fillId="0" borderId="0"/>
    <xf numFmtId="0" fontId="6" fillId="0" borderId="0"/>
    <xf numFmtId="0" fontId="6" fillId="0" borderId="0"/>
    <xf numFmtId="0" fontId="10" fillId="0" borderId="0"/>
    <xf numFmtId="15" fontId="58" fillId="14" borderId="0"/>
    <xf numFmtId="9" fontId="10" fillId="0" borderId="0" applyFont="0" applyFill="0" applyBorder="0" applyAlignment="0" applyProtection="0"/>
    <xf numFmtId="0" fontId="6" fillId="0" borderId="0"/>
    <xf numFmtId="0" fontId="64" fillId="0" borderId="0"/>
    <xf numFmtId="43" fontId="10" fillId="0" borderId="0" applyFont="0" applyFill="0" applyBorder="0" applyAlignment="0" applyProtection="0"/>
    <xf numFmtId="0" fontId="1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74" fillId="0" borderId="0"/>
  </cellStyleXfs>
  <cellXfs count="1422">
    <xf numFmtId="0" fontId="0" fillId="0" borderId="0" xfId="0"/>
    <xf numFmtId="0" fontId="1" fillId="0" borderId="1" xfId="0" applyFont="1" applyBorder="1"/>
    <xf numFmtId="0" fontId="0" fillId="0" borderId="1" xfId="0" applyBorder="1" applyAlignment="1">
      <alignment horizontal="center"/>
    </xf>
    <xf numFmtId="0" fontId="0" fillId="0" borderId="1" xfId="0" applyBorder="1"/>
    <xf numFmtId="0" fontId="0" fillId="0" borderId="1" xfId="0" applyBorder="1" applyAlignment="1">
      <alignment horizontal="left"/>
    </xf>
    <xf numFmtId="0" fontId="3" fillId="0" borderId="0" xfId="0" applyFont="1" applyFill="1" applyBorder="1"/>
    <xf numFmtId="0" fontId="1" fillId="0" borderId="3" xfId="0" applyFont="1" applyBorder="1" applyAlignment="1">
      <alignment horizontal="center"/>
    </xf>
    <xf numFmtId="0" fontId="1" fillId="0" borderId="4" xfId="0" applyFont="1" applyBorder="1" applyAlignment="1">
      <alignment horizontal="center"/>
    </xf>
    <xf numFmtId="0" fontId="0" fillId="0" borderId="5" xfId="0" applyBorder="1"/>
    <xf numFmtId="3" fontId="0" fillId="0" borderId="1" xfId="0" applyNumberFormat="1" applyBorder="1"/>
    <xf numFmtId="0" fontId="2" fillId="2" borderId="0" xfId="0" applyFont="1" applyFill="1" applyBorder="1" applyAlignment="1">
      <alignment horizontal="left" vertical="center" indent="1"/>
    </xf>
    <xf numFmtId="0" fontId="1" fillId="0" borderId="0" xfId="0" applyFont="1" applyBorder="1"/>
    <xf numFmtId="0" fontId="0" fillId="0" borderId="0" xfId="0" applyBorder="1"/>
    <xf numFmtId="0" fontId="0" fillId="0" borderId="0" xfId="0" applyBorder="1" applyAlignment="1">
      <alignment horizontal="left"/>
    </xf>
    <xf numFmtId="0" fontId="1" fillId="0" borderId="1" xfId="0" applyFont="1" applyBorder="1" applyAlignment="1">
      <alignment wrapText="1"/>
    </xf>
    <xf numFmtId="0" fontId="1" fillId="0" borderId="3" xfId="0" applyFont="1" applyBorder="1" applyAlignment="1">
      <alignment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0" borderId="4" xfId="0" applyFont="1" applyBorder="1" applyAlignment="1">
      <alignment wrapText="1"/>
    </xf>
    <xf numFmtId="0" fontId="1" fillId="0" borderId="0" xfId="0" applyFont="1" applyBorder="1" applyAlignment="1">
      <alignment wrapText="1"/>
    </xf>
    <xf numFmtId="0" fontId="1" fillId="0" borderId="0" xfId="0" applyFont="1" applyFill="1" applyBorder="1" applyAlignment="1">
      <alignment wrapText="1"/>
    </xf>
    <xf numFmtId="0" fontId="0" fillId="0" borderId="0" xfId="0" applyAlignment="1">
      <alignment wrapText="1"/>
    </xf>
    <xf numFmtId="0" fontId="1" fillId="5" borderId="0" xfId="0" applyFont="1" applyFill="1" applyBorder="1" applyAlignment="1">
      <alignment wrapText="1"/>
    </xf>
    <xf numFmtId="0" fontId="1" fillId="0" borderId="1" xfId="0" applyFont="1" applyBorder="1" applyAlignment="1">
      <alignment horizontal="left"/>
    </xf>
    <xf numFmtId="0" fontId="2" fillId="2" borderId="0" xfId="0" applyFont="1" applyFill="1" applyBorder="1" applyAlignment="1">
      <alignment horizontal="left" vertical="center" indent="1"/>
    </xf>
    <xf numFmtId="0" fontId="0" fillId="0" borderId="6" xfId="0" applyFill="1" applyBorder="1"/>
    <xf numFmtId="0" fontId="0" fillId="0" borderId="7" xfId="0" applyFill="1" applyBorder="1"/>
    <xf numFmtId="0" fontId="0" fillId="0" borderId="0" xfId="0" applyFill="1" applyBorder="1"/>
    <xf numFmtId="0" fontId="0" fillId="4" borderId="0" xfId="0" applyFill="1"/>
    <xf numFmtId="0" fontId="0" fillId="0" borderId="6" xfId="0" applyBorder="1" applyAlignment="1">
      <alignment horizontal="left"/>
    </xf>
    <xf numFmtId="0" fontId="0" fillId="0" borderId="6" xfId="0" applyBorder="1" applyAlignment="1">
      <alignment horizontal="left" wrapText="1"/>
    </xf>
    <xf numFmtId="0" fontId="10" fillId="0" borderId="0" xfId="2" applyFont="1" applyFill="1"/>
    <xf numFmtId="0" fontId="8" fillId="0" borderId="0" xfId="2" applyFont="1" applyFill="1" applyAlignment="1">
      <alignment horizontal="left"/>
    </xf>
    <xf numFmtId="0" fontId="9" fillId="0" borderId="0" xfId="2" applyNumberFormat="1" applyFont="1" applyFill="1" applyAlignment="1">
      <alignment horizontal="left"/>
    </xf>
    <xf numFmtId="0" fontId="9" fillId="0" borderId="0" xfId="2" applyFont="1" applyFill="1"/>
    <xf numFmtId="0" fontId="9" fillId="0" borderId="0" xfId="2" applyFont="1" applyFill="1" applyAlignment="1"/>
    <xf numFmtId="0" fontId="9" fillId="0" borderId="0" xfId="2" applyFont="1"/>
    <xf numFmtId="0" fontId="13" fillId="0" borderId="0" xfId="3" applyFont="1" applyAlignment="1">
      <alignment vertical="center"/>
    </xf>
    <xf numFmtId="0" fontId="11" fillId="0" borderId="0" xfId="2" applyFont="1" applyFill="1"/>
    <xf numFmtId="0" fontId="12" fillId="9" borderId="19" xfId="2" applyFont="1" applyFill="1" applyBorder="1" applyAlignment="1">
      <alignment horizontal="center"/>
    </xf>
    <xf numFmtId="0" fontId="10" fillId="9" borderId="20" xfId="2" applyFont="1" applyFill="1" applyBorder="1" applyAlignment="1"/>
    <xf numFmtId="0" fontId="12" fillId="9" borderId="21" xfId="2" applyFont="1" applyFill="1" applyBorder="1" applyAlignment="1">
      <alignment horizontal="center" vertical="center"/>
    </xf>
    <xf numFmtId="0" fontId="12" fillId="9" borderId="22" xfId="2" applyFont="1" applyFill="1" applyBorder="1" applyAlignment="1">
      <alignment horizontal="center" vertical="center"/>
    </xf>
    <xf numFmtId="0" fontId="12" fillId="9" borderId="23" xfId="2" applyFont="1" applyFill="1" applyBorder="1" applyAlignment="1">
      <alignment horizontal="center" vertical="center"/>
    </xf>
    <xf numFmtId="0" fontId="17" fillId="0" borderId="0" xfId="2" applyFont="1" applyFill="1" applyBorder="1"/>
    <xf numFmtId="0" fontId="13" fillId="0" borderId="0" xfId="2" applyFont="1" applyFill="1" applyBorder="1"/>
    <xf numFmtId="0" fontId="19" fillId="0" borderId="0" xfId="3" applyFont="1" applyFill="1" applyBorder="1" applyAlignment="1">
      <alignment vertical="center"/>
    </xf>
    <xf numFmtId="0" fontId="10" fillId="0" borderId="0" xfId="2" applyFont="1" applyFill="1" applyBorder="1"/>
    <xf numFmtId="164" fontId="19" fillId="0" borderId="31" xfId="2" applyNumberFormat="1" applyFont="1" applyFill="1" applyBorder="1" applyAlignment="1">
      <alignment horizontal="center" vertical="center"/>
    </xf>
    <xf numFmtId="164" fontId="24" fillId="0" borderId="33" xfId="2" applyNumberFormat="1" applyFont="1" applyFill="1" applyBorder="1" applyAlignment="1">
      <alignment horizontal="center"/>
    </xf>
    <xf numFmtId="164" fontId="19" fillId="0" borderId="49" xfId="2" applyNumberFormat="1" applyFont="1" applyFill="1" applyBorder="1" applyAlignment="1">
      <alignment horizontal="center" vertical="center"/>
    </xf>
    <xf numFmtId="164" fontId="19" fillId="0" borderId="50" xfId="2" applyNumberFormat="1" applyFont="1" applyFill="1" applyBorder="1" applyAlignment="1">
      <alignment horizontal="center" vertical="center"/>
    </xf>
    <xf numFmtId="164" fontId="19" fillId="0" borderId="51" xfId="2" applyNumberFormat="1" applyFont="1" applyFill="1" applyBorder="1" applyAlignment="1">
      <alignment horizontal="center" vertical="center"/>
    </xf>
    <xf numFmtId="164" fontId="19" fillId="0" borderId="36" xfId="2" applyNumberFormat="1" applyFont="1" applyFill="1" applyBorder="1" applyAlignment="1">
      <alignment horizontal="center" vertical="center"/>
    </xf>
    <xf numFmtId="164" fontId="19" fillId="0" borderId="35" xfId="2" applyNumberFormat="1" applyFont="1" applyFill="1" applyBorder="1" applyAlignment="1">
      <alignment horizontal="center" vertical="center"/>
    </xf>
    <xf numFmtId="164" fontId="24" fillId="0" borderId="38" xfId="2" applyNumberFormat="1" applyFont="1" applyFill="1" applyBorder="1" applyAlignment="1">
      <alignment horizontal="center"/>
    </xf>
    <xf numFmtId="164" fontId="19" fillId="0" borderId="52" xfId="2" applyNumberFormat="1" applyFont="1" applyFill="1" applyBorder="1" applyAlignment="1">
      <alignment horizontal="center" vertical="center"/>
    </xf>
    <xf numFmtId="164" fontId="19" fillId="0" borderId="53" xfId="2" applyNumberFormat="1" applyFont="1" applyFill="1" applyBorder="1" applyAlignment="1">
      <alignment horizontal="center" vertical="center"/>
    </xf>
    <xf numFmtId="164" fontId="24" fillId="0" borderId="54" xfId="2" applyNumberFormat="1" applyFont="1" applyFill="1" applyBorder="1" applyAlignment="1">
      <alignment horizontal="center"/>
    </xf>
    <xf numFmtId="164" fontId="19" fillId="0" borderId="55" xfId="2" applyNumberFormat="1" applyFont="1" applyFill="1" applyBorder="1" applyAlignment="1">
      <alignment horizontal="center" vertical="center"/>
    </xf>
    <xf numFmtId="164" fontId="19" fillId="0" borderId="56" xfId="2" applyNumberFormat="1" applyFont="1" applyFill="1" applyBorder="1" applyAlignment="1">
      <alignment horizontal="center" vertical="center"/>
    </xf>
    <xf numFmtId="164" fontId="19" fillId="0" borderId="57" xfId="2" applyNumberFormat="1" applyFont="1" applyFill="1" applyBorder="1" applyAlignment="1">
      <alignment horizontal="center" vertical="center"/>
    </xf>
    <xf numFmtId="164" fontId="18" fillId="11" borderId="46" xfId="2" applyNumberFormat="1" applyFont="1" applyFill="1" applyBorder="1" applyAlignment="1">
      <alignment horizontal="center" vertical="center" shrinkToFit="1"/>
    </xf>
    <xf numFmtId="164" fontId="18" fillId="11" borderId="64" xfId="2" applyNumberFormat="1" applyFont="1" applyFill="1" applyBorder="1" applyAlignment="1">
      <alignment horizontal="center" vertical="center" shrinkToFit="1"/>
    </xf>
    <xf numFmtId="2" fontId="18" fillId="11" borderId="65" xfId="2" applyNumberFormat="1" applyFont="1" applyFill="1" applyBorder="1" applyAlignment="1">
      <alignment horizontal="center" vertical="center" shrinkToFit="1"/>
    </xf>
    <xf numFmtId="2" fontId="18" fillId="11" borderId="66" xfId="2" applyNumberFormat="1" applyFont="1" applyFill="1" applyBorder="1" applyAlignment="1">
      <alignment horizontal="center" vertical="center" shrinkToFit="1"/>
    </xf>
    <xf numFmtId="0" fontId="10" fillId="0" borderId="0" xfId="2" applyFont="1"/>
    <xf numFmtId="0" fontId="11" fillId="6" borderId="0" xfId="2" applyFont="1" applyFill="1" applyBorder="1" applyAlignment="1">
      <alignment horizontal="left"/>
    </xf>
    <xf numFmtId="3" fontId="11" fillId="6" borderId="0" xfId="2" applyNumberFormat="1" applyFont="1" applyFill="1" applyBorder="1" applyAlignment="1">
      <alignment horizontal="left"/>
    </xf>
    <xf numFmtId="3" fontId="10" fillId="0" borderId="0" xfId="2" applyNumberFormat="1" applyFont="1" applyFill="1"/>
    <xf numFmtId="3" fontId="9" fillId="0" borderId="0" xfId="2" applyNumberFormat="1" applyFont="1" applyFill="1"/>
    <xf numFmtId="0" fontId="9" fillId="0" borderId="0" xfId="2" quotePrefix="1" applyFont="1" applyFill="1" applyAlignment="1">
      <alignment horizontal="left"/>
    </xf>
    <xf numFmtId="3" fontId="10" fillId="0" borderId="0" xfId="2" applyNumberFormat="1" applyFont="1" applyAlignment="1">
      <alignment shrinkToFit="1"/>
    </xf>
    <xf numFmtId="0" fontId="10" fillId="0" borderId="71" xfId="2" applyFont="1" applyFill="1" applyBorder="1"/>
    <xf numFmtId="0" fontId="9" fillId="0" borderId="0" xfId="2" applyFont="1" applyFill="1" applyBorder="1" applyAlignment="1">
      <alignment horizontal="left"/>
    </xf>
    <xf numFmtId="3" fontId="9" fillId="0" borderId="0" xfId="2" applyNumberFormat="1" applyFont="1" applyFill="1" applyBorder="1" applyAlignment="1">
      <alignment horizontal="left"/>
    </xf>
    <xf numFmtId="0" fontId="9" fillId="0" borderId="0" xfId="2" applyFont="1" applyFill="1" applyBorder="1" applyAlignment="1">
      <alignment horizontal="center"/>
    </xf>
    <xf numFmtId="3" fontId="9" fillId="0" borderId="0" xfId="2" applyNumberFormat="1" applyFont="1"/>
    <xf numFmtId="0" fontId="10" fillId="8" borderId="0" xfId="2" applyFont="1" applyFill="1"/>
    <xf numFmtId="0" fontId="11" fillId="8" borderId="0" xfId="2" applyFont="1" applyFill="1"/>
    <xf numFmtId="3" fontId="9" fillId="8" borderId="0" xfId="2" applyNumberFormat="1" applyFont="1" applyFill="1"/>
    <xf numFmtId="0" fontId="9" fillId="8" borderId="0" xfId="2" applyFont="1" applyFill="1"/>
    <xf numFmtId="0" fontId="10" fillId="0" borderId="0" xfId="2" applyFont="1" applyAlignment="1">
      <alignment horizontal="center"/>
    </xf>
    <xf numFmtId="165" fontId="10" fillId="0" borderId="0" xfId="2" applyNumberFormat="1" applyFont="1" applyAlignment="1">
      <alignment horizontal="center"/>
    </xf>
    <xf numFmtId="0" fontId="12" fillId="8" borderId="79" xfId="2" applyFont="1" applyFill="1" applyBorder="1" applyAlignment="1">
      <alignment horizontal="center" vertical="center"/>
    </xf>
    <xf numFmtId="0" fontId="12" fillId="8" borderId="80" xfId="2" applyFont="1" applyFill="1" applyBorder="1" applyAlignment="1">
      <alignment horizontal="center" vertical="center"/>
    </xf>
    <xf numFmtId="0" fontId="13" fillId="0" borderId="82" xfId="2" applyFont="1" applyFill="1" applyBorder="1" applyAlignment="1">
      <alignment horizontal="center" vertical="center"/>
    </xf>
    <xf numFmtId="165" fontId="13" fillId="0" borderId="82" xfId="2" applyNumberFormat="1" applyFont="1" applyFill="1" applyBorder="1" applyAlignment="1">
      <alignment horizontal="center" vertical="center"/>
    </xf>
    <xf numFmtId="2" fontId="13" fillId="0" borderId="82" xfId="2" applyNumberFormat="1" applyFont="1" applyFill="1" applyBorder="1" applyAlignment="1">
      <alignment horizontal="center" vertical="center"/>
    </xf>
    <xf numFmtId="3" fontId="13" fillId="0" borderId="82" xfId="2" applyNumberFormat="1" applyFont="1" applyFill="1" applyBorder="1" applyAlignment="1">
      <alignment horizontal="center" vertical="center"/>
    </xf>
    <xf numFmtId="166" fontId="13" fillId="0" borderId="82" xfId="2" applyNumberFormat="1" applyFont="1" applyFill="1" applyBorder="1" applyAlignment="1">
      <alignment horizontal="center" vertical="center"/>
    </xf>
    <xf numFmtId="2" fontId="13" fillId="0" borderId="83" xfId="2" applyNumberFormat="1" applyFont="1" applyFill="1" applyBorder="1" applyAlignment="1">
      <alignment horizontal="center" vertical="center"/>
    </xf>
    <xf numFmtId="0" fontId="26" fillId="0" borderId="0" xfId="2" applyFont="1" applyFill="1" applyBorder="1"/>
    <xf numFmtId="0" fontId="28" fillId="0" borderId="0" xfId="2" applyFont="1" applyFill="1" applyBorder="1"/>
    <xf numFmtId="49" fontId="17" fillId="0" borderId="0" xfId="2" applyNumberFormat="1" applyFont="1" applyFill="1" applyBorder="1"/>
    <xf numFmtId="0" fontId="10" fillId="0" borderId="0" xfId="2" applyFont="1" applyBorder="1" applyAlignment="1">
      <alignment horizontal="center"/>
    </xf>
    <xf numFmtId="0" fontId="9" fillId="0" borderId="0" xfId="2" applyFont="1" applyAlignment="1">
      <alignment horizontal="left" indent="1"/>
    </xf>
    <xf numFmtId="0" fontId="11" fillId="10" borderId="0" xfId="2" applyFont="1" applyFill="1" applyAlignment="1">
      <alignment horizontal="left"/>
    </xf>
    <xf numFmtId="3" fontId="11" fillId="10" borderId="0" xfId="2" applyNumberFormat="1" applyFont="1" applyFill="1" applyAlignment="1">
      <alignment horizontal="left"/>
    </xf>
    <xf numFmtId="0" fontId="11" fillId="0" borderId="0" xfId="2" applyFont="1" applyFill="1" applyAlignment="1">
      <alignment horizontal="left"/>
    </xf>
    <xf numFmtId="3" fontId="11" fillId="0" borderId="0" xfId="2" applyNumberFormat="1" applyFont="1" applyFill="1" applyAlignment="1">
      <alignment horizontal="left"/>
    </xf>
    <xf numFmtId="0" fontId="18" fillId="10" borderId="65" xfId="2" applyFont="1" applyFill="1" applyBorder="1" applyAlignment="1">
      <alignment horizontal="center" vertical="center"/>
    </xf>
    <xf numFmtId="0" fontId="18" fillId="10" borderId="87" xfId="2" applyFont="1" applyFill="1" applyBorder="1" applyAlignment="1">
      <alignment horizontal="center" vertical="center"/>
    </xf>
    <xf numFmtId="0" fontId="19" fillId="0" borderId="84" xfId="2" applyFont="1" applyFill="1" applyBorder="1" applyAlignment="1">
      <alignment horizontal="center" vertical="center" wrapText="1"/>
    </xf>
    <xf numFmtId="165" fontId="19" fillId="0" borderId="46" xfId="2" applyNumberFormat="1" applyFont="1" applyFill="1" applyBorder="1" applyAlignment="1">
      <alignment horizontal="center" vertical="center"/>
    </xf>
    <xf numFmtId="164" fontId="19" fillId="0" borderId="46" xfId="2" applyNumberFormat="1" applyFont="1" applyFill="1" applyBorder="1" applyAlignment="1">
      <alignment horizontal="right" vertical="center"/>
    </xf>
    <xf numFmtId="164" fontId="19" fillId="0" borderId="85" xfId="2" applyNumberFormat="1" applyFont="1" applyFill="1" applyBorder="1" applyAlignment="1">
      <alignment horizontal="right" vertical="center"/>
    </xf>
    <xf numFmtId="0" fontId="19" fillId="0" borderId="88" xfId="2" applyFont="1" applyFill="1" applyBorder="1" applyAlignment="1">
      <alignment horizontal="center" vertical="center" wrapText="1"/>
    </xf>
    <xf numFmtId="165" fontId="19" fillId="0" borderId="48" xfId="2" applyNumberFormat="1" applyFont="1" applyFill="1" applyBorder="1" applyAlignment="1">
      <alignment horizontal="center" vertical="center"/>
    </xf>
    <xf numFmtId="3" fontId="19" fillId="0" borderId="48" xfId="2" applyNumberFormat="1" applyFont="1" applyFill="1" applyBorder="1" applyAlignment="1">
      <alignment horizontal="center" vertical="center"/>
    </xf>
    <xf numFmtId="164" fontId="19" fillId="0" borderId="58" xfId="2" applyNumberFormat="1" applyFont="1" applyFill="1" applyBorder="1" applyAlignment="1">
      <alignment horizontal="right" vertical="center"/>
    </xf>
    <xf numFmtId="164" fontId="19" fillId="0" borderId="89" xfId="2" applyNumberFormat="1" applyFont="1" applyFill="1" applyBorder="1" applyAlignment="1">
      <alignment horizontal="right" vertical="center"/>
    </xf>
    <xf numFmtId="0" fontId="32" fillId="0" borderId="0" xfId="2" applyFont="1" applyAlignment="1">
      <alignment horizontal="center"/>
    </xf>
    <xf numFmtId="0" fontId="19" fillId="0" borderId="86" xfId="2" applyFont="1" applyFill="1" applyBorder="1" applyAlignment="1">
      <alignment horizontal="center" vertical="center" wrapText="1"/>
    </xf>
    <xf numFmtId="165" fontId="19" fillId="0" borderId="65" xfId="2" applyNumberFormat="1" applyFont="1" applyFill="1" applyBorder="1" applyAlignment="1">
      <alignment horizontal="center" vertical="center"/>
    </xf>
    <xf numFmtId="2" fontId="18" fillId="10" borderId="65" xfId="2" applyNumberFormat="1" applyFont="1" applyFill="1" applyBorder="1" applyAlignment="1">
      <alignment horizontal="right" vertical="center" shrinkToFit="1"/>
    </xf>
    <xf numFmtId="2" fontId="18" fillId="10" borderId="87" xfId="2" applyNumberFormat="1" applyFont="1" applyFill="1" applyBorder="1" applyAlignment="1">
      <alignment horizontal="right" vertical="center" shrinkToFit="1"/>
    </xf>
    <xf numFmtId="165" fontId="18" fillId="0" borderId="92" xfId="2" applyNumberFormat="1" applyFont="1" applyFill="1" applyBorder="1" applyAlignment="1">
      <alignment horizontal="right" vertical="center" shrinkToFit="1"/>
    </xf>
    <xf numFmtId="2" fontId="18" fillId="0" borderId="95" xfId="2" applyNumberFormat="1" applyFont="1" applyFill="1" applyBorder="1" applyAlignment="1">
      <alignment horizontal="right" vertical="center" shrinkToFit="1"/>
    </xf>
    <xf numFmtId="0" fontId="32" fillId="0" borderId="0" xfId="2" applyFont="1" applyAlignment="1">
      <alignment horizontal="left"/>
    </xf>
    <xf numFmtId="0" fontId="24" fillId="0" borderId="0" xfId="2" applyFont="1" applyAlignment="1">
      <alignment horizontal="left"/>
    </xf>
    <xf numFmtId="3" fontId="32" fillId="0" borderId="0" xfId="2" applyNumberFormat="1" applyFont="1" applyAlignment="1">
      <alignment horizontal="center"/>
    </xf>
    <xf numFmtId="0" fontId="32" fillId="0" borderId="0" xfId="2" applyFont="1" applyBorder="1" applyAlignment="1">
      <alignment horizontal="center"/>
    </xf>
    <xf numFmtId="0" fontId="32" fillId="0" borderId="97" xfId="2" applyFont="1" applyBorder="1" applyAlignment="1">
      <alignment horizontal="center"/>
    </xf>
    <xf numFmtId="4" fontId="32" fillId="0" borderId="0" xfId="2" applyNumberFormat="1" applyFont="1" applyAlignment="1">
      <alignment horizontal="center"/>
    </xf>
    <xf numFmtId="0" fontId="32" fillId="0" borderId="0" xfId="2" applyFont="1"/>
    <xf numFmtId="3" fontId="32" fillId="0" borderId="0" xfId="2" applyNumberFormat="1" applyFont="1"/>
    <xf numFmtId="0" fontId="10" fillId="7" borderId="70" xfId="2" applyFill="1" applyBorder="1" applyAlignment="1">
      <alignment horizontal="center" vertical="center"/>
    </xf>
    <xf numFmtId="0" fontId="9" fillId="0" borderId="73" xfId="2" applyFont="1" applyFill="1" applyBorder="1" applyAlignment="1">
      <alignment horizontal="center" vertical="center"/>
    </xf>
    <xf numFmtId="0" fontId="9" fillId="0" borderId="74" xfId="2" applyFont="1" applyFill="1" applyBorder="1" applyAlignment="1">
      <alignment horizontal="center" vertical="center"/>
    </xf>
    <xf numFmtId="164" fontId="19" fillId="0" borderId="48" xfId="2" applyNumberFormat="1" applyFont="1" applyFill="1" applyBorder="1" applyAlignment="1">
      <alignment horizontal="right" vertical="center"/>
    </xf>
    <xf numFmtId="164" fontId="19" fillId="0" borderId="65" xfId="2" applyNumberFormat="1" applyFont="1" applyFill="1" applyBorder="1" applyAlignment="1">
      <alignment horizontal="right" vertical="center"/>
    </xf>
    <xf numFmtId="0" fontId="9" fillId="0" borderId="0" xfId="1" applyFont="1" applyFill="1" applyBorder="1" applyAlignment="1">
      <alignment horizontal="center" vertical="center"/>
    </xf>
    <xf numFmtId="0" fontId="8" fillId="0" borderId="0" xfId="2" applyFont="1" applyFill="1"/>
    <xf numFmtId="0" fontId="13" fillId="0" borderId="0" xfId="3" applyFont="1" applyFill="1" applyAlignment="1">
      <alignment vertical="center"/>
    </xf>
    <xf numFmtId="0" fontId="35" fillId="0" borderId="107" xfId="2" applyFont="1" applyFill="1" applyBorder="1" applyAlignment="1">
      <alignment horizontal="center" vertical="center"/>
    </xf>
    <xf numFmtId="11" fontId="13" fillId="0" borderId="110" xfId="2" applyNumberFormat="1" applyFont="1" applyFill="1" applyBorder="1" applyAlignment="1">
      <alignment horizontal="center" vertical="center"/>
    </xf>
    <xf numFmtId="11" fontId="13" fillId="0" borderId="0" xfId="2" applyNumberFormat="1" applyFont="1" applyFill="1" applyBorder="1" applyAlignment="1">
      <alignment horizontal="center" vertical="center"/>
    </xf>
    <xf numFmtId="11" fontId="13" fillId="0" borderId="111" xfId="2" applyNumberFormat="1" applyFont="1" applyFill="1" applyBorder="1" applyAlignment="1">
      <alignment horizontal="center" vertical="center"/>
    </xf>
    <xf numFmtId="11" fontId="13" fillId="0" borderId="112" xfId="2" applyNumberFormat="1" applyFont="1" applyFill="1" applyBorder="1" applyAlignment="1">
      <alignment horizontal="center" vertical="center"/>
    </xf>
    <xf numFmtId="11" fontId="13" fillId="0" borderId="113" xfId="2" applyNumberFormat="1" applyFont="1" applyFill="1" applyBorder="1" applyAlignment="1">
      <alignment horizontal="center" vertical="center"/>
    </xf>
    <xf numFmtId="11" fontId="29" fillId="0" borderId="114" xfId="2" applyNumberFormat="1" applyFont="1" applyFill="1" applyBorder="1" applyAlignment="1">
      <alignment horizontal="center" vertical="center"/>
    </xf>
    <xf numFmtId="0" fontId="35" fillId="0" borderId="0" xfId="2" applyFont="1" applyFill="1" applyBorder="1" applyAlignment="1">
      <alignment horizontal="center" vertical="center"/>
    </xf>
    <xf numFmtId="11" fontId="13" fillId="0" borderId="118" xfId="2" applyNumberFormat="1" applyFont="1" applyFill="1" applyBorder="1" applyAlignment="1">
      <alignment horizontal="center"/>
    </xf>
    <xf numFmtId="11" fontId="13" fillId="0" borderId="119" xfId="2" applyNumberFormat="1" applyFont="1" applyFill="1" applyBorder="1" applyAlignment="1">
      <alignment horizontal="center"/>
    </xf>
    <xf numFmtId="11" fontId="13" fillId="0" borderId="120" xfId="2" applyNumberFormat="1" applyFont="1" applyFill="1" applyBorder="1" applyAlignment="1">
      <alignment horizontal="center"/>
    </xf>
    <xf numFmtId="0" fontId="29" fillId="0" borderId="0" xfId="2" applyFont="1" applyFill="1" applyBorder="1" applyAlignment="1">
      <alignment horizontal="center" vertical="center"/>
    </xf>
    <xf numFmtId="0" fontId="10" fillId="0" borderId="109" xfId="2" applyFont="1" applyFill="1" applyBorder="1" applyAlignment="1">
      <alignment horizontal="left" vertical="center"/>
    </xf>
    <xf numFmtId="0" fontId="10" fillId="0" borderId="121" xfId="2" applyFont="1" applyFill="1" applyBorder="1"/>
    <xf numFmtId="0" fontId="36" fillId="0" borderId="122" xfId="2" applyFont="1" applyBorder="1" applyAlignment="1">
      <alignment horizontal="center" vertical="center" wrapText="1"/>
    </xf>
    <xf numFmtId="0" fontId="36" fillId="0" borderId="123" xfId="2" applyFont="1" applyBorder="1" applyAlignment="1">
      <alignment horizontal="center" vertical="center"/>
    </xf>
    <xf numFmtId="0" fontId="19" fillId="0" borderId="123" xfId="2" applyFont="1" applyBorder="1" applyAlignment="1">
      <alignment horizontal="center" vertical="center"/>
    </xf>
    <xf numFmtId="0" fontId="36" fillId="0" borderId="124" xfId="2" applyFont="1" applyBorder="1" applyAlignment="1">
      <alignment horizontal="center" vertical="center" wrapText="1"/>
    </xf>
    <xf numFmtId="0" fontId="36" fillId="0" borderId="37" xfId="2" applyFont="1" applyBorder="1" applyAlignment="1">
      <alignment horizontal="center" vertical="center"/>
    </xf>
    <xf numFmtId="0" fontId="25" fillId="0" borderId="0" xfId="2" applyFont="1" applyFill="1" applyBorder="1"/>
    <xf numFmtId="11" fontId="13" fillId="0" borderId="0" xfId="2" applyNumberFormat="1" applyFont="1" applyFill="1" applyBorder="1" applyAlignment="1">
      <alignment horizontal="center"/>
    </xf>
    <xf numFmtId="0" fontId="36" fillId="0" borderId="124" xfId="2" applyFont="1" applyFill="1" applyBorder="1" applyAlignment="1">
      <alignment horizontal="center" vertical="center" wrapText="1"/>
    </xf>
    <xf numFmtId="0" fontId="11" fillId="6" borderId="0" xfId="4" applyFont="1" applyFill="1" applyBorder="1" applyAlignment="1">
      <alignment horizontal="left" vertical="center"/>
    </xf>
    <xf numFmtId="0" fontId="38" fillId="0" borderId="0" xfId="0" applyFont="1" applyAlignment="1">
      <alignment vertical="center"/>
    </xf>
    <xf numFmtId="0" fontId="8" fillId="0" borderId="0" xfId="4" applyFont="1" applyFill="1" applyAlignment="1">
      <alignment vertical="center"/>
    </xf>
    <xf numFmtId="0" fontId="9" fillId="0" borderId="0" xfId="5" applyFont="1" applyFill="1" applyAlignment="1">
      <alignment horizontal="left" vertical="center"/>
    </xf>
    <xf numFmtId="0" fontId="8" fillId="0" borderId="0" xfId="5" applyFont="1" applyFill="1" applyAlignment="1">
      <alignment horizontal="left" vertical="center"/>
    </xf>
    <xf numFmtId="0" fontId="9" fillId="0" borderId="0" xfId="5" applyFont="1" applyFill="1" applyAlignment="1">
      <alignment vertical="center"/>
    </xf>
    <xf numFmtId="0" fontId="10" fillId="0" borderId="0" xfId="5" applyFont="1" applyFill="1" applyAlignment="1">
      <alignment vertical="center"/>
    </xf>
    <xf numFmtId="0" fontId="10" fillId="0" borderId="0" xfId="5" applyFont="1" applyFill="1" applyAlignment="1">
      <alignment horizontal="left" vertical="center"/>
    </xf>
    <xf numFmtId="0" fontId="8" fillId="6" borderId="126" xfId="4" applyFont="1" applyFill="1" applyBorder="1" applyAlignment="1">
      <alignment horizontal="center" vertical="center"/>
    </xf>
    <xf numFmtId="0" fontId="39" fillId="0" borderId="67" xfId="4" applyFont="1" applyFill="1" applyBorder="1" applyAlignment="1">
      <alignment vertical="center"/>
    </xf>
    <xf numFmtId="0" fontId="39" fillId="0" borderId="68" xfId="4" applyFont="1" applyFill="1" applyBorder="1" applyAlignment="1">
      <alignment vertical="center"/>
    </xf>
    <xf numFmtId="0" fontId="39" fillId="0" borderId="127" xfId="4" applyFont="1" applyFill="1" applyBorder="1" applyAlignment="1">
      <alignment horizontal="center" vertical="center"/>
    </xf>
    <xf numFmtId="0" fontId="11" fillId="8" borderId="0" xfId="4" applyFont="1" applyFill="1" applyAlignment="1">
      <alignment vertical="center"/>
    </xf>
    <xf numFmtId="0" fontId="11" fillId="9" borderId="0" xfId="4" applyFont="1" applyFill="1" applyAlignment="1">
      <alignment vertical="center"/>
    </xf>
    <xf numFmtId="0" fontId="35" fillId="0" borderId="0" xfId="4" applyFont="1" applyFill="1" applyAlignment="1">
      <alignment horizontal="left" vertical="center"/>
    </xf>
    <xf numFmtId="0" fontId="29" fillId="0" borderId="0" xfId="0" applyFont="1" applyAlignment="1">
      <alignment vertical="center"/>
    </xf>
    <xf numFmtId="0" fontId="35" fillId="9" borderId="131" xfId="0" applyFont="1" applyFill="1" applyBorder="1" applyAlignment="1">
      <alignment horizontal="center" vertical="center"/>
    </xf>
    <xf numFmtId="0" fontId="35" fillId="9" borderId="132" xfId="0" applyFont="1" applyFill="1" applyBorder="1" applyAlignment="1">
      <alignment horizontal="center" vertical="center"/>
    </xf>
    <xf numFmtId="2" fontId="29" fillId="0" borderId="134" xfId="0" applyNumberFormat="1" applyFont="1" applyBorder="1" applyAlignment="1">
      <alignment horizontal="center" vertical="center"/>
    </xf>
    <xf numFmtId="3" fontId="29" fillId="0" borderId="135" xfId="0" applyNumberFormat="1"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3" fontId="29" fillId="0" borderId="0" xfId="0" applyNumberFormat="1" applyFont="1" applyAlignment="1">
      <alignment vertical="center"/>
    </xf>
    <xf numFmtId="0" fontId="42" fillId="0" borderId="0" xfId="0" applyFont="1" applyAlignment="1">
      <alignment vertical="center"/>
    </xf>
    <xf numFmtId="0" fontId="43" fillId="11" borderId="0" xfId="0" applyFont="1" applyFill="1" applyAlignment="1">
      <alignment vertical="center"/>
    </xf>
    <xf numFmtId="0" fontId="38" fillId="11" borderId="0" xfId="0" applyFont="1" applyFill="1" applyAlignment="1">
      <alignment vertical="center"/>
    </xf>
    <xf numFmtId="0" fontId="43" fillId="0" borderId="0" xfId="0" applyFont="1" applyAlignment="1">
      <alignment vertical="center"/>
    </xf>
    <xf numFmtId="0" fontId="21" fillId="11" borderId="32" xfId="0" applyFont="1" applyFill="1" applyBorder="1" applyAlignment="1">
      <alignment horizontal="center" vertical="center" wrapText="1"/>
    </xf>
    <xf numFmtId="0" fontId="21" fillId="11" borderId="32" xfId="0" applyFont="1" applyFill="1" applyBorder="1" applyAlignment="1">
      <alignment horizontal="center" vertical="center"/>
    </xf>
    <xf numFmtId="0" fontId="21" fillId="11" borderId="33" xfId="0" applyFont="1" applyFill="1" applyBorder="1" applyAlignment="1">
      <alignment horizontal="center" vertical="center"/>
    </xf>
    <xf numFmtId="3" fontId="24" fillId="0" borderId="43" xfId="0" applyNumberFormat="1" applyFont="1" applyBorder="1" applyAlignment="1">
      <alignment horizontal="center" vertical="center"/>
    </xf>
    <xf numFmtId="164" fontId="24" fillId="0" borderId="43" xfId="0" applyNumberFormat="1" applyFont="1" applyBorder="1" applyAlignment="1">
      <alignment horizontal="center" vertical="center"/>
    </xf>
    <xf numFmtId="164" fontId="24" fillId="0" borderId="138" xfId="0" applyNumberFormat="1" applyFont="1" applyBorder="1" applyAlignment="1">
      <alignment horizontal="center" vertical="center"/>
    </xf>
    <xf numFmtId="164" fontId="21" fillId="11" borderId="32" xfId="0" applyNumberFormat="1" applyFont="1" applyFill="1" applyBorder="1" applyAlignment="1">
      <alignment horizontal="center" vertical="center"/>
    </xf>
    <xf numFmtId="164" fontId="21" fillId="11" borderId="33" xfId="0" applyNumberFormat="1" applyFont="1" applyFill="1" applyBorder="1" applyAlignment="1">
      <alignment horizontal="center" vertical="center"/>
    </xf>
    <xf numFmtId="4" fontId="21" fillId="11" borderId="140" xfId="0" applyNumberFormat="1" applyFont="1" applyFill="1" applyBorder="1" applyAlignment="1">
      <alignment horizontal="center" vertical="center"/>
    </xf>
    <xf numFmtId="4" fontId="21" fillId="11" borderId="44" xfId="0" applyNumberFormat="1" applyFont="1" applyFill="1" applyBorder="1" applyAlignment="1">
      <alignment horizontal="center" vertical="center"/>
    </xf>
    <xf numFmtId="3" fontId="19" fillId="0" borderId="46" xfId="2" applyNumberFormat="1" applyFont="1" applyFill="1" applyBorder="1" applyAlignment="1">
      <alignment horizontal="center" vertical="center"/>
    </xf>
    <xf numFmtId="0" fontId="45" fillId="0" borderId="0" xfId="6" applyFont="1" applyAlignment="1"/>
    <xf numFmtId="0" fontId="44" fillId="0" borderId="0" xfId="6" applyFont="1"/>
    <xf numFmtId="0" fontId="45" fillId="0" borderId="0" xfId="6" applyFont="1"/>
    <xf numFmtId="0" fontId="45" fillId="0" borderId="0" xfId="6" applyFont="1" applyAlignment="1">
      <alignment horizontal="center"/>
    </xf>
    <xf numFmtId="0" fontId="45" fillId="0" borderId="0" xfId="6" applyFont="1" applyAlignment="1">
      <alignment horizontal="left"/>
    </xf>
    <xf numFmtId="0" fontId="45" fillId="0" borderId="0" xfId="6" quotePrefix="1" applyFont="1" applyAlignment="1">
      <alignment horizontal="center"/>
    </xf>
    <xf numFmtId="0" fontId="45" fillId="0" borderId="141" xfId="6" applyFont="1" applyBorder="1" applyAlignment="1">
      <alignment horizontal="center"/>
    </xf>
    <xf numFmtId="0" fontId="45" fillId="0" borderId="0" xfId="6" applyFont="1" applyBorder="1" applyAlignment="1"/>
    <xf numFmtId="2" fontId="45" fillId="0" borderId="0" xfId="6" applyNumberFormat="1" applyFont="1" applyBorder="1" applyAlignment="1">
      <alignment horizontal="center"/>
    </xf>
    <xf numFmtId="0" fontId="45" fillId="0" borderId="0" xfId="6" applyFont="1" applyBorder="1" applyAlignment="1">
      <alignment horizontal="center"/>
    </xf>
    <xf numFmtId="0" fontId="45" fillId="0" borderId="0" xfId="6" quotePrefix="1" applyFont="1" applyBorder="1" applyAlignment="1">
      <alignment horizontal="center"/>
    </xf>
    <xf numFmtId="0" fontId="44" fillId="0" borderId="0" xfId="6" quotePrefix="1" applyFont="1" applyAlignment="1">
      <alignment horizontal="center"/>
    </xf>
    <xf numFmtId="1" fontId="45" fillId="0" borderId="0" xfId="6" applyNumberFormat="1" applyFont="1" applyAlignment="1">
      <alignment horizontal="center"/>
    </xf>
    <xf numFmtId="165" fontId="45" fillId="0" borderId="0" xfId="6" applyNumberFormat="1" applyFont="1" applyAlignment="1">
      <alignment horizontal="center"/>
    </xf>
    <xf numFmtId="164" fontId="45" fillId="0" borderId="0" xfId="6" applyNumberFormat="1" applyFont="1" applyFill="1" applyAlignment="1">
      <alignment horizontal="center"/>
    </xf>
    <xf numFmtId="0" fontId="45" fillId="0" borderId="0" xfId="6" applyFont="1" applyBorder="1"/>
    <xf numFmtId="9" fontId="45" fillId="0" borderId="0" xfId="6" applyNumberFormat="1" applyFont="1" applyBorder="1" applyAlignment="1">
      <alignment horizontal="center"/>
    </xf>
    <xf numFmtId="164" fontId="45" fillId="0" borderId="0" xfId="6" applyNumberFormat="1" applyFont="1" applyFill="1" applyBorder="1" applyAlignment="1">
      <alignment horizontal="center"/>
    </xf>
    <xf numFmtId="0" fontId="45" fillId="0" borderId="0" xfId="6" applyFont="1" applyBorder="1" applyAlignment="1">
      <alignment horizontal="left"/>
    </xf>
    <xf numFmtId="0" fontId="45" fillId="0" borderId="0" xfId="6" applyFont="1" applyFill="1"/>
    <xf numFmtId="0" fontId="45" fillId="0" borderId="0" xfId="6" applyFont="1" applyFill="1" applyAlignment="1">
      <alignment horizontal="center"/>
    </xf>
    <xf numFmtId="0" fontId="45" fillId="0" borderId="0" xfId="6" quotePrefix="1" applyFont="1" applyFill="1" applyAlignment="1">
      <alignment horizontal="center"/>
    </xf>
    <xf numFmtId="0" fontId="45" fillId="0" borderId="0" xfId="6" applyFont="1" applyFill="1" applyAlignment="1">
      <alignment horizontal="left"/>
    </xf>
    <xf numFmtId="0" fontId="45" fillId="0" borderId="0" xfId="6" applyFont="1" applyFill="1" applyAlignment="1">
      <alignment horizontal="right"/>
    </xf>
    <xf numFmtId="3" fontId="45" fillId="0" borderId="0" xfId="6" applyNumberFormat="1" applyFont="1" applyFill="1" applyAlignment="1">
      <alignment horizontal="center"/>
    </xf>
    <xf numFmtId="0" fontId="45" fillId="0" borderId="0" xfId="6" applyFont="1" applyFill="1" applyAlignment="1"/>
    <xf numFmtId="3" fontId="45" fillId="0" borderId="0" xfId="6" applyNumberFormat="1" applyFont="1" applyAlignment="1">
      <alignment horizontal="center"/>
    </xf>
    <xf numFmtId="0" fontId="45" fillId="0" borderId="0" xfId="6" quotePrefix="1" applyFont="1"/>
    <xf numFmtId="166" fontId="45" fillId="0" borderId="0" xfId="6" applyNumberFormat="1" applyFont="1" applyAlignment="1">
      <alignment horizontal="center"/>
    </xf>
    <xf numFmtId="2" fontId="45" fillId="0" borderId="0" xfId="6" applyNumberFormat="1" applyFont="1" applyAlignment="1">
      <alignment horizontal="center"/>
    </xf>
    <xf numFmtId="164" fontId="45" fillId="0" borderId="0" xfId="6" applyNumberFormat="1" applyFont="1" applyAlignment="1">
      <alignment horizontal="left"/>
    </xf>
    <xf numFmtId="164" fontId="45" fillId="0" borderId="0" xfId="6" applyNumberFormat="1" applyFont="1" applyAlignment="1">
      <alignment horizontal="center"/>
    </xf>
    <xf numFmtId="0" fontId="44" fillId="0" borderId="142" xfId="6" applyFont="1" applyBorder="1" applyAlignment="1">
      <alignment horizontal="center"/>
    </xf>
    <xf numFmtId="0" fontId="44" fillId="0" borderId="5" xfId="6" applyFont="1" applyBorder="1" applyAlignment="1">
      <alignment horizontal="center"/>
    </xf>
    <xf numFmtId="0" fontId="45" fillId="0" borderId="1" xfId="6" applyFont="1" applyBorder="1" applyAlignment="1">
      <alignment horizontal="center"/>
    </xf>
    <xf numFmtId="165" fontId="45" fillId="0" borderId="1" xfId="6" applyNumberFormat="1" applyFont="1" applyBorder="1" applyAlignment="1">
      <alignment horizontal="center"/>
    </xf>
    <xf numFmtId="165" fontId="45" fillId="0" borderId="5" xfId="6" applyNumberFormat="1" applyFont="1" applyBorder="1" applyAlignment="1">
      <alignment horizontal="center"/>
    </xf>
    <xf numFmtId="0" fontId="45" fillId="0" borderId="0" xfId="6" applyFont="1" applyAlignment="1">
      <alignment horizontal="right"/>
    </xf>
    <xf numFmtId="167" fontId="45" fillId="0" borderId="0" xfId="6" applyNumberFormat="1" applyFont="1" applyAlignment="1">
      <alignment horizontal="center"/>
    </xf>
    <xf numFmtId="168" fontId="45" fillId="0" borderId="0" xfId="6" applyNumberFormat="1" applyFont="1" applyAlignment="1">
      <alignment horizontal="center"/>
    </xf>
    <xf numFmtId="0" fontId="49" fillId="0" borderId="0" xfId="2" applyFont="1"/>
    <xf numFmtId="0" fontId="50" fillId="12" borderId="145" xfId="2" applyFont="1" applyFill="1" applyBorder="1" applyAlignment="1">
      <alignment horizontal="center"/>
    </xf>
    <xf numFmtId="0" fontId="50" fillId="12" borderId="149" xfId="2" applyFont="1" applyFill="1" applyBorder="1" applyAlignment="1">
      <alignment horizontal="center"/>
    </xf>
    <xf numFmtId="0" fontId="50" fillId="12" borderId="1" xfId="2" applyFont="1" applyFill="1" applyBorder="1" applyAlignment="1">
      <alignment horizontal="center"/>
    </xf>
    <xf numFmtId="0" fontId="50" fillId="12" borderId="5" xfId="2" applyFont="1" applyFill="1" applyBorder="1" applyAlignment="1">
      <alignment horizontal="center"/>
    </xf>
    <xf numFmtId="0" fontId="32" fillId="0" borderId="156" xfId="2" applyFont="1" applyFill="1" applyBorder="1" applyAlignment="1">
      <alignment horizontal="center"/>
    </xf>
    <xf numFmtId="0" fontId="32" fillId="0" borderId="1" xfId="2" applyFont="1" applyFill="1" applyBorder="1" applyAlignment="1">
      <alignment horizontal="center"/>
    </xf>
    <xf numFmtId="0" fontId="32" fillId="0" borderId="1" xfId="2" applyFont="1" applyFill="1" applyBorder="1" applyAlignment="1">
      <alignment horizontal="center" vertical="center"/>
    </xf>
    <xf numFmtId="0" fontId="51" fillId="0" borderId="3" xfId="7" applyFont="1" applyBorder="1"/>
    <xf numFmtId="0" fontId="51" fillId="0" borderId="4" xfId="7" applyFont="1" applyBorder="1"/>
    <xf numFmtId="169" fontId="51" fillId="0" borderId="157" xfId="8" applyNumberFormat="1" applyFont="1" applyBorder="1"/>
    <xf numFmtId="0" fontId="51" fillId="0" borderId="158" xfId="7" applyFont="1" applyBorder="1"/>
    <xf numFmtId="0" fontId="52" fillId="0" borderId="0" xfId="2" applyFont="1" applyFill="1"/>
    <xf numFmtId="0" fontId="49" fillId="0" borderId="0" xfId="2" applyFont="1" applyFill="1"/>
    <xf numFmtId="3" fontId="32" fillId="0" borderId="3" xfId="2" applyNumberFormat="1" applyFont="1" applyFill="1" applyBorder="1"/>
    <xf numFmtId="0" fontId="32" fillId="0" borderId="4" xfId="2" applyFont="1" applyFill="1" applyBorder="1"/>
    <xf numFmtId="3" fontId="51" fillId="0" borderId="3" xfId="7" applyNumberFormat="1" applyFont="1" applyBorder="1"/>
    <xf numFmtId="0" fontId="51" fillId="0" borderId="1" xfId="9" applyFont="1" applyFill="1" applyBorder="1" applyAlignment="1">
      <alignment horizontal="center"/>
    </xf>
    <xf numFmtId="3" fontId="51" fillId="0" borderId="3" xfId="10" applyNumberFormat="1" applyFont="1" applyBorder="1"/>
    <xf numFmtId="0" fontId="51" fillId="0" borderId="4" xfId="10" applyFont="1" applyBorder="1"/>
    <xf numFmtId="0" fontId="51" fillId="0" borderId="142" xfId="9" applyFont="1" applyFill="1" applyBorder="1" applyAlignment="1">
      <alignment horizontal="center"/>
    </xf>
    <xf numFmtId="0" fontId="32" fillId="0" borderId="156" xfId="2" applyFont="1" applyFill="1" applyBorder="1" applyAlignment="1">
      <alignment horizontal="center" vertical="center"/>
    </xf>
    <xf numFmtId="3" fontId="32" fillId="0" borderId="3" xfId="2" applyNumberFormat="1" applyFont="1" applyFill="1" applyBorder="1" applyAlignment="1">
      <alignment horizontal="right" vertical="center"/>
    </xf>
    <xf numFmtId="0" fontId="32" fillId="0" borderId="4" xfId="2" applyFont="1" applyFill="1" applyBorder="1" applyAlignment="1">
      <alignment horizontal="left" vertical="center"/>
    </xf>
    <xf numFmtId="0" fontId="52" fillId="0" borderId="0" xfId="2" applyFont="1" applyFill="1" applyAlignment="1">
      <alignment vertical="center"/>
    </xf>
    <xf numFmtId="0" fontId="49" fillId="0" borderId="0" xfId="2" applyFont="1" applyFill="1" applyAlignment="1">
      <alignment vertical="center"/>
    </xf>
    <xf numFmtId="0" fontId="32" fillId="0" borderId="1" xfId="11" applyFont="1" applyFill="1" applyBorder="1" applyAlignment="1">
      <alignment horizontal="center" vertical="center" wrapText="1"/>
    </xf>
    <xf numFmtId="0" fontId="51" fillId="0" borderId="3" xfId="11" applyFont="1" applyBorder="1" applyAlignment="1">
      <alignment horizontal="right" vertical="center" wrapText="1"/>
    </xf>
    <xf numFmtId="3" fontId="32" fillId="0" borderId="4" xfId="12" applyNumberFormat="1" applyFont="1" applyFill="1" applyBorder="1" applyAlignment="1">
      <alignment horizontal="left" vertical="center"/>
    </xf>
    <xf numFmtId="1" fontId="51" fillId="0" borderId="3" xfId="11" applyNumberFormat="1" applyFont="1" applyFill="1" applyBorder="1" applyAlignment="1">
      <alignment horizontal="right" vertical="center" wrapText="1"/>
    </xf>
    <xf numFmtId="0" fontId="55" fillId="0" borderId="0" xfId="13" applyFont="1" applyFill="1"/>
    <xf numFmtId="0" fontId="51" fillId="0" borderId="1" xfId="11" applyFont="1" applyBorder="1" applyAlignment="1">
      <alignment horizontal="center" vertical="center" wrapText="1"/>
    </xf>
    <xf numFmtId="0" fontId="52" fillId="0" borderId="0" xfId="2" applyFont="1"/>
    <xf numFmtId="0" fontId="32" fillId="0" borderId="142" xfId="11" applyFont="1" applyFill="1" applyBorder="1" applyAlignment="1">
      <alignment horizontal="center" vertical="center" wrapText="1"/>
    </xf>
    <xf numFmtId="0" fontId="32" fillId="0" borderId="1" xfId="2" applyFont="1" applyBorder="1" applyAlignment="1">
      <alignment horizontal="center"/>
    </xf>
    <xf numFmtId="0" fontId="32" fillId="0" borderId="4" xfId="2" applyFont="1" applyBorder="1" applyAlignment="1">
      <alignment horizontal="left"/>
    </xf>
    <xf numFmtId="0" fontId="32" fillId="0" borderId="159" xfId="2" applyFont="1" applyBorder="1" applyAlignment="1">
      <alignment horizontal="left"/>
    </xf>
    <xf numFmtId="0" fontId="32" fillId="0" borderId="160" xfId="2" applyFont="1" applyFill="1" applyBorder="1" applyAlignment="1">
      <alignment horizontal="center"/>
    </xf>
    <xf numFmtId="0" fontId="32" fillId="0" borderId="5" xfId="2" applyFont="1" applyFill="1" applyBorder="1" applyAlignment="1">
      <alignment horizontal="center"/>
    </xf>
    <xf numFmtId="0" fontId="51" fillId="0" borderId="158" xfId="7" applyFont="1" applyFill="1" applyBorder="1"/>
    <xf numFmtId="0" fontId="32" fillId="0" borderId="161" xfId="2" applyFont="1" applyFill="1" applyBorder="1" applyAlignment="1">
      <alignment horizontal="center"/>
    </xf>
    <xf numFmtId="0" fontId="32" fillId="0" borderId="162" xfId="2" applyFont="1" applyFill="1" applyBorder="1" applyAlignment="1">
      <alignment horizontal="center"/>
    </xf>
    <xf numFmtId="3" fontId="32" fillId="0" borderId="162" xfId="2" applyNumberFormat="1" applyFont="1" applyFill="1" applyBorder="1"/>
    <xf numFmtId="0" fontId="51" fillId="0" borderId="163" xfId="7" applyFont="1" applyFill="1" applyBorder="1"/>
    <xf numFmtId="0" fontId="56" fillId="0" borderId="0" xfId="2" applyFont="1"/>
    <xf numFmtId="0" fontId="32" fillId="0" borderId="157" xfId="2" applyFont="1" applyFill="1" applyBorder="1" applyAlignment="1">
      <alignment horizontal="center"/>
    </xf>
    <xf numFmtId="0" fontId="32" fillId="0" borderId="168" xfId="2" applyFont="1" applyFill="1" applyBorder="1" applyAlignment="1">
      <alignment horizontal="center"/>
    </xf>
    <xf numFmtId="0" fontId="32" fillId="0" borderId="169" xfId="2" applyFont="1" applyFill="1" applyBorder="1" applyAlignment="1">
      <alignment horizontal="center"/>
    </xf>
    <xf numFmtId="0" fontId="32" fillId="0" borderId="0" xfId="2" applyFont="1" applyBorder="1"/>
    <xf numFmtId="0" fontId="32" fillId="0" borderId="0" xfId="2" applyFont="1" applyAlignment="1">
      <alignment vertical="center"/>
    </xf>
    <xf numFmtId="0" fontId="49" fillId="0" borderId="0" xfId="2" applyFont="1" applyAlignment="1">
      <alignment vertical="center"/>
    </xf>
    <xf numFmtId="0" fontId="32" fillId="0" borderId="0" xfId="2" applyFont="1" applyBorder="1" applyAlignment="1">
      <alignment horizontal="right"/>
    </xf>
    <xf numFmtId="0" fontId="32" fillId="0" borderId="0" xfId="2" applyFont="1" applyFill="1"/>
    <xf numFmtId="15" fontId="50" fillId="12" borderId="145" xfId="14" applyFont="1" applyFill="1" applyBorder="1" applyAlignment="1">
      <alignment horizontal="center"/>
    </xf>
    <xf numFmtId="165" fontId="50" fillId="12" borderId="145" xfId="14" applyNumberFormat="1" applyFont="1" applyFill="1" applyBorder="1" applyAlignment="1">
      <alignment horizontal="centerContinuous"/>
    </xf>
    <xf numFmtId="0" fontId="50" fillId="12" borderId="156" xfId="2" applyFont="1" applyFill="1" applyBorder="1" applyAlignment="1">
      <alignment horizontal="center"/>
    </xf>
    <xf numFmtId="15" fontId="50" fillId="12" borderId="5" xfId="14" applyFont="1" applyFill="1" applyBorder="1" applyAlignment="1">
      <alignment horizontal="center"/>
    </xf>
    <xf numFmtId="165" fontId="50" fillId="12" borderId="5" xfId="14" applyNumberFormat="1" applyFont="1" applyFill="1" applyBorder="1" applyAlignment="1">
      <alignment horizontal="centerContinuous"/>
    </xf>
    <xf numFmtId="0" fontId="32" fillId="0" borderId="160" xfId="2" applyFont="1" applyBorder="1" applyAlignment="1">
      <alignment horizontal="center"/>
    </xf>
    <xf numFmtId="0" fontId="32" fillId="0" borderId="5" xfId="2" applyFont="1" applyBorder="1" applyAlignment="1">
      <alignment horizontal="center"/>
    </xf>
    <xf numFmtId="0" fontId="32" fillId="0" borderId="5" xfId="2" applyFont="1" applyFill="1" applyBorder="1" applyAlignment="1">
      <alignment horizontal="center" vertical="center"/>
    </xf>
    <xf numFmtId="0" fontId="32" fillId="0" borderId="151" xfId="2" applyFont="1" applyBorder="1" applyAlignment="1"/>
    <xf numFmtId="3" fontId="32" fillId="0" borderId="150" xfId="2" applyNumberFormat="1" applyFont="1" applyBorder="1" applyAlignment="1"/>
    <xf numFmtId="3" fontId="51" fillId="0" borderId="3" xfId="7" applyNumberFormat="1" applyFont="1" applyFill="1" applyBorder="1" applyAlignment="1">
      <alignment vertical="center"/>
    </xf>
    <xf numFmtId="3" fontId="32" fillId="0" borderId="178" xfId="2" applyNumberFormat="1" applyFont="1" applyBorder="1" applyAlignment="1">
      <alignment horizontal="left" vertical="center"/>
    </xf>
    <xf numFmtId="164" fontId="32" fillId="0" borderId="179" xfId="2" applyNumberFormat="1" applyFont="1" applyFill="1" applyBorder="1" applyAlignment="1">
      <alignment horizontal="right" vertical="center"/>
    </xf>
    <xf numFmtId="3" fontId="32" fillId="0" borderId="180" xfId="2" applyNumberFormat="1" applyFont="1" applyBorder="1" applyAlignment="1">
      <alignment horizontal="left" vertical="center"/>
    </xf>
    <xf numFmtId="0" fontId="32" fillId="0" borderId="4" xfId="2" applyFont="1" applyBorder="1" applyAlignment="1"/>
    <xf numFmtId="3" fontId="32" fillId="0" borderId="4" xfId="2" applyNumberFormat="1" applyFont="1" applyBorder="1" applyAlignment="1">
      <alignment horizontal="left" vertical="center"/>
    </xf>
    <xf numFmtId="164" fontId="32" fillId="0" borderId="3" xfId="2" applyNumberFormat="1" applyFont="1" applyFill="1" applyBorder="1" applyAlignment="1">
      <alignment horizontal="right" vertical="center"/>
    </xf>
    <xf numFmtId="3" fontId="32" fillId="0" borderId="158" xfId="2" applyNumberFormat="1" applyFont="1" applyBorder="1" applyAlignment="1">
      <alignment horizontal="left" vertical="center"/>
    </xf>
    <xf numFmtId="0" fontId="59" fillId="0" borderId="0" xfId="2" applyFont="1" applyBorder="1" applyAlignment="1">
      <alignment vertical="center"/>
    </xf>
    <xf numFmtId="0" fontId="59" fillId="0" borderId="0" xfId="2" applyFont="1" applyAlignment="1">
      <alignment vertical="center"/>
    </xf>
    <xf numFmtId="2" fontId="32" fillId="0" borderId="0" xfId="2" applyNumberFormat="1" applyFont="1"/>
    <xf numFmtId="0" fontId="32" fillId="0" borderId="160" xfId="13" applyFont="1" applyBorder="1" applyAlignment="1">
      <alignment horizontal="center"/>
    </xf>
    <xf numFmtId="0" fontId="32" fillId="0" borderId="1" xfId="13" applyFont="1" applyBorder="1" applyAlignment="1">
      <alignment horizontal="center"/>
    </xf>
    <xf numFmtId="0" fontId="32" fillId="0" borderId="3" xfId="13" applyFont="1" applyBorder="1" applyAlignment="1">
      <alignment horizontal="right"/>
    </xf>
    <xf numFmtId="0" fontId="32" fillId="0" borderId="4" xfId="13" quotePrefix="1" applyFont="1" applyBorder="1" applyAlignment="1"/>
    <xf numFmtId="0" fontId="32" fillId="0" borderId="4" xfId="13" applyFont="1" applyBorder="1" applyAlignment="1"/>
    <xf numFmtId="0" fontId="51" fillId="0" borderId="4" xfId="7" applyFont="1" applyFill="1" applyBorder="1" applyAlignment="1">
      <alignment vertical="center"/>
    </xf>
    <xf numFmtId="0" fontId="32" fillId="0" borderId="3" xfId="2" applyFont="1" applyBorder="1" applyAlignment="1"/>
    <xf numFmtId="3" fontId="32" fillId="0" borderId="4" xfId="2" applyNumberFormat="1" applyFont="1" applyBorder="1" applyAlignment="1"/>
    <xf numFmtId="164" fontId="51" fillId="0" borderId="3" xfId="7" applyNumberFormat="1" applyFont="1" applyBorder="1" applyAlignment="1">
      <alignment vertical="center"/>
    </xf>
    <xf numFmtId="164" fontId="32" fillId="0" borderId="3" xfId="2" applyNumberFormat="1" applyFont="1" applyFill="1" applyBorder="1" applyAlignment="1">
      <alignment vertical="center"/>
    </xf>
    <xf numFmtId="2" fontId="32" fillId="0" borderId="0" xfId="2" applyNumberFormat="1" applyFont="1" applyAlignment="1">
      <alignment vertical="center"/>
    </xf>
    <xf numFmtId="171" fontId="32" fillId="0" borderId="0" xfId="2" applyNumberFormat="1" applyFont="1"/>
    <xf numFmtId="3" fontId="32" fillId="0" borderId="151" xfId="2" applyNumberFormat="1" applyFont="1" applyBorder="1" applyAlignment="1"/>
    <xf numFmtId="0" fontId="32" fillId="0" borderId="5" xfId="13" applyFont="1" applyFill="1" applyBorder="1" applyAlignment="1">
      <alignment horizontal="center" vertical="center"/>
    </xf>
    <xf numFmtId="3" fontId="32" fillId="0" borderId="181" xfId="2" applyNumberFormat="1" applyFont="1" applyFill="1" applyBorder="1" applyAlignment="1">
      <alignment vertical="center"/>
    </xf>
    <xf numFmtId="3" fontId="51" fillId="0" borderId="182" xfId="7" applyNumberFormat="1" applyFont="1" applyFill="1" applyBorder="1" applyAlignment="1">
      <alignment vertical="center"/>
    </xf>
    <xf numFmtId="164" fontId="50" fillId="0" borderId="184" xfId="2" applyNumberFormat="1" applyFont="1" applyFill="1" applyBorder="1" applyAlignment="1"/>
    <xf numFmtId="0" fontId="50" fillId="0" borderId="163" xfId="2" applyFont="1" applyBorder="1" applyAlignment="1">
      <alignment horizontal="left"/>
    </xf>
    <xf numFmtId="3" fontId="32" fillId="0" borderId="178" xfId="2" applyNumberFormat="1" applyFont="1" applyBorder="1" applyAlignment="1"/>
    <xf numFmtId="0" fontId="32" fillId="0" borderId="180" xfId="2" applyFont="1" applyFill="1" applyBorder="1" applyAlignment="1">
      <alignment horizontal="left"/>
    </xf>
    <xf numFmtId="0" fontId="32" fillId="0" borderId="152" xfId="2" applyFont="1" applyFill="1" applyBorder="1" applyAlignment="1">
      <alignment horizontal="left"/>
    </xf>
    <xf numFmtId="0" fontId="32" fillId="0" borderId="152" xfId="2" applyFont="1" applyBorder="1" applyAlignment="1">
      <alignment horizontal="left"/>
    </xf>
    <xf numFmtId="3" fontId="50" fillId="0" borderId="3" xfId="2" applyNumberFormat="1" applyFont="1" applyFill="1" applyBorder="1" applyAlignment="1"/>
    <xf numFmtId="0" fontId="50" fillId="0" borderId="158" xfId="2" applyFont="1" applyBorder="1" applyAlignment="1">
      <alignment horizontal="left"/>
    </xf>
    <xf numFmtId="164" fontId="50" fillId="0" borderId="162" xfId="2" applyNumberFormat="1" applyFont="1" applyFill="1" applyBorder="1" applyAlignment="1"/>
    <xf numFmtId="0" fontId="32" fillId="0" borderId="0" xfId="2" applyFont="1" applyFill="1" applyBorder="1"/>
    <xf numFmtId="0" fontId="50" fillId="0" borderId="0" xfId="2" applyFont="1" applyBorder="1" applyAlignment="1">
      <alignment horizontal="right"/>
    </xf>
    <xf numFmtId="4" fontId="50" fillId="0" borderId="0" xfId="2" applyNumberFormat="1" applyFont="1" applyBorder="1"/>
    <xf numFmtId="0" fontId="50" fillId="0" borderId="0" xfId="2" applyFont="1" applyBorder="1"/>
    <xf numFmtId="0" fontId="32" fillId="0" borderId="0" xfId="2" applyFont="1" applyAlignment="1">
      <alignment horizontal="right"/>
    </xf>
    <xf numFmtId="3" fontId="32" fillId="0" borderId="0" xfId="15" applyNumberFormat="1" applyFont="1"/>
    <xf numFmtId="0" fontId="59" fillId="0" borderId="0" xfId="2" applyFont="1"/>
    <xf numFmtId="165" fontId="32" fillId="0" borderId="0" xfId="2" applyNumberFormat="1" applyFont="1"/>
    <xf numFmtId="0" fontId="60" fillId="0" borderId="0" xfId="2" applyFont="1"/>
    <xf numFmtId="0" fontId="7" fillId="0" borderId="0" xfId="2" applyFont="1"/>
    <xf numFmtId="164" fontId="50" fillId="12" borderId="145" xfId="14" applyNumberFormat="1" applyFont="1" applyFill="1" applyBorder="1" applyAlignment="1">
      <alignment horizontal="centerContinuous"/>
    </xf>
    <xf numFmtId="164" fontId="50" fillId="12" borderId="5" xfId="14" applyNumberFormat="1" applyFont="1" applyFill="1" applyBorder="1" applyAlignment="1">
      <alignment horizontal="centerContinuous"/>
    </xf>
    <xf numFmtId="165" fontId="32" fillId="0" borderId="179" xfId="2" applyNumberFormat="1" applyFont="1" applyFill="1" applyBorder="1" applyAlignment="1"/>
    <xf numFmtId="0" fontId="32" fillId="0" borderId="151" xfId="2" applyFont="1" applyFill="1" applyBorder="1" applyAlignment="1"/>
    <xf numFmtId="3" fontId="32" fillId="0" borderId="179" xfId="2" applyNumberFormat="1" applyFont="1" applyFill="1" applyBorder="1" applyAlignment="1">
      <alignment horizontal="right" vertical="center"/>
    </xf>
    <xf numFmtId="165" fontId="32" fillId="0" borderId="150" xfId="2" applyNumberFormat="1" applyFont="1" applyFill="1" applyBorder="1" applyAlignment="1"/>
    <xf numFmtId="0" fontId="32" fillId="0" borderId="157" xfId="2" applyFont="1" applyFill="1" applyBorder="1" applyAlignment="1"/>
    <xf numFmtId="4" fontId="32" fillId="0" borderId="3" xfId="2" applyNumberFormat="1" applyFont="1" applyFill="1" applyBorder="1" applyAlignment="1">
      <alignment horizontal="right" vertical="center"/>
    </xf>
    <xf numFmtId="3" fontId="32" fillId="0" borderId="158" xfId="2" applyNumberFormat="1" applyFont="1" applyFill="1" applyBorder="1" applyAlignment="1">
      <alignment horizontal="left" vertical="center"/>
    </xf>
    <xf numFmtId="166" fontId="32" fillId="0" borderId="3" xfId="2" applyNumberFormat="1" applyFont="1" applyBorder="1" applyAlignment="1"/>
    <xf numFmtId="11" fontId="32" fillId="0" borderId="3" xfId="2" applyNumberFormat="1" applyFont="1" applyBorder="1" applyAlignment="1"/>
    <xf numFmtId="0" fontId="32" fillId="0" borderId="3" xfId="2" applyFont="1" applyFill="1" applyBorder="1" applyAlignment="1">
      <alignment vertical="center"/>
    </xf>
    <xf numFmtId="3" fontId="32" fillId="0" borderId="157" xfId="2" applyNumberFormat="1" applyFont="1" applyFill="1" applyBorder="1" applyAlignment="1"/>
    <xf numFmtId="4" fontId="32" fillId="0" borderId="181" xfId="2" applyNumberFormat="1" applyFont="1" applyFill="1" applyBorder="1" applyAlignment="1">
      <alignment horizontal="right" vertical="center"/>
    </xf>
    <xf numFmtId="3" fontId="32" fillId="0" borderId="188" xfId="2" applyNumberFormat="1" applyFont="1" applyFill="1" applyBorder="1" applyAlignment="1">
      <alignment horizontal="left" vertical="center"/>
    </xf>
    <xf numFmtId="3" fontId="32" fillId="0" borderId="4" xfId="2" applyNumberFormat="1" applyFont="1" applyFill="1" applyBorder="1" applyAlignment="1"/>
    <xf numFmtId="3" fontId="32" fillId="0" borderId="189" xfId="2" applyNumberFormat="1" applyFont="1" applyFill="1" applyBorder="1" applyAlignment="1"/>
    <xf numFmtId="2" fontId="32" fillId="0" borderId="150" xfId="2" applyNumberFormat="1" applyFont="1" applyFill="1" applyBorder="1" applyAlignment="1">
      <alignment horizontal="right"/>
    </xf>
    <xf numFmtId="166" fontId="32" fillId="0" borderId="150" xfId="2" applyNumberFormat="1" applyFont="1" applyBorder="1" applyAlignment="1"/>
    <xf numFmtId="3" fontId="32" fillId="0" borderId="3" xfId="2" applyNumberFormat="1" applyFont="1" applyFill="1" applyBorder="1" applyAlignment="1">
      <alignment horizontal="center"/>
    </xf>
    <xf numFmtId="1" fontId="32" fillId="0" borderId="150" xfId="2" applyNumberFormat="1" applyFont="1" applyBorder="1" applyAlignment="1"/>
    <xf numFmtId="4" fontId="50" fillId="0" borderId="3" xfId="2" applyNumberFormat="1" applyFont="1" applyFill="1" applyBorder="1" applyAlignment="1"/>
    <xf numFmtId="0" fontId="32" fillId="0" borderId="149" xfId="2" applyFont="1" applyBorder="1" applyAlignment="1">
      <alignment horizontal="center"/>
    </xf>
    <xf numFmtId="0" fontId="32" fillId="0" borderId="157" xfId="2" applyFont="1" applyBorder="1" applyAlignment="1">
      <alignment horizontal="center"/>
    </xf>
    <xf numFmtId="0" fontId="32" fillId="0" borderId="157" xfId="2" applyFont="1" applyBorder="1" applyAlignment="1"/>
    <xf numFmtId="3" fontId="32" fillId="0" borderId="157" xfId="2" applyNumberFormat="1" applyFont="1" applyBorder="1" applyAlignment="1"/>
    <xf numFmtId="3" fontId="32" fillId="0" borderId="157" xfId="2" applyNumberFormat="1" applyFont="1" applyFill="1" applyBorder="1" applyAlignment="1">
      <alignment horizontal="right"/>
    </xf>
    <xf numFmtId="3" fontId="32" fillId="0" borderId="157" xfId="2" applyNumberFormat="1" applyFont="1" applyBorder="1" applyAlignment="1">
      <alignment horizontal="left"/>
    </xf>
    <xf numFmtId="2" fontId="32" fillId="0" borderId="157" xfId="2" applyNumberFormat="1" applyFont="1" applyBorder="1" applyAlignment="1"/>
    <xf numFmtId="0" fontId="32" fillId="0" borderId="158" xfId="2" applyFont="1" applyBorder="1" applyAlignment="1"/>
    <xf numFmtId="0" fontId="50" fillId="0" borderId="0" xfId="2" applyFont="1"/>
    <xf numFmtId="165" fontId="32" fillId="0" borderId="0" xfId="15" applyNumberFormat="1" applyFont="1"/>
    <xf numFmtId="0" fontId="32" fillId="0" borderId="0" xfId="6" applyFont="1"/>
    <xf numFmtId="0" fontId="50" fillId="0" borderId="0" xfId="6" applyFont="1" applyAlignment="1">
      <alignment horizontal="centerContinuous"/>
    </xf>
    <xf numFmtId="0" fontId="50" fillId="0" borderId="0" xfId="9" applyFont="1" applyFill="1" applyAlignment="1">
      <alignment horizontal="centerContinuous"/>
    </xf>
    <xf numFmtId="0" fontId="32" fillId="0" borderId="0" xfId="9" applyFont="1" applyFill="1"/>
    <xf numFmtId="0" fontId="50" fillId="12" borderId="175" xfId="9" applyFont="1" applyFill="1" applyBorder="1" applyAlignment="1">
      <alignment horizontal="center" vertical="center" wrapText="1"/>
    </xf>
    <xf numFmtId="0" fontId="50" fillId="12" borderId="176" xfId="9" applyFont="1" applyFill="1" applyBorder="1" applyAlignment="1">
      <alignment horizontal="center" vertical="center" wrapText="1"/>
    </xf>
    <xf numFmtId="0" fontId="62" fillId="0" borderId="195" xfId="9" applyFont="1" applyFill="1" applyBorder="1" applyAlignment="1">
      <alignment horizontal="center" vertical="center" wrapText="1"/>
    </xf>
    <xf numFmtId="0" fontId="62" fillId="0" borderId="189" xfId="9" applyFont="1" applyFill="1" applyBorder="1" applyAlignment="1">
      <alignment horizontal="center" vertical="center" wrapText="1"/>
    </xf>
    <xf numFmtId="0" fontId="32" fillId="0" borderId="180" xfId="6" applyFont="1" applyBorder="1"/>
    <xf numFmtId="0" fontId="51" fillId="0" borderId="156" xfId="9" applyFont="1" applyFill="1" applyBorder="1" applyAlignment="1">
      <alignment horizontal="center"/>
    </xf>
    <xf numFmtId="0" fontId="32" fillId="0" borderId="1" xfId="9" applyFont="1" applyFill="1" applyBorder="1" applyAlignment="1">
      <alignment horizontal="center"/>
    </xf>
    <xf numFmtId="171" fontId="51" fillId="0" borderId="150" xfId="9" applyNumberFormat="1" applyFont="1" applyFill="1" applyBorder="1" applyAlignment="1">
      <alignment horizontal="right"/>
    </xf>
    <xf numFmtId="0" fontId="32" fillId="0" borderId="151" xfId="9" applyFont="1" applyFill="1" applyBorder="1" applyAlignment="1">
      <alignment horizontal="left" vertical="center" wrapText="1"/>
    </xf>
    <xf numFmtId="3" fontId="51" fillId="0" borderId="150" xfId="9" applyNumberFormat="1" applyFont="1" applyFill="1" applyBorder="1" applyAlignment="1">
      <alignment horizontal="right"/>
    </xf>
    <xf numFmtId="3" fontId="51" fillId="0" borderId="151" xfId="9" applyNumberFormat="1" applyFont="1" applyFill="1" applyBorder="1" applyAlignment="1">
      <alignment horizontal="left" vertical="center" wrapText="1"/>
    </xf>
    <xf numFmtId="3" fontId="51" fillId="0" borderId="3" xfId="9" applyNumberFormat="1" applyFont="1" applyFill="1" applyBorder="1" applyAlignment="1">
      <alignment horizontal="right"/>
    </xf>
    <xf numFmtId="3" fontId="32" fillId="0" borderId="157" xfId="9" applyNumberFormat="1" applyFont="1" applyFill="1" applyBorder="1" applyAlignment="1">
      <alignment horizontal="left"/>
    </xf>
    <xf numFmtId="4" fontId="51" fillId="0" borderId="3" xfId="9" applyNumberFormat="1" applyFont="1" applyFill="1" applyBorder="1" applyAlignment="1">
      <alignment horizontal="right"/>
    </xf>
    <xf numFmtId="0" fontId="32" fillId="0" borderId="158" xfId="6" applyFont="1" applyBorder="1"/>
    <xf numFmtId="171" fontId="51" fillId="0" borderId="3" xfId="9" applyNumberFormat="1" applyFont="1" applyFill="1" applyBorder="1" applyAlignment="1">
      <alignment horizontal="right"/>
    </xf>
    <xf numFmtId="0" fontId="32" fillId="0" borderId="4" xfId="9" applyFont="1" applyFill="1" applyBorder="1" applyAlignment="1">
      <alignment horizontal="left" wrapText="1"/>
    </xf>
    <xf numFmtId="3" fontId="51" fillId="0" borderId="4" xfId="9" applyNumberFormat="1" applyFont="1" applyFill="1" applyBorder="1" applyAlignment="1">
      <alignment horizontal="left" vertical="center" wrapText="1"/>
    </xf>
    <xf numFmtId="2" fontId="37" fillId="0" borderId="184" xfId="9" applyNumberFormat="1" applyFont="1" applyFill="1" applyBorder="1" applyAlignment="1">
      <alignment horizontal="right"/>
    </xf>
    <xf numFmtId="0" fontId="50" fillId="0" borderId="163" xfId="6" applyFont="1" applyBorder="1"/>
    <xf numFmtId="0" fontId="51" fillId="0" borderId="0" xfId="9" applyFont="1" applyFill="1"/>
    <xf numFmtId="0" fontId="51" fillId="0" borderId="0" xfId="16" applyFont="1" applyFill="1"/>
    <xf numFmtId="0" fontId="50" fillId="0" borderId="0" xfId="6" applyFont="1" applyAlignment="1">
      <alignment horizontal="center"/>
    </xf>
    <xf numFmtId="0" fontId="50" fillId="12" borderId="175" xfId="16" applyFont="1" applyFill="1" applyBorder="1" applyAlignment="1">
      <alignment horizontal="center" vertical="center" wrapText="1"/>
    </xf>
    <xf numFmtId="0" fontId="50" fillId="12" borderId="176" xfId="16" applyFont="1" applyFill="1" applyBorder="1" applyAlignment="1">
      <alignment horizontal="center" vertical="center" wrapText="1"/>
    </xf>
    <xf numFmtId="0" fontId="50" fillId="0" borderId="0" xfId="6" applyFont="1" applyBorder="1" applyAlignment="1">
      <alignment horizontal="center"/>
    </xf>
    <xf numFmtId="0" fontId="32" fillId="0" borderId="197" xfId="6" applyFont="1" applyBorder="1"/>
    <xf numFmtId="0" fontId="51" fillId="0" borderId="156" xfId="16" applyFont="1" applyFill="1" applyBorder="1" applyAlignment="1">
      <alignment horizontal="center"/>
    </xf>
    <xf numFmtId="0" fontId="51" fillId="0" borderId="1" xfId="16" applyFont="1" applyFill="1" applyBorder="1" applyAlignment="1">
      <alignment horizontal="center"/>
    </xf>
    <xf numFmtId="2" fontId="51" fillId="0" borderId="3" xfId="9" applyNumberFormat="1" applyFont="1" applyFill="1" applyBorder="1" applyAlignment="1">
      <alignment horizontal="right"/>
    </xf>
    <xf numFmtId="0" fontId="32" fillId="0" borderId="4" xfId="16" applyFont="1" applyFill="1" applyBorder="1" applyAlignment="1">
      <alignment horizontal="left" vertical="center" wrapText="1"/>
    </xf>
    <xf numFmtId="3" fontId="51" fillId="0" borderId="3" xfId="16" applyNumberFormat="1" applyFont="1" applyFill="1" applyBorder="1" applyAlignment="1">
      <alignment horizontal="right"/>
    </xf>
    <xf numFmtId="3" fontId="51" fillId="0" borderId="4" xfId="16" applyNumberFormat="1" applyFont="1" applyFill="1" applyBorder="1" applyAlignment="1">
      <alignment horizontal="left" vertical="center" wrapText="1"/>
    </xf>
    <xf numFmtId="3" fontId="32" fillId="0" borderId="4" xfId="16" applyNumberFormat="1" applyFont="1" applyFill="1" applyBorder="1" applyAlignment="1">
      <alignment horizontal="left"/>
    </xf>
    <xf numFmtId="4" fontId="51" fillId="0" borderId="3" xfId="16" applyNumberFormat="1" applyFont="1" applyFill="1" applyBorder="1" applyAlignment="1">
      <alignment horizontal="right"/>
    </xf>
    <xf numFmtId="0" fontId="32" fillId="0" borderId="4" xfId="16" applyFont="1" applyFill="1" applyBorder="1" applyAlignment="1">
      <alignment horizontal="left" wrapText="1"/>
    </xf>
    <xf numFmtId="2" fontId="37" fillId="0" borderId="184" xfId="16" applyNumberFormat="1" applyFont="1" applyFill="1" applyBorder="1" applyAlignment="1">
      <alignment horizontal="right"/>
    </xf>
    <xf numFmtId="0" fontId="32" fillId="0" borderId="0" xfId="16" applyFont="1" applyFill="1"/>
    <xf numFmtId="2" fontId="51" fillId="0" borderId="0" xfId="16" applyNumberFormat="1" applyFont="1" applyFill="1"/>
    <xf numFmtId="0" fontId="32" fillId="0" borderId="0" xfId="17" applyFont="1" applyFill="1"/>
    <xf numFmtId="0" fontId="54" fillId="0" borderId="0" xfId="17" applyFont="1" applyFill="1"/>
    <xf numFmtId="3" fontId="51" fillId="0" borderId="0" xfId="16" applyNumberFormat="1" applyFont="1" applyFill="1"/>
    <xf numFmtId="0" fontId="51" fillId="0" borderId="0" xfId="16" applyFont="1" applyFill="1" applyAlignment="1">
      <alignment horizontal="left"/>
    </xf>
    <xf numFmtId="169" fontId="51" fillId="0" borderId="0" xfId="18" applyNumberFormat="1" applyFont="1" applyFill="1"/>
    <xf numFmtId="0" fontId="32" fillId="0" borderId="0" xfId="16" applyFont="1" applyFill="1" applyBorder="1"/>
    <xf numFmtId="0" fontId="59" fillId="0" borderId="0" xfId="17" applyFont="1"/>
    <xf numFmtId="0" fontId="32" fillId="0" borderId="0" xfId="17" applyFont="1"/>
    <xf numFmtId="0" fontId="48" fillId="0" borderId="0" xfId="17" applyFont="1" applyAlignment="1">
      <alignment horizontal="center"/>
    </xf>
    <xf numFmtId="0" fontId="10" fillId="0" borderId="0" xfId="17" applyFont="1"/>
    <xf numFmtId="0" fontId="7" fillId="0" borderId="0" xfId="17" applyFont="1"/>
    <xf numFmtId="0" fontId="50" fillId="0" borderId="196" xfId="17" applyFont="1" applyBorder="1" applyAlignment="1">
      <alignment horizontal="center"/>
    </xf>
    <xf numFmtId="0" fontId="50" fillId="0" borderId="0" xfId="17" applyFont="1" applyBorder="1" applyAlignment="1">
      <alignment horizontal="center"/>
    </xf>
    <xf numFmtId="0" fontId="50" fillId="0" borderId="197" xfId="17" applyFont="1" applyBorder="1" applyAlignment="1">
      <alignment horizontal="center"/>
    </xf>
    <xf numFmtId="0" fontId="51" fillId="0" borderId="203" xfId="16" applyFont="1" applyFill="1" applyBorder="1" applyAlignment="1">
      <alignment horizontal="center"/>
    </xf>
    <xf numFmtId="11" fontId="32" fillId="0" borderId="3" xfId="17" applyNumberFormat="1" applyFont="1" applyFill="1" applyBorder="1" applyAlignment="1">
      <alignment horizontal="right" vertical="center"/>
    </xf>
    <xf numFmtId="0" fontId="32" fillId="0" borderId="4" xfId="17" applyFont="1" applyFill="1" applyBorder="1" applyAlignment="1">
      <alignment vertical="center"/>
    </xf>
    <xf numFmtId="3" fontId="32" fillId="0" borderId="3" xfId="17" applyNumberFormat="1" applyFont="1" applyFill="1" applyBorder="1" applyAlignment="1">
      <alignment horizontal="right" vertical="center"/>
    </xf>
    <xf numFmtId="3" fontId="32" fillId="0" borderId="4" xfId="17" applyNumberFormat="1" applyFont="1" applyFill="1" applyBorder="1" applyAlignment="1">
      <alignment horizontal="left" vertical="center"/>
    </xf>
    <xf numFmtId="3" fontId="32" fillId="0" borderId="158" xfId="17" applyNumberFormat="1" applyFont="1" applyFill="1" applyBorder="1" applyAlignment="1">
      <alignment horizontal="left" vertical="center"/>
    </xf>
    <xf numFmtId="0" fontId="51" fillId="0" borderId="204" xfId="16" applyFont="1" applyFill="1" applyBorder="1" applyAlignment="1">
      <alignment horizontal="center"/>
    </xf>
    <xf numFmtId="11" fontId="32" fillId="0" borderId="3" xfId="17" applyNumberFormat="1" applyFont="1" applyBorder="1" applyAlignment="1">
      <alignment horizontal="right" vertical="center"/>
    </xf>
    <xf numFmtId="2" fontId="32" fillId="0" borderId="3" xfId="17" applyNumberFormat="1" applyFont="1" applyFill="1" applyBorder="1" applyAlignment="1">
      <alignment horizontal="right" vertical="center"/>
    </xf>
    <xf numFmtId="2" fontId="32" fillId="0" borderId="3" xfId="17" applyNumberFormat="1" applyFont="1" applyBorder="1" applyAlignment="1">
      <alignment horizontal="right" vertical="center"/>
    </xf>
    <xf numFmtId="0" fontId="66" fillId="0" borderId="0" xfId="17" applyFont="1"/>
    <xf numFmtId="2" fontId="32" fillId="0" borderId="3" xfId="17" applyNumberFormat="1" applyFont="1" applyFill="1" applyBorder="1" applyAlignment="1"/>
    <xf numFmtId="0" fontId="32" fillId="0" borderId="4" xfId="17" applyFont="1" applyFill="1" applyBorder="1" applyAlignment="1"/>
    <xf numFmtId="0" fontId="51" fillId="0" borderId="160" xfId="16" applyFont="1" applyFill="1" applyBorder="1" applyAlignment="1">
      <alignment horizontal="center"/>
    </xf>
    <xf numFmtId="11" fontId="32" fillId="0" borderId="181" xfId="17" applyNumberFormat="1" applyFont="1" applyFill="1" applyBorder="1" applyAlignment="1">
      <alignment horizontal="right" vertical="center"/>
    </xf>
    <xf numFmtId="3" fontId="32" fillId="0" borderId="188" xfId="17" applyNumberFormat="1" applyFont="1" applyFill="1" applyBorder="1" applyAlignment="1">
      <alignment horizontal="left" vertical="center"/>
    </xf>
    <xf numFmtId="0" fontId="32" fillId="0" borderId="198" xfId="17" applyFont="1" applyBorder="1" applyAlignment="1">
      <alignment horizontal="center"/>
    </xf>
    <xf numFmtId="2" fontId="50" fillId="0" borderId="184" xfId="17" applyNumberFormat="1" applyFont="1" applyBorder="1" applyAlignment="1">
      <alignment horizontal="right" vertical="center"/>
    </xf>
    <xf numFmtId="3" fontId="50" fillId="0" borderId="163" xfId="17" applyNumberFormat="1" applyFont="1" applyFill="1" applyBorder="1" applyAlignment="1">
      <alignment horizontal="left" vertical="center"/>
    </xf>
    <xf numFmtId="0" fontId="54" fillId="0" borderId="0" xfId="17" applyFont="1"/>
    <xf numFmtId="0" fontId="32" fillId="0" borderId="0" xfId="17" applyFont="1" applyAlignment="1">
      <alignment horizontal="right"/>
    </xf>
    <xf numFmtId="3" fontId="32" fillId="0" borderId="0" xfId="17" applyNumberFormat="1" applyFont="1"/>
    <xf numFmtId="0" fontId="32" fillId="0" borderId="0" xfId="17" applyFont="1" applyAlignment="1">
      <alignment wrapText="1"/>
    </xf>
    <xf numFmtId="1" fontId="32" fillId="0" borderId="0" xfId="17" applyNumberFormat="1" applyFont="1"/>
    <xf numFmtId="0" fontId="67" fillId="0" borderId="0" xfId="17" applyFont="1" applyBorder="1"/>
    <xf numFmtId="0" fontId="10" fillId="0" borderId="0" xfId="17" applyFont="1" applyBorder="1" applyAlignment="1">
      <alignment wrapText="1"/>
    </xf>
    <xf numFmtId="0" fontId="10" fillId="0" borderId="0" xfId="17" applyFont="1" applyBorder="1"/>
    <xf numFmtId="0" fontId="32" fillId="0" borderId="0" xfId="6" applyFont="1" applyAlignment="1"/>
    <xf numFmtId="0" fontId="32" fillId="0" borderId="0" xfId="6" applyFont="1" applyAlignment="1">
      <alignment horizontal="right"/>
    </xf>
    <xf numFmtId="0" fontId="32" fillId="0" borderId="0" xfId="6" applyFont="1" applyAlignment="1">
      <alignment vertical="top"/>
    </xf>
    <xf numFmtId="0" fontId="32" fillId="0" borderId="0" xfId="6" applyFont="1" applyAlignment="1">
      <alignment horizontal="right" vertical="top"/>
    </xf>
    <xf numFmtId="166" fontId="32" fillId="0" borderId="0" xfId="6" applyNumberFormat="1" applyFont="1" applyAlignment="1">
      <alignment vertical="top"/>
    </xf>
    <xf numFmtId="3" fontId="32" fillId="0" borderId="0" xfId="6" applyNumberFormat="1" applyFont="1"/>
    <xf numFmtId="0" fontId="32" fillId="0" borderId="0" xfId="6" applyFont="1" applyAlignment="1">
      <alignment horizontal="left"/>
    </xf>
    <xf numFmtId="0" fontId="32" fillId="0" borderId="0" xfId="6" applyFont="1" applyAlignment="1">
      <alignment wrapText="1"/>
    </xf>
    <xf numFmtId="0" fontId="68" fillId="0" borderId="0" xfId="6" applyFont="1"/>
    <xf numFmtId="0" fontId="59" fillId="0" borderId="0" xfId="6" applyFont="1"/>
    <xf numFmtId="0" fontId="32" fillId="0" borderId="0" xfId="6" applyFont="1" applyAlignment="1">
      <alignment horizontal="center"/>
    </xf>
    <xf numFmtId="1" fontId="32" fillId="0" borderId="0" xfId="6" applyNumberFormat="1" applyFont="1" applyBorder="1" applyAlignment="1">
      <alignment horizontal="center"/>
    </xf>
    <xf numFmtId="172" fontId="32" fillId="0" borderId="0" xfId="6" applyNumberFormat="1" applyFont="1" applyBorder="1" applyAlignment="1">
      <alignment horizontal="left"/>
    </xf>
    <xf numFmtId="0" fontId="32" fillId="0" borderId="199" xfId="6" applyFont="1" applyBorder="1" applyAlignment="1">
      <alignment wrapText="1"/>
    </xf>
    <xf numFmtId="0" fontId="32" fillId="0" borderId="205" xfId="6" applyFont="1" applyBorder="1" applyAlignment="1">
      <alignment wrapText="1"/>
    </xf>
    <xf numFmtId="0" fontId="32" fillId="12" borderId="5" xfId="6" applyFont="1" applyFill="1" applyBorder="1" applyAlignment="1">
      <alignment horizontal="center" vertical="center" wrapText="1"/>
    </xf>
    <xf numFmtId="0" fontId="32" fillId="12" borderId="1" xfId="6" applyFont="1" applyFill="1" applyBorder="1" applyAlignment="1">
      <alignment horizontal="center" vertical="center" wrapText="1"/>
    </xf>
    <xf numFmtId="0" fontId="32" fillId="12" borderId="167" xfId="6" applyFont="1" applyFill="1" applyBorder="1" applyAlignment="1">
      <alignment horizontal="center" vertical="center" wrapText="1"/>
    </xf>
    <xf numFmtId="0" fontId="32" fillId="12" borderId="176" xfId="6" applyFont="1" applyFill="1" applyBorder="1" applyAlignment="1">
      <alignment horizontal="center" vertical="center"/>
    </xf>
    <xf numFmtId="0" fontId="32" fillId="12" borderId="176" xfId="6" applyFont="1" applyFill="1" applyBorder="1" applyAlignment="1">
      <alignment horizontal="center"/>
    </xf>
    <xf numFmtId="0" fontId="32" fillId="12" borderId="177" xfId="6" applyFont="1" applyFill="1" applyBorder="1" applyAlignment="1">
      <alignment horizontal="center"/>
    </xf>
    <xf numFmtId="0" fontId="32" fillId="0" borderId="5" xfId="6" applyFont="1" applyBorder="1" applyAlignment="1">
      <alignment horizontal="center"/>
    </xf>
    <xf numFmtId="165" fontId="32" fillId="0" borderId="5" xfId="6" applyNumberFormat="1" applyFont="1" applyBorder="1" applyAlignment="1">
      <alignment horizontal="center"/>
    </xf>
    <xf numFmtId="172" fontId="32" fillId="0" borderId="5" xfId="6" applyNumberFormat="1" applyFont="1" applyBorder="1" applyAlignment="1">
      <alignment horizontal="center"/>
    </xf>
    <xf numFmtId="2" fontId="32" fillId="0" borderId="5" xfId="6" applyNumberFormat="1" applyFont="1" applyBorder="1" applyAlignment="1">
      <alignment horizontal="center"/>
    </xf>
    <xf numFmtId="0" fontId="32" fillId="15" borderId="5" xfId="6" applyFont="1" applyFill="1" applyBorder="1" applyAlignment="1">
      <alignment horizontal="center"/>
    </xf>
    <xf numFmtId="0" fontId="32" fillId="15" borderId="174" xfId="6" applyFont="1" applyFill="1" applyBorder="1" applyAlignment="1">
      <alignment horizontal="center"/>
    </xf>
    <xf numFmtId="0" fontId="32" fillId="0" borderId="1" xfId="6" applyFont="1" applyBorder="1" applyAlignment="1">
      <alignment horizontal="center"/>
    </xf>
    <xf numFmtId="165" fontId="32" fillId="0" borderId="1" xfId="6" applyNumberFormat="1" applyFont="1" applyBorder="1" applyAlignment="1">
      <alignment horizontal="center"/>
    </xf>
    <xf numFmtId="172" fontId="32" fillId="0" borderId="1" xfId="6" applyNumberFormat="1" applyFont="1" applyBorder="1" applyAlignment="1">
      <alignment horizontal="center"/>
    </xf>
    <xf numFmtId="2" fontId="32" fillId="0" borderId="1" xfId="6" applyNumberFormat="1" applyFont="1" applyBorder="1" applyAlignment="1">
      <alignment horizontal="center"/>
    </xf>
    <xf numFmtId="0" fontId="32" fillId="15" borderId="1" xfId="6" applyFont="1" applyFill="1" applyBorder="1" applyAlignment="1">
      <alignment horizontal="center"/>
    </xf>
    <xf numFmtId="0" fontId="32" fillId="15" borderId="167" xfId="6" applyFont="1" applyFill="1" applyBorder="1" applyAlignment="1">
      <alignment horizontal="center"/>
    </xf>
    <xf numFmtId="165" fontId="32" fillId="15" borderId="167" xfId="6" applyNumberFormat="1" applyFont="1" applyFill="1" applyBorder="1" applyAlignment="1">
      <alignment horizontal="center"/>
    </xf>
    <xf numFmtId="0" fontId="32" fillId="15" borderId="169" xfId="6" applyFont="1" applyFill="1" applyBorder="1" applyAlignment="1">
      <alignment horizontal="center"/>
    </xf>
    <xf numFmtId="165" fontId="32" fillId="15" borderId="169" xfId="6" applyNumberFormat="1" applyFont="1" applyFill="1" applyBorder="1" applyAlignment="1">
      <alignment horizontal="center"/>
    </xf>
    <xf numFmtId="172" fontId="32" fillId="15" borderId="169" xfId="6" applyNumberFormat="1" applyFont="1" applyFill="1" applyBorder="1" applyAlignment="1">
      <alignment horizontal="center"/>
    </xf>
    <xf numFmtId="2" fontId="32" fillId="15" borderId="169" xfId="6" applyNumberFormat="1" applyFont="1" applyFill="1" applyBorder="1" applyAlignment="1">
      <alignment horizontal="center"/>
    </xf>
    <xf numFmtId="0" fontId="32" fillId="0" borderId="169" xfId="6" applyFont="1" applyBorder="1" applyAlignment="1">
      <alignment horizontal="center"/>
    </xf>
    <xf numFmtId="2" fontId="32" fillId="0" borderId="169" xfId="6" applyNumberFormat="1" applyFont="1" applyBorder="1" applyAlignment="1">
      <alignment horizontal="center"/>
    </xf>
    <xf numFmtId="0" fontId="32" fillId="0" borderId="169" xfId="6" applyFont="1" applyFill="1" applyBorder="1" applyAlignment="1">
      <alignment horizontal="center"/>
    </xf>
    <xf numFmtId="2" fontId="50" fillId="0" borderId="170" xfId="6" applyNumberFormat="1" applyFont="1" applyFill="1" applyBorder="1" applyAlignment="1">
      <alignment horizontal="center"/>
    </xf>
    <xf numFmtId="173" fontId="32" fillId="0" borderId="0" xfId="6" applyNumberFormat="1" applyFont="1" applyBorder="1" applyAlignment="1">
      <alignment horizontal="center"/>
    </xf>
    <xf numFmtId="0" fontId="32" fillId="0" borderId="0" xfId="6" applyFont="1" applyBorder="1" applyAlignment="1">
      <alignment horizontal="center"/>
    </xf>
    <xf numFmtId="165" fontId="32" fillId="0" borderId="0" xfId="6" applyNumberFormat="1" applyFont="1" applyBorder="1" applyAlignment="1">
      <alignment horizontal="center"/>
    </xf>
    <xf numFmtId="172" fontId="32" fillId="0" borderId="0" xfId="6" applyNumberFormat="1" applyFont="1" applyBorder="1" applyAlignment="1">
      <alignment horizontal="center"/>
    </xf>
    <xf numFmtId="2" fontId="32" fillId="0" borderId="0" xfId="6" applyNumberFormat="1" applyFont="1" applyBorder="1" applyAlignment="1">
      <alignment horizontal="center"/>
    </xf>
    <xf numFmtId="173" fontId="32" fillId="0" borderId="0" xfId="6" applyNumberFormat="1" applyFont="1" applyBorder="1" applyAlignment="1">
      <alignment horizontal="left"/>
    </xf>
    <xf numFmtId="173" fontId="32" fillId="0" borderId="0" xfId="6" applyNumberFormat="1" applyFont="1" applyBorder="1" applyAlignment="1">
      <alignment horizontal="left" vertical="center" wrapText="1"/>
    </xf>
    <xf numFmtId="0" fontId="32" fillId="0" borderId="207" xfId="2" applyFont="1" applyBorder="1" applyAlignment="1">
      <alignment horizontal="center"/>
    </xf>
    <xf numFmtId="0" fontId="32" fillId="0" borderId="151" xfId="2" applyFont="1" applyBorder="1" applyAlignment="1">
      <alignment horizontal="center"/>
    </xf>
    <xf numFmtId="3" fontId="32" fillId="0" borderId="141" xfId="2" applyNumberFormat="1" applyFont="1" applyBorder="1" applyAlignment="1"/>
    <xf numFmtId="3" fontId="32" fillId="0" borderId="4" xfId="2" applyNumberFormat="1" applyFont="1" applyFill="1" applyBorder="1" applyAlignment="1">
      <alignment horizontal="left" vertical="center"/>
    </xf>
    <xf numFmtId="3" fontId="32" fillId="0" borderId="179" xfId="2" applyNumberFormat="1" applyFont="1" applyFill="1" applyBorder="1" applyAlignment="1"/>
    <xf numFmtId="3" fontId="32" fillId="0" borderId="178" xfId="2" applyNumberFormat="1" applyFont="1" applyFill="1" applyBorder="1" applyAlignment="1"/>
    <xf numFmtId="4" fontId="32" fillId="0" borderId="179" xfId="2" applyNumberFormat="1" applyFont="1" applyFill="1" applyBorder="1" applyAlignment="1">
      <alignment horizontal="right"/>
    </xf>
    <xf numFmtId="3" fontId="32" fillId="0" borderId="3" xfId="2" applyNumberFormat="1" applyFont="1" applyFill="1" applyBorder="1" applyAlignment="1"/>
    <xf numFmtId="170" fontId="32" fillId="0" borderId="3" xfId="2" applyNumberFormat="1" applyFont="1" applyFill="1" applyBorder="1" applyAlignment="1">
      <alignment horizontal="right"/>
    </xf>
    <xf numFmtId="0" fontId="32" fillId="0" borderId="158" xfId="2" applyFont="1" applyBorder="1" applyAlignment="1">
      <alignment horizontal="left"/>
    </xf>
    <xf numFmtId="0" fontId="32" fillId="0" borderId="3" xfId="2" applyFont="1" applyFill="1" applyBorder="1" applyAlignment="1">
      <alignment horizontal="right"/>
    </xf>
    <xf numFmtId="0" fontId="50" fillId="0" borderId="197" xfId="2" applyFont="1" applyBorder="1"/>
    <xf numFmtId="0" fontId="32" fillId="0" borderId="0" xfId="13" applyFont="1" applyFill="1" applyAlignment="1">
      <alignment wrapText="1"/>
    </xf>
    <xf numFmtId="0" fontId="50" fillId="0" borderId="0" xfId="2" applyFont="1" applyAlignment="1">
      <alignment horizontal="centerContinuous"/>
    </xf>
    <xf numFmtId="0" fontId="32" fillId="0" borderId="0" xfId="2" applyFont="1" applyAlignment="1">
      <alignment horizontal="centerContinuous"/>
    </xf>
    <xf numFmtId="0" fontId="32" fillId="0" borderId="0" xfId="2" applyFont="1" applyFill="1" applyAlignment="1">
      <alignment horizontal="centerContinuous"/>
    </xf>
    <xf numFmtId="0" fontId="32" fillId="0" borderId="208" xfId="2" applyFont="1" applyBorder="1" applyAlignment="1">
      <alignment horizontal="center"/>
    </xf>
    <xf numFmtId="0" fontId="32" fillId="0" borderId="179" xfId="2" applyFont="1" applyFill="1" applyBorder="1" applyAlignment="1"/>
    <xf numFmtId="0" fontId="32" fillId="0" borderId="141" xfId="2" applyNumberFormat="1" applyFont="1" applyBorder="1" applyAlignment="1"/>
    <xf numFmtId="3" fontId="32" fillId="0" borderId="209" xfId="2" applyNumberFormat="1" applyFont="1" applyFill="1" applyBorder="1" applyAlignment="1">
      <alignment horizontal="right" vertical="center"/>
    </xf>
    <xf numFmtId="0" fontId="32" fillId="0" borderId="156" xfId="2" applyFont="1" applyBorder="1" applyAlignment="1">
      <alignment horizontal="center"/>
    </xf>
    <xf numFmtId="3" fontId="32" fillId="0" borderId="3" xfId="2" applyNumberFormat="1" applyFont="1" applyBorder="1" applyAlignment="1"/>
    <xf numFmtId="3" fontId="51" fillId="0" borderId="157" xfId="7" applyNumberFormat="1" applyFont="1" applyFill="1" applyBorder="1" applyAlignment="1">
      <alignment vertical="center"/>
    </xf>
    <xf numFmtId="3" fontId="51" fillId="0" borderId="3" xfId="7" applyNumberFormat="1" applyFont="1" applyBorder="1" applyAlignment="1">
      <alignment vertical="center"/>
    </xf>
    <xf numFmtId="0" fontId="51" fillId="0" borderId="158" xfId="7" applyFont="1" applyBorder="1" applyAlignment="1">
      <alignment vertical="center"/>
    </xf>
    <xf numFmtId="171" fontId="32" fillId="0" borderId="150" xfId="13" applyNumberFormat="1" applyFont="1" applyFill="1" applyBorder="1" applyAlignment="1">
      <alignment horizontal="right"/>
    </xf>
    <xf numFmtId="10" fontId="32" fillId="0" borderId="151" xfId="13" applyNumberFormat="1" applyFont="1" applyBorder="1" applyAlignment="1">
      <alignment horizontal="left"/>
    </xf>
    <xf numFmtId="166" fontId="32" fillId="0" borderId="3" xfId="2" applyNumberFormat="1" applyFont="1" applyFill="1" applyBorder="1" applyAlignment="1"/>
    <xf numFmtId="2" fontId="32" fillId="0" borderId="3" xfId="13" applyNumberFormat="1" applyFont="1" applyFill="1" applyBorder="1" applyAlignment="1">
      <alignment horizontal="right"/>
    </xf>
    <xf numFmtId="10" fontId="32" fillId="0" borderId="4" xfId="13" applyNumberFormat="1" applyFont="1" applyBorder="1" applyAlignment="1">
      <alignment horizontal="left"/>
    </xf>
    <xf numFmtId="165" fontId="32" fillId="0" borderId="3" xfId="2" applyNumberFormat="1" applyFont="1" applyFill="1" applyBorder="1" applyAlignment="1"/>
    <xf numFmtId="171" fontId="32" fillId="0" borderId="3" xfId="13" applyNumberFormat="1" applyFont="1" applyFill="1" applyBorder="1" applyAlignment="1">
      <alignment horizontal="right"/>
    </xf>
    <xf numFmtId="167" fontId="32" fillId="0" borderId="3" xfId="2" applyNumberFormat="1" applyFont="1" applyFill="1" applyBorder="1" applyAlignment="1">
      <alignment horizontal="right" vertical="center"/>
    </xf>
    <xf numFmtId="2" fontId="59" fillId="0" borderId="0" xfId="2" applyNumberFormat="1" applyFont="1" applyAlignment="1">
      <alignment vertical="center"/>
    </xf>
    <xf numFmtId="4" fontId="51" fillId="0" borderId="3" xfId="7" applyNumberFormat="1" applyFont="1" applyBorder="1" applyAlignment="1">
      <alignment vertical="center"/>
    </xf>
    <xf numFmtId="3" fontId="32" fillId="0" borderId="150" xfId="2" applyNumberFormat="1" applyFont="1" applyFill="1" applyBorder="1" applyAlignment="1">
      <alignment horizontal="right" vertical="center"/>
    </xf>
    <xf numFmtId="1" fontId="32" fillId="0" borderId="150" xfId="2" applyNumberFormat="1" applyFont="1" applyBorder="1" applyAlignment="1">
      <alignment vertical="center"/>
    </xf>
    <xf numFmtId="0" fontId="32" fillId="0" borderId="152" xfId="2" applyFont="1" applyBorder="1" applyAlignment="1">
      <alignment horizontal="left" vertical="center"/>
    </xf>
    <xf numFmtId="1" fontId="32" fillId="0" borderId="3" xfId="2" applyNumberFormat="1" applyFont="1" applyBorder="1" applyAlignment="1">
      <alignment vertical="center"/>
    </xf>
    <xf numFmtId="0" fontId="32" fillId="0" borderId="158" xfId="2" applyFont="1" applyBorder="1" applyAlignment="1">
      <alignment horizontal="left" vertical="center"/>
    </xf>
    <xf numFmtId="0" fontId="50" fillId="0" borderId="0" xfId="2" applyFont="1" applyBorder="1" applyAlignment="1">
      <alignment horizontal="center"/>
    </xf>
    <xf numFmtId="0" fontId="32" fillId="0" borderId="0" xfId="2" applyFont="1" applyBorder="1" applyAlignment="1">
      <alignment horizontal="left"/>
    </xf>
    <xf numFmtId="0" fontId="32" fillId="0" borderId="0" xfId="13" applyFont="1" applyBorder="1" applyAlignment="1">
      <alignment horizontal="left"/>
    </xf>
    <xf numFmtId="4" fontId="32" fillId="0" borderId="0" xfId="2" applyNumberFormat="1" applyFont="1" applyBorder="1" applyAlignment="1">
      <alignment horizontal="left"/>
    </xf>
    <xf numFmtId="0" fontId="32" fillId="0" borderId="0" xfId="13" applyFont="1" applyFill="1" applyBorder="1" applyAlignment="1">
      <alignment horizontal="left"/>
    </xf>
    <xf numFmtId="0" fontId="32" fillId="0" borderId="0" xfId="2" applyFont="1" applyFill="1" applyBorder="1" applyAlignment="1">
      <alignment horizontal="left"/>
    </xf>
    <xf numFmtId="4" fontId="32" fillId="0" borderId="0" xfId="2" applyNumberFormat="1" applyFont="1" applyBorder="1"/>
    <xf numFmtId="0" fontId="60" fillId="0" borderId="0" xfId="19" applyFont="1" applyAlignment="1">
      <alignment vertical="center"/>
    </xf>
    <xf numFmtId="4" fontId="32" fillId="0" borderId="0" xfId="2" applyNumberFormat="1" applyFont="1"/>
    <xf numFmtId="0" fontId="50" fillId="12" borderId="176" xfId="2" applyFont="1" applyFill="1" applyBorder="1" applyAlignment="1">
      <alignment horizontal="center"/>
    </xf>
    <xf numFmtId="0" fontId="50" fillId="12" borderId="202" xfId="2" applyFont="1" applyFill="1" applyBorder="1" applyAlignment="1">
      <alignment horizontal="center"/>
    </xf>
    <xf numFmtId="0" fontId="50" fillId="12" borderId="94" xfId="2" applyFont="1" applyFill="1" applyBorder="1" applyAlignment="1">
      <alignment horizontal="center"/>
    </xf>
    <xf numFmtId="0" fontId="50" fillId="12" borderId="155" xfId="2" applyFont="1" applyFill="1" applyBorder="1" applyAlignment="1">
      <alignment horizontal="center"/>
    </xf>
    <xf numFmtId="0" fontId="50" fillId="0" borderId="189" xfId="2" applyFont="1" applyFill="1" applyBorder="1" applyAlignment="1">
      <alignment horizontal="center"/>
    </xf>
    <xf numFmtId="0" fontId="50" fillId="0" borderId="180" xfId="2" applyFont="1" applyFill="1" applyBorder="1" applyAlignment="1">
      <alignment horizontal="center"/>
    </xf>
    <xf numFmtId="0" fontId="50" fillId="0" borderId="168" xfId="2" applyFont="1" applyFill="1" applyBorder="1" applyAlignment="1">
      <alignment horizontal="right"/>
    </xf>
    <xf numFmtId="164" fontId="50" fillId="0" borderId="169" xfId="2" applyNumberFormat="1" applyFont="1" applyBorder="1" applyAlignment="1">
      <alignment horizontal="center"/>
    </xf>
    <xf numFmtId="3" fontId="50" fillId="0" borderId="170" xfId="2" quotePrefix="1" applyNumberFormat="1" applyFont="1" applyBorder="1" applyAlignment="1">
      <alignment horizontal="center"/>
    </xf>
    <xf numFmtId="174" fontId="50" fillId="0" borderId="0" xfId="2" applyNumberFormat="1" applyFont="1" applyBorder="1" applyAlignment="1">
      <alignment horizontal="centerContinuous"/>
    </xf>
    <xf numFmtId="165" fontId="50" fillId="0" borderId="0" xfId="2" applyNumberFormat="1" applyFont="1" applyBorder="1" applyAlignment="1">
      <alignment horizontal="centerContinuous"/>
    </xf>
    <xf numFmtId="0" fontId="50" fillId="0" borderId="0" xfId="6" applyFont="1" applyAlignment="1">
      <alignment horizontal="center"/>
    </xf>
    <xf numFmtId="0" fontId="32" fillId="12" borderId="1" xfId="6" applyFont="1" applyFill="1" applyBorder="1" applyAlignment="1">
      <alignment horizontal="center" vertical="center" wrapText="1"/>
    </xf>
    <xf numFmtId="0" fontId="32" fillId="0" borderId="150" xfId="2" applyFont="1" applyFill="1" applyBorder="1" applyAlignment="1"/>
    <xf numFmtId="0" fontId="0" fillId="0" borderId="0" xfId="0"/>
    <xf numFmtId="0" fontId="10" fillId="0" borderId="0" xfId="2" applyFont="1" applyFill="1"/>
    <xf numFmtId="0" fontId="8" fillId="0" borderId="0" xfId="2" applyFont="1" applyFill="1" applyAlignment="1">
      <alignment horizontal="left"/>
    </xf>
    <xf numFmtId="0" fontId="9" fillId="0" borderId="0" xfId="2" applyNumberFormat="1" applyFont="1" applyFill="1" applyAlignment="1">
      <alignment horizontal="left"/>
    </xf>
    <xf numFmtId="0" fontId="9" fillId="0" borderId="0" xfId="2" applyFont="1" applyFill="1" applyAlignment="1"/>
    <xf numFmtId="0" fontId="10" fillId="0" borderId="0" xfId="2" applyFont="1" applyFill="1" applyBorder="1"/>
    <xf numFmtId="0" fontId="10" fillId="0" borderId="0" xfId="2" applyFont="1"/>
    <xf numFmtId="0" fontId="9" fillId="0" borderId="0" xfId="2" applyFont="1"/>
    <xf numFmtId="0" fontId="11" fillId="0" borderId="0" xfId="2" applyFont="1" applyFill="1"/>
    <xf numFmtId="0" fontId="9" fillId="0" borderId="0" xfId="2" applyFont="1" applyFill="1"/>
    <xf numFmtId="0" fontId="17" fillId="0" borderId="0" xfId="2" applyFont="1" applyFill="1" applyBorder="1"/>
    <xf numFmtId="0" fontId="13" fillId="0" borderId="0" xfId="2" applyFont="1" applyFill="1" applyBorder="1"/>
    <xf numFmtId="0" fontId="8" fillId="6" borderId="0" xfId="1" applyFont="1" applyFill="1" applyBorder="1" applyAlignment="1">
      <alignment vertical="center"/>
    </xf>
    <xf numFmtId="0" fontId="9" fillId="6" borderId="0" xfId="1" applyFont="1" applyFill="1" applyBorder="1" applyAlignment="1">
      <alignment vertical="center"/>
    </xf>
    <xf numFmtId="0" fontId="9" fillId="6" borderId="0" xfId="1" applyFont="1" applyFill="1" applyBorder="1" applyAlignment="1">
      <alignment horizontal="center" vertical="center"/>
    </xf>
    <xf numFmtId="0" fontId="9" fillId="0" borderId="0" xfId="1" applyFont="1" applyAlignment="1">
      <alignment vertical="center"/>
    </xf>
    <xf numFmtId="0" fontId="10" fillId="0" borderId="0" xfId="2" applyFont="1" applyFill="1" applyAlignment="1">
      <alignment shrinkToFit="1"/>
    </xf>
    <xf numFmtId="0" fontId="11" fillId="0" borderId="0" xfId="2" applyFont="1" applyAlignment="1"/>
    <xf numFmtId="3" fontId="9" fillId="0" borderId="0" xfId="2" applyNumberFormat="1" applyFont="1" applyFill="1" applyAlignment="1">
      <alignment horizontal="left" shrinkToFit="1"/>
    </xf>
    <xf numFmtId="49" fontId="8" fillId="0" borderId="0" xfId="2" applyNumberFormat="1" applyFont="1" applyFill="1" applyBorder="1" applyAlignment="1">
      <alignment horizontal="left" vertical="center"/>
    </xf>
    <xf numFmtId="0" fontId="10" fillId="0" borderId="0" xfId="2" applyFont="1" applyAlignment="1">
      <alignment horizontal="center" vertical="center" shrinkToFit="1"/>
    </xf>
    <xf numFmtId="0" fontId="10" fillId="0" borderId="0" xfId="2" applyFont="1" applyFill="1" applyAlignment="1">
      <alignment horizontal="center" vertical="center"/>
    </xf>
    <xf numFmtId="0" fontId="8" fillId="0" borderId="0" xfId="2" applyFont="1" applyFill="1" applyBorder="1" applyAlignment="1">
      <alignment horizontal="left"/>
    </xf>
    <xf numFmtId="0" fontId="9" fillId="0" borderId="0" xfId="2" applyFont="1" applyFill="1" applyBorder="1" applyAlignment="1"/>
    <xf numFmtId="0" fontId="8" fillId="0" borderId="0" xfId="2" applyFont="1" applyFill="1" applyBorder="1" applyAlignment="1">
      <alignment horizontal="center"/>
    </xf>
    <xf numFmtId="0" fontId="9" fillId="0" borderId="0" xfId="2" applyFont="1" applyAlignment="1">
      <alignment vertical="center"/>
    </xf>
    <xf numFmtId="0" fontId="9" fillId="0" borderId="0" xfId="2" applyNumberFormat="1" applyFont="1" applyFill="1"/>
    <xf numFmtId="0" fontId="10" fillId="0" borderId="0" xfId="2" applyFont="1" applyAlignment="1">
      <alignment wrapText="1"/>
    </xf>
    <xf numFmtId="0" fontId="10" fillId="0" borderId="0" xfId="2" applyFont="1" applyAlignment="1"/>
    <xf numFmtId="0" fontId="10" fillId="0" borderId="0" xfId="2" applyFont="1" applyAlignment="1">
      <alignment vertical="top"/>
    </xf>
    <xf numFmtId="49" fontId="8" fillId="0" borderId="0" xfId="2" applyNumberFormat="1" applyFont="1" applyAlignment="1">
      <alignment horizontal="left" vertical="center"/>
    </xf>
    <xf numFmtId="0" fontId="12" fillId="8" borderId="0" xfId="3" applyFont="1" applyFill="1" applyBorder="1" applyAlignment="1">
      <alignment vertical="center"/>
    </xf>
    <xf numFmtId="0" fontId="13" fillId="8" borderId="0" xfId="3" applyFont="1" applyFill="1" applyBorder="1" applyAlignment="1">
      <alignment vertical="center"/>
    </xf>
    <xf numFmtId="0" fontId="13" fillId="8" borderId="0" xfId="3" applyFont="1" applyFill="1" applyAlignment="1">
      <alignment vertical="center"/>
    </xf>
    <xf numFmtId="0" fontId="11" fillId="0" borderId="0" xfId="2" applyFont="1" applyFill="1" applyAlignment="1">
      <alignment horizontal="left" vertical="center"/>
    </xf>
    <xf numFmtId="0" fontId="12" fillId="0" borderId="0" xfId="2" applyFont="1" applyFill="1" applyAlignment="1">
      <alignment horizontal="left" vertical="center"/>
    </xf>
    <xf numFmtId="0" fontId="13" fillId="0" borderId="0" xfId="2" applyFont="1" applyFill="1"/>
    <xf numFmtId="0" fontId="10" fillId="0" borderId="18" xfId="2" applyFont="1" applyFill="1" applyBorder="1"/>
    <xf numFmtId="0" fontId="10" fillId="0" borderId="0" xfId="2" applyFont="1" applyFill="1" applyAlignment="1">
      <alignment horizontal="left" vertical="center"/>
    </xf>
    <xf numFmtId="0" fontId="12" fillId="9" borderId="24" xfId="2" applyFont="1" applyFill="1" applyBorder="1" applyAlignment="1">
      <alignment horizontal="center" vertical="center"/>
    </xf>
    <xf numFmtId="0" fontId="13" fillId="0" borderId="25" xfId="2" applyFont="1" applyFill="1" applyBorder="1" applyAlignment="1">
      <alignment horizontal="left" vertical="center"/>
    </xf>
    <xf numFmtId="0" fontId="10" fillId="0" borderId="26" xfId="2" applyFont="1" applyBorder="1" applyAlignment="1"/>
    <xf numFmtId="11" fontId="13" fillId="0" borderId="27" xfId="2" applyNumberFormat="1" applyFont="1" applyFill="1" applyBorder="1" applyAlignment="1">
      <alignment horizontal="center"/>
    </xf>
    <xf numFmtId="11" fontId="13" fillId="0" borderId="28" xfId="2" applyNumberFormat="1" applyFont="1" applyFill="1" applyBorder="1" applyAlignment="1">
      <alignment horizontal="center"/>
    </xf>
    <xf numFmtId="0" fontId="16" fillId="0" borderId="0" xfId="2" applyFont="1" applyFill="1" applyBorder="1" applyAlignment="1">
      <alignment horizontal="left" vertical="center"/>
    </xf>
    <xf numFmtId="0" fontId="10" fillId="0" borderId="0" xfId="2" applyFont="1" applyFill="1" applyBorder="1" applyAlignment="1">
      <alignment horizontal="left" vertical="center"/>
    </xf>
    <xf numFmtId="0" fontId="13" fillId="0" borderId="0" xfId="2" applyFont="1" applyFill="1" applyBorder="1" applyAlignment="1">
      <alignment horizontal="center"/>
    </xf>
    <xf numFmtId="0" fontId="13" fillId="0" borderId="0" xfId="2" applyNumberFormat="1" applyFont="1" applyFill="1" applyBorder="1" applyAlignment="1">
      <alignment horizontal="center"/>
    </xf>
    <xf numFmtId="0" fontId="13" fillId="0" borderId="0" xfId="2" applyFont="1" applyFill="1" applyBorder="1" applyAlignment="1">
      <alignment horizontal="left"/>
    </xf>
    <xf numFmtId="0" fontId="12" fillId="0" borderId="0" xfId="2" applyFont="1" applyFill="1"/>
    <xf numFmtId="0" fontId="18" fillId="10" borderId="0" xfId="3" applyFont="1" applyFill="1" applyBorder="1" applyAlignment="1">
      <alignment vertical="center"/>
    </xf>
    <xf numFmtId="0" fontId="19" fillId="10" borderId="0" xfId="3" applyFont="1" applyFill="1" applyBorder="1" applyAlignment="1">
      <alignment vertical="center"/>
    </xf>
    <xf numFmtId="0" fontId="19" fillId="10" borderId="0" xfId="3" applyFont="1" applyFill="1" applyAlignment="1">
      <alignment vertical="center"/>
    </xf>
    <xf numFmtId="0" fontId="19" fillId="0" borderId="45" xfId="2" applyFont="1" applyFill="1" applyBorder="1" applyAlignment="1">
      <alignment horizontal="center" vertical="center" wrapText="1"/>
    </xf>
    <xf numFmtId="0" fontId="19" fillId="0" borderId="31" xfId="2" applyFont="1" applyBorder="1" applyAlignment="1">
      <alignment horizontal="center" vertical="center"/>
    </xf>
    <xf numFmtId="1" fontId="19" fillId="0" borderId="31" xfId="2" applyNumberFormat="1" applyFont="1" applyBorder="1" applyAlignment="1">
      <alignment horizontal="center" vertical="center"/>
    </xf>
    <xf numFmtId="0" fontId="19" fillId="0" borderId="46" xfId="2" applyFont="1" applyBorder="1" applyAlignment="1">
      <alignment horizontal="center" vertical="center"/>
    </xf>
    <xf numFmtId="0" fontId="19" fillId="0" borderId="46" xfId="2" applyFont="1" applyFill="1" applyBorder="1" applyAlignment="1">
      <alignment horizontal="center" vertical="center"/>
    </xf>
    <xf numFmtId="164" fontId="19" fillId="0" borderId="46" xfId="2" applyNumberFormat="1" applyFont="1" applyFill="1" applyBorder="1" applyAlignment="1">
      <alignment horizontal="center" vertical="center"/>
    </xf>
    <xf numFmtId="164" fontId="19" fillId="0" borderId="47" xfId="2" applyNumberFormat="1" applyFont="1" applyFill="1" applyBorder="1" applyAlignment="1">
      <alignment horizontal="center" vertical="center"/>
    </xf>
    <xf numFmtId="0" fontId="19" fillId="0" borderId="214" xfId="2" applyFont="1" applyFill="1" applyBorder="1" applyAlignment="1">
      <alignment horizontal="center" vertical="center" wrapText="1"/>
    </xf>
    <xf numFmtId="0" fontId="19" fillId="0" borderId="215" xfId="2" applyFont="1" applyBorder="1" applyAlignment="1">
      <alignment horizontal="center" vertical="center"/>
    </xf>
    <xf numFmtId="1" fontId="19" fillId="0" borderId="216" xfId="2" applyNumberFormat="1" applyFont="1" applyBorder="1" applyAlignment="1">
      <alignment horizontal="center" vertical="center"/>
    </xf>
    <xf numFmtId="0" fontId="19" fillId="0" borderId="48" xfId="2" applyFont="1" applyBorder="1" applyAlignment="1">
      <alignment horizontal="center" vertical="center"/>
    </xf>
    <xf numFmtId="0" fontId="19" fillId="0" borderId="48" xfId="2" applyFont="1" applyFill="1" applyBorder="1" applyAlignment="1">
      <alignment horizontal="center" vertical="center"/>
    </xf>
    <xf numFmtId="164" fontId="19" fillId="0" borderId="48" xfId="2" applyNumberFormat="1" applyFont="1" applyFill="1" applyBorder="1" applyAlignment="1">
      <alignment horizontal="center" vertical="center"/>
    </xf>
    <xf numFmtId="0" fontId="19" fillId="0" borderId="36" xfId="2" applyFont="1" applyBorder="1" applyAlignment="1">
      <alignment horizontal="center" vertical="center"/>
    </xf>
    <xf numFmtId="1" fontId="19" fillId="0" borderId="48" xfId="2" applyNumberFormat="1" applyFont="1" applyBorder="1" applyAlignment="1">
      <alignment horizontal="center" vertical="center"/>
    </xf>
    <xf numFmtId="0" fontId="19" fillId="0" borderId="217" xfId="2" applyFont="1" applyBorder="1" applyAlignment="1">
      <alignment horizontal="center" vertical="center"/>
    </xf>
    <xf numFmtId="0" fontId="19" fillId="0" borderId="216" xfId="2" applyFont="1" applyBorder="1" applyAlignment="1">
      <alignment horizontal="center" vertical="center"/>
    </xf>
    <xf numFmtId="0" fontId="19" fillId="0" borderId="218" xfId="2" applyFont="1" applyBorder="1" applyAlignment="1">
      <alignment horizontal="center" vertical="center"/>
    </xf>
    <xf numFmtId="0" fontId="25" fillId="0" borderId="0" xfId="2" applyFont="1" applyFill="1"/>
    <xf numFmtId="0" fontId="19" fillId="0" borderId="214" xfId="2" applyFont="1" applyBorder="1" applyAlignment="1">
      <alignment horizontal="center" vertical="center" wrapText="1"/>
    </xf>
    <xf numFmtId="0" fontId="19" fillId="0" borderId="48" xfId="2" applyFont="1" applyBorder="1" applyAlignment="1">
      <alignment horizontal="center" vertical="center" wrapText="1"/>
    </xf>
    <xf numFmtId="0" fontId="19" fillId="0" borderId="219" xfId="2" applyFont="1" applyFill="1" applyBorder="1" applyAlignment="1">
      <alignment horizontal="center" vertical="center" wrapText="1"/>
    </xf>
    <xf numFmtId="0" fontId="19" fillId="0" borderId="65" xfId="2" applyFont="1" applyFill="1" applyBorder="1" applyAlignment="1">
      <alignment horizontal="center" vertical="center"/>
    </xf>
    <xf numFmtId="164" fontId="19" fillId="0" borderId="65" xfId="2" applyNumberFormat="1" applyFont="1" applyFill="1" applyBorder="1" applyAlignment="1">
      <alignment horizontal="center" vertical="center"/>
    </xf>
    <xf numFmtId="0" fontId="18" fillId="11" borderId="59" xfId="2" applyFont="1" applyFill="1" applyBorder="1" applyAlignment="1"/>
    <xf numFmtId="0" fontId="18" fillId="11" borderId="60" xfId="2" applyFont="1" applyFill="1" applyBorder="1" applyAlignment="1"/>
    <xf numFmtId="0" fontId="18" fillId="11" borderId="61" xfId="2" applyFont="1" applyFill="1" applyBorder="1" applyAlignment="1"/>
    <xf numFmtId="0" fontId="18" fillId="11" borderId="62" xfId="2" applyFont="1" applyFill="1" applyBorder="1" applyAlignment="1"/>
    <xf numFmtId="164" fontId="21" fillId="11" borderId="63" xfId="2" applyNumberFormat="1" applyFont="1" applyFill="1" applyBorder="1" applyAlignment="1">
      <alignment horizontal="center" vertical="center"/>
    </xf>
    <xf numFmtId="164" fontId="21" fillId="11" borderId="33" xfId="2" applyNumberFormat="1" applyFont="1" applyFill="1" applyBorder="1" applyAlignment="1">
      <alignment horizontal="center"/>
    </xf>
    <xf numFmtId="0" fontId="18" fillId="11" borderId="220" xfId="2" applyFont="1" applyFill="1" applyBorder="1" applyAlignment="1">
      <alignment vertical="center"/>
    </xf>
    <xf numFmtId="0" fontId="10" fillId="11" borderId="221" xfId="2" applyFont="1" applyFill="1" applyBorder="1" applyAlignment="1">
      <alignment vertical="center"/>
    </xf>
    <xf numFmtId="0" fontId="10" fillId="11" borderId="222" xfId="2" applyFont="1" applyFill="1" applyBorder="1" applyAlignment="1">
      <alignment vertical="center"/>
    </xf>
    <xf numFmtId="0" fontId="10" fillId="11" borderId="223" xfId="2" applyFont="1" applyFill="1" applyBorder="1" applyAlignment="1">
      <alignment vertical="center"/>
    </xf>
    <xf numFmtId="2" fontId="21" fillId="11" borderId="224" xfId="2" applyNumberFormat="1" applyFont="1" applyFill="1" applyBorder="1" applyAlignment="1">
      <alignment horizontal="center" vertical="center"/>
    </xf>
    <xf numFmtId="2" fontId="21" fillId="11" borderId="44" xfId="2" applyNumberFormat="1" applyFont="1" applyFill="1" applyBorder="1" applyAlignment="1">
      <alignment horizontal="center"/>
    </xf>
    <xf numFmtId="0" fontId="10" fillId="0" borderId="0" xfId="2" applyFont="1" applyBorder="1"/>
    <xf numFmtId="0" fontId="12" fillId="9" borderId="226" xfId="2" applyFont="1" applyFill="1" applyBorder="1" applyAlignment="1">
      <alignment horizontal="center"/>
    </xf>
    <xf numFmtId="0" fontId="10" fillId="9" borderId="227" xfId="2" applyFont="1" applyFill="1" applyBorder="1" applyAlignment="1"/>
    <xf numFmtId="0" fontId="12" fillId="9" borderId="228" xfId="2" applyFont="1" applyFill="1" applyBorder="1" applyAlignment="1">
      <alignment horizontal="center" vertical="center"/>
    </xf>
    <xf numFmtId="0" fontId="12" fillId="9" borderId="229" xfId="2" applyFont="1" applyFill="1" applyBorder="1" applyAlignment="1">
      <alignment horizontal="center" vertical="center"/>
    </xf>
    <xf numFmtId="11" fontId="13" fillId="0" borderId="230" xfId="2" applyNumberFormat="1" applyFont="1" applyFill="1" applyBorder="1" applyAlignment="1">
      <alignment horizontal="center"/>
    </xf>
    <xf numFmtId="0" fontId="13" fillId="0" borderId="231" xfId="2" applyFont="1" applyFill="1" applyBorder="1" applyAlignment="1">
      <alignment horizontal="left" vertical="center"/>
    </xf>
    <xf numFmtId="0" fontId="13" fillId="0" borderId="225" xfId="2" applyFont="1" applyFill="1" applyBorder="1" applyAlignment="1">
      <alignment horizontal="left" vertical="center"/>
    </xf>
    <xf numFmtId="0" fontId="32" fillId="0" borderId="157" xfId="2" applyFont="1" applyBorder="1" applyAlignment="1">
      <alignment horizontal="center"/>
    </xf>
    <xf numFmtId="0" fontId="50" fillId="12" borderId="5" xfId="2" applyFont="1" applyFill="1" applyBorder="1" applyAlignment="1">
      <alignment horizontal="center"/>
    </xf>
    <xf numFmtId="0" fontId="32" fillId="0" borderId="5" xfId="2" applyFont="1" applyBorder="1" applyAlignment="1">
      <alignment horizontal="center"/>
    </xf>
    <xf numFmtId="0" fontId="32" fillId="0" borderId="0" xfId="13" applyFont="1" applyFill="1" applyAlignment="1">
      <alignment wrapText="1"/>
    </xf>
    <xf numFmtId="0" fontId="50" fillId="12" borderId="145" xfId="2" applyFont="1" applyFill="1" applyBorder="1" applyAlignment="1">
      <alignment horizontal="center"/>
    </xf>
    <xf numFmtId="3" fontId="51" fillId="0" borderId="3" xfId="9" applyNumberFormat="1" applyFont="1" applyFill="1" applyBorder="1" applyAlignment="1">
      <alignment horizontal="right" vertical="center"/>
    </xf>
    <xf numFmtId="3" fontId="32" fillId="0" borderId="157" xfId="9" applyNumberFormat="1" applyFont="1" applyFill="1" applyBorder="1" applyAlignment="1">
      <alignment horizontal="left" vertical="center"/>
    </xf>
    <xf numFmtId="0" fontId="32" fillId="0" borderId="158" xfId="6" applyFont="1" applyBorder="1" applyAlignment="1">
      <alignment vertical="center"/>
    </xf>
    <xf numFmtId="0" fontId="32" fillId="0" borderId="1" xfId="9" applyFont="1" applyFill="1" applyBorder="1" applyAlignment="1">
      <alignment horizontal="left" wrapText="1"/>
    </xf>
    <xf numFmtId="11" fontId="51" fillId="0" borderId="3" xfId="16" applyNumberFormat="1" applyFont="1" applyFill="1" applyBorder="1" applyAlignment="1">
      <alignment vertical="center"/>
    </xf>
    <xf numFmtId="0" fontId="32" fillId="0" borderId="4" xfId="16" applyFont="1" applyFill="1" applyBorder="1" applyAlignment="1">
      <alignment vertical="center"/>
    </xf>
    <xf numFmtId="3" fontId="51" fillId="0" borderId="3" xfId="16" applyNumberFormat="1" applyFont="1" applyFill="1" applyBorder="1" applyAlignment="1">
      <alignment vertical="center"/>
    </xf>
    <xf numFmtId="3" fontId="32" fillId="0" borderId="4" xfId="16" applyNumberFormat="1" applyFont="1" applyFill="1" applyBorder="1" applyAlignment="1">
      <alignment vertical="center"/>
    </xf>
    <xf numFmtId="175" fontId="51" fillId="0" borderId="3" xfId="16" applyNumberFormat="1" applyFont="1" applyFill="1" applyBorder="1" applyAlignment="1">
      <alignment vertical="center"/>
    </xf>
    <xf numFmtId="0" fontId="32" fillId="0" borderId="1" xfId="2" applyFont="1" applyFill="1" applyBorder="1" applyAlignment="1">
      <alignment horizontal="center"/>
    </xf>
    <xf numFmtId="0" fontId="50" fillId="12" borderId="145" xfId="2" applyFont="1" applyFill="1" applyBorder="1" applyAlignment="1">
      <alignment horizontal="center" wrapText="1"/>
    </xf>
    <xf numFmtId="0" fontId="50" fillId="12" borderId="5" xfId="2" applyFont="1" applyFill="1" applyBorder="1" applyAlignment="1">
      <alignment horizontal="center" wrapText="1"/>
    </xf>
    <xf numFmtId="0" fontId="51" fillId="0" borderId="1" xfId="11" applyFont="1" applyFill="1" applyBorder="1" applyAlignment="1">
      <alignment horizontal="center" vertical="center" wrapText="1"/>
    </xf>
    <xf numFmtId="0" fontId="32" fillId="0" borderId="151" xfId="2" applyFont="1" applyBorder="1" applyAlignment="1">
      <alignment horizontal="center" wrapText="1"/>
    </xf>
    <xf numFmtId="2" fontId="32" fillId="0" borderId="3" xfId="2" applyNumberFormat="1" applyFont="1" applyBorder="1" applyAlignment="1"/>
    <xf numFmtId="0" fontId="32" fillId="0" borderId="0" xfId="13" applyFont="1" applyFill="1" applyAlignment="1"/>
    <xf numFmtId="164" fontId="32" fillId="0" borderId="157" xfId="2" applyNumberFormat="1" applyFont="1" applyBorder="1" applyAlignment="1">
      <alignment horizontal="center"/>
    </xf>
    <xf numFmtId="165" fontId="32" fillId="0" borderId="157" xfId="2" applyNumberFormat="1" applyFont="1" applyBorder="1" applyAlignment="1">
      <alignment horizontal="center"/>
    </xf>
    <xf numFmtId="3" fontId="32" fillId="0" borderId="158" xfId="2" applyNumberFormat="1" applyFont="1" applyBorder="1" applyAlignment="1">
      <alignment horizontal="center"/>
    </xf>
    <xf numFmtId="0" fontId="50" fillId="0" borderId="195" xfId="2" applyFont="1" applyFill="1" applyBorder="1" applyAlignment="1">
      <alignment horizontal="left"/>
    </xf>
    <xf numFmtId="0" fontId="50" fillId="0" borderId="149" xfId="2" applyFont="1" applyBorder="1" applyAlignment="1">
      <alignment horizontal="left"/>
    </xf>
    <xf numFmtId="0" fontId="50" fillId="0" borderId="141" xfId="2" applyFont="1" applyFill="1" applyBorder="1" applyAlignment="1">
      <alignment horizontal="center"/>
    </xf>
    <xf numFmtId="0" fontId="50" fillId="0" borderId="152" xfId="2" applyFont="1" applyFill="1" applyBorder="1" applyAlignment="1">
      <alignment horizontal="center"/>
    </xf>
    <xf numFmtId="0" fontId="32" fillId="0" borderId="235" xfId="2" applyFont="1" applyFill="1" applyBorder="1" applyAlignment="1">
      <alignment horizontal="left" indent="1"/>
    </xf>
    <xf numFmtId="0" fontId="19" fillId="0" borderId="236" xfId="2" applyFont="1" applyFill="1" applyBorder="1" applyAlignment="1">
      <alignment horizontal="center" vertical="center" wrapText="1"/>
    </xf>
    <xf numFmtId="165" fontId="19" fillId="0" borderId="36" xfId="2" applyNumberFormat="1" applyFont="1" applyFill="1" applyBorder="1" applyAlignment="1">
      <alignment horizontal="center" vertical="center"/>
    </xf>
    <xf numFmtId="164" fontId="19" fillId="0" borderId="237" xfId="2" applyNumberFormat="1" applyFont="1" applyFill="1" applyBorder="1" applyAlignment="1">
      <alignment horizontal="right" vertical="center"/>
    </xf>
    <xf numFmtId="3" fontId="18" fillId="0" borderId="48" xfId="2" applyNumberFormat="1" applyFont="1" applyFill="1" applyBorder="1" applyAlignment="1">
      <alignment horizontal="right" vertical="center"/>
    </xf>
    <xf numFmtId="164" fontId="18" fillId="0" borderId="58" xfId="2" applyNumberFormat="1" applyFont="1" applyFill="1" applyBorder="1" applyAlignment="1">
      <alignment horizontal="right" vertical="center"/>
    </xf>
    <xf numFmtId="164" fontId="18" fillId="0" borderId="36" xfId="2" applyNumberFormat="1" applyFont="1" applyFill="1" applyBorder="1" applyAlignment="1">
      <alignment horizontal="right" vertical="center"/>
    </xf>
    <xf numFmtId="169" fontId="19" fillId="0" borderId="48" xfId="20" applyNumberFormat="1" applyFont="1" applyFill="1" applyBorder="1" applyAlignment="1">
      <alignment horizontal="center" vertical="center"/>
    </xf>
    <xf numFmtId="0" fontId="32" fillId="0" borderId="149" xfId="2" applyFont="1" applyBorder="1" applyAlignment="1">
      <alignment horizontal="left" indent="1"/>
    </xf>
    <xf numFmtId="0" fontId="32" fillId="0" borderId="182" xfId="2" applyFont="1" applyBorder="1" applyAlignment="1">
      <alignment horizontal="center"/>
    </xf>
    <xf numFmtId="0" fontId="32" fillId="0" borderId="188" xfId="2" applyFont="1" applyBorder="1" applyAlignment="1">
      <alignment horizontal="center"/>
    </xf>
    <xf numFmtId="164" fontId="50" fillId="0" borderId="242" xfId="2" applyNumberFormat="1" applyFont="1" applyBorder="1" applyAlignment="1">
      <alignment horizontal="center"/>
    </xf>
    <xf numFmtId="0" fontId="60" fillId="0" borderId="235" xfId="2" applyFont="1" applyFill="1" applyBorder="1" applyAlignment="1">
      <alignment horizontal="right" indent="1"/>
    </xf>
    <xf numFmtId="4" fontId="50" fillId="0" borderId="241" xfId="2" applyNumberFormat="1" applyFont="1" applyBorder="1" applyAlignment="1">
      <alignment horizontal="center"/>
    </xf>
    <xf numFmtId="0" fontId="50" fillId="0" borderId="241" xfId="2" applyFont="1" applyBorder="1" applyAlignment="1">
      <alignment horizontal="center"/>
    </xf>
    <xf numFmtId="0" fontId="32" fillId="0" borderId="0" xfId="2" applyFont="1" applyAlignment="1">
      <alignment horizontal="centerContinuous" wrapText="1"/>
    </xf>
    <xf numFmtId="0" fontId="32" fillId="0" borderId="157" xfId="2" applyFont="1" applyBorder="1" applyAlignment="1">
      <alignment horizontal="center" wrapText="1"/>
    </xf>
    <xf numFmtId="0" fontId="32" fillId="0" borderId="0" xfId="2" applyFont="1" applyBorder="1" applyAlignment="1">
      <alignment wrapText="1"/>
    </xf>
    <xf numFmtId="0" fontId="32" fillId="0" borderId="0" xfId="2" applyFont="1" applyBorder="1" applyAlignment="1">
      <alignment horizontal="left" wrapText="1"/>
    </xf>
    <xf numFmtId="0" fontId="32" fillId="0" borderId="0" xfId="2" applyFont="1" applyFill="1" applyBorder="1" applyAlignment="1">
      <alignment horizontal="left" wrapText="1"/>
    </xf>
    <xf numFmtId="0" fontId="32" fillId="0" borderId="0" xfId="2" applyFont="1" applyAlignment="1">
      <alignment wrapText="1"/>
    </xf>
    <xf numFmtId="0" fontId="32" fillId="0" borderId="0" xfId="2" applyFont="1" applyAlignment="1">
      <alignment horizontal="right" wrapText="1"/>
    </xf>
    <xf numFmtId="0" fontId="59" fillId="0" borderId="0" xfId="2" applyFont="1" applyAlignment="1">
      <alignment wrapText="1"/>
    </xf>
    <xf numFmtId="0" fontId="32" fillId="0" borderId="0" xfId="2" applyFont="1" applyBorder="1" applyAlignment="1">
      <alignment horizontal="left"/>
    </xf>
    <xf numFmtId="0" fontId="32" fillId="0" borderId="0" xfId="13" applyFont="1" applyBorder="1" applyAlignment="1">
      <alignment horizontal="left"/>
    </xf>
    <xf numFmtId="0" fontId="32" fillId="0" borderId="1" xfId="2" applyFont="1" applyFill="1" applyBorder="1" applyAlignment="1">
      <alignment horizontal="center"/>
    </xf>
    <xf numFmtId="0" fontId="32" fillId="0" borderId="5" xfId="2" applyFont="1" applyFill="1" applyBorder="1" applyAlignment="1">
      <alignment horizontal="center"/>
    </xf>
    <xf numFmtId="0" fontId="50" fillId="12" borderId="145" xfId="2" applyFont="1" applyFill="1" applyBorder="1" applyAlignment="1">
      <alignment horizontal="center" wrapText="1"/>
    </xf>
    <xf numFmtId="0" fontId="50" fillId="12" borderId="5" xfId="2" applyFont="1" applyFill="1" applyBorder="1" applyAlignment="1">
      <alignment horizontal="center" wrapText="1"/>
    </xf>
    <xf numFmtId="0" fontId="32" fillId="0" borderId="5" xfId="2" applyFont="1" applyBorder="1" applyAlignment="1">
      <alignment horizontal="center"/>
    </xf>
    <xf numFmtId="0" fontId="32" fillId="0" borderId="149" xfId="2" applyFont="1" applyBorder="1" applyAlignment="1">
      <alignment horizontal="center"/>
    </xf>
    <xf numFmtId="0" fontId="32" fillId="0" borderId="157" xfId="2" applyFont="1" applyBorder="1" applyAlignment="1">
      <alignment horizontal="center"/>
    </xf>
    <xf numFmtId="0" fontId="50" fillId="12" borderId="5" xfId="2" applyFont="1" applyFill="1" applyBorder="1" applyAlignment="1">
      <alignment horizontal="center"/>
    </xf>
    <xf numFmtId="0" fontId="50" fillId="0" borderId="0" xfId="2" applyFont="1" applyAlignment="1">
      <alignment horizontal="center"/>
    </xf>
    <xf numFmtId="15" fontId="50" fillId="12" borderId="145" xfId="14" applyFont="1" applyFill="1" applyBorder="1" applyAlignment="1">
      <alignment horizontal="center"/>
    </xf>
    <xf numFmtId="0" fontId="32" fillId="0" borderId="0" xfId="13" applyFont="1" applyFill="1" applyAlignment="1">
      <alignment wrapText="1"/>
    </xf>
    <xf numFmtId="0" fontId="50" fillId="12" borderId="145" xfId="2" applyFont="1" applyFill="1" applyBorder="1" applyAlignment="1">
      <alignment horizontal="center"/>
    </xf>
    <xf numFmtId="9" fontId="32" fillId="0" borderId="0" xfId="2" applyNumberFormat="1" applyFont="1"/>
    <xf numFmtId="9" fontId="32" fillId="0" borderId="0" xfId="22" applyFont="1"/>
    <xf numFmtId="43" fontId="50" fillId="0" borderId="0" xfId="20" applyFont="1" applyAlignment="1">
      <alignment horizontal="center"/>
    </xf>
    <xf numFmtId="43" fontId="32" fillId="0" borderId="0" xfId="20" applyFont="1"/>
    <xf numFmtId="0" fontId="32" fillId="0" borderId="0" xfId="2" applyFont="1" applyAlignment="1">
      <alignment horizontal="left" indent="4"/>
    </xf>
    <xf numFmtId="0" fontId="50" fillId="0" borderId="196" xfId="6" applyFont="1" applyBorder="1" applyAlignment="1">
      <alignment horizontal="left"/>
    </xf>
    <xf numFmtId="0" fontId="37" fillId="0" borderId="156" xfId="16" applyFont="1" applyFill="1" applyBorder="1" applyAlignment="1">
      <alignment horizontal="left"/>
    </xf>
    <xf numFmtId="173" fontId="32" fillId="0" borderId="168" xfId="6" applyNumberFormat="1" applyFont="1" applyBorder="1" applyAlignment="1">
      <alignment horizontal="left"/>
    </xf>
    <xf numFmtId="173" fontId="32" fillId="0" borderId="160" xfId="6" applyNumberFormat="1" applyFont="1" applyBorder="1" applyAlignment="1">
      <alignment horizontal="left"/>
    </xf>
    <xf numFmtId="173" fontId="32" fillId="0" borderId="156" xfId="6" applyNumberFormat="1" applyFont="1" applyBorder="1" applyAlignment="1">
      <alignment horizontal="left"/>
    </xf>
    <xf numFmtId="0" fontId="0" fillId="0" borderId="0" xfId="0" quotePrefix="1"/>
    <xf numFmtId="0" fontId="32" fillId="0" borderId="1" xfId="2" applyFont="1" applyFill="1" applyBorder="1" applyAlignment="1">
      <alignment horizontal="center"/>
    </xf>
    <xf numFmtId="0" fontId="32" fillId="0" borderId="5" xfId="2" applyFont="1" applyFill="1" applyBorder="1" applyAlignment="1">
      <alignment horizontal="center"/>
    </xf>
    <xf numFmtId="0" fontId="50" fillId="12" borderId="5" xfId="2" applyFont="1" applyFill="1" applyBorder="1" applyAlignment="1">
      <alignment horizontal="center" wrapText="1"/>
    </xf>
    <xf numFmtId="0" fontId="32" fillId="0" borderId="157" xfId="2" applyFont="1" applyBorder="1" applyAlignment="1">
      <alignment horizontal="center"/>
    </xf>
    <xf numFmtId="0" fontId="32" fillId="0" borderId="158" xfId="2" applyFont="1" applyBorder="1" applyAlignment="1">
      <alignment horizontal="center"/>
    </xf>
    <xf numFmtId="2" fontId="32" fillId="0" borderId="0" xfId="2" applyNumberFormat="1" applyFont="1" applyAlignment="1">
      <alignment wrapText="1"/>
    </xf>
    <xf numFmtId="0" fontId="32" fillId="0" borderId="0" xfId="23" applyFont="1"/>
    <xf numFmtId="0" fontId="7" fillId="0" borderId="0" xfId="23" applyFont="1"/>
    <xf numFmtId="0" fontId="32" fillId="0" borderId="0" xfId="23" applyFont="1" applyFill="1"/>
    <xf numFmtId="0" fontId="50" fillId="16" borderId="145" xfId="23" applyFont="1" applyFill="1" applyBorder="1" applyAlignment="1">
      <alignment horizontal="center"/>
    </xf>
    <xf numFmtId="15" fontId="50" fillId="16" borderId="145" xfId="14" applyFont="1" applyFill="1" applyBorder="1" applyAlignment="1">
      <alignment horizontal="center"/>
    </xf>
    <xf numFmtId="165" fontId="50" fillId="16" borderId="145" xfId="14" applyNumberFormat="1" applyFont="1" applyFill="1" applyBorder="1" applyAlignment="1">
      <alignment horizontal="centerContinuous"/>
    </xf>
    <xf numFmtId="164" fontId="50" fillId="16" borderId="145" xfId="14" applyNumberFormat="1" applyFont="1" applyFill="1" applyBorder="1" applyAlignment="1">
      <alignment horizontal="centerContinuous"/>
    </xf>
    <xf numFmtId="0" fontId="50" fillId="16" borderId="156" xfId="23" applyFont="1" applyFill="1" applyBorder="1" applyAlignment="1">
      <alignment horizontal="center"/>
    </xf>
    <xf numFmtId="0" fontId="50" fillId="16" borderId="1" xfId="23" applyFont="1" applyFill="1" applyBorder="1" applyAlignment="1">
      <alignment horizontal="center"/>
    </xf>
    <xf numFmtId="0" fontId="50" fillId="16" borderId="5" xfId="23" applyFont="1" applyFill="1" applyBorder="1" applyAlignment="1">
      <alignment horizontal="center"/>
    </xf>
    <xf numFmtId="15" fontId="50" fillId="16" borderId="5" xfId="14" applyFont="1" applyFill="1" applyBorder="1" applyAlignment="1">
      <alignment horizontal="center"/>
    </xf>
    <xf numFmtId="165" fontId="50" fillId="16" borderId="5" xfId="14" applyNumberFormat="1" applyFont="1" applyFill="1" applyBorder="1" applyAlignment="1">
      <alignment horizontal="centerContinuous"/>
    </xf>
    <xf numFmtId="164" fontId="50" fillId="16" borderId="5" xfId="14" applyNumberFormat="1" applyFont="1" applyFill="1" applyBorder="1" applyAlignment="1">
      <alignment horizontal="centerContinuous"/>
    </xf>
    <xf numFmtId="0" fontId="32" fillId="0" borderId="160" xfId="23" applyFont="1" applyBorder="1" applyAlignment="1">
      <alignment horizontal="center"/>
    </xf>
    <xf numFmtId="0" fontId="32" fillId="0" borderId="5" xfId="23" applyFont="1" applyBorder="1" applyAlignment="1">
      <alignment horizontal="center"/>
    </xf>
    <xf numFmtId="0" fontId="32" fillId="0" borderId="5" xfId="23" applyFont="1" applyFill="1" applyBorder="1" applyAlignment="1">
      <alignment horizontal="center"/>
    </xf>
    <xf numFmtId="3" fontId="32" fillId="0" borderId="179" xfId="23" applyNumberFormat="1" applyFont="1" applyBorder="1" applyAlignment="1"/>
    <xf numFmtId="0" fontId="32" fillId="0" borderId="178" xfId="23" applyFont="1" applyBorder="1" applyAlignment="1"/>
    <xf numFmtId="0" fontId="59" fillId="0" borderId="0" xfId="23" applyFont="1"/>
    <xf numFmtId="0" fontId="32" fillId="0" borderId="156" xfId="23" applyFont="1" applyBorder="1" applyAlignment="1">
      <alignment horizontal="center"/>
    </xf>
    <xf numFmtId="0" fontId="32" fillId="0" borderId="1" xfId="23" applyFont="1" applyBorder="1" applyAlignment="1">
      <alignment horizontal="center"/>
    </xf>
    <xf numFmtId="0" fontId="32" fillId="0" borderId="1" xfId="23" applyFont="1" applyFill="1" applyBorder="1" applyAlignment="1">
      <alignment horizontal="center"/>
    </xf>
    <xf numFmtId="3" fontId="32" fillId="0" borderId="3" xfId="23" applyNumberFormat="1" applyFont="1" applyBorder="1" applyAlignment="1"/>
    <xf numFmtId="0" fontId="32" fillId="0" borderId="4" xfId="23" applyFont="1" applyBorder="1" applyAlignment="1"/>
    <xf numFmtId="0" fontId="59" fillId="0" borderId="0" xfId="23" applyFont="1" applyBorder="1" applyAlignment="1">
      <alignment vertical="center"/>
    </xf>
    <xf numFmtId="0" fontId="59" fillId="0" borderId="0" xfId="23" applyFont="1" applyAlignment="1">
      <alignment vertical="center"/>
    </xf>
    <xf numFmtId="2" fontId="32" fillId="0" borderId="0" xfId="23" applyNumberFormat="1" applyFont="1"/>
    <xf numFmtId="0" fontId="32" fillId="0" borderId="1" xfId="23" applyFont="1" applyFill="1" applyBorder="1" applyAlignment="1"/>
    <xf numFmtId="3" fontId="32" fillId="0" borderId="4" xfId="23" applyNumberFormat="1" applyFont="1" applyBorder="1" applyAlignment="1"/>
    <xf numFmtId="3" fontId="32" fillId="0" borderId="3" xfId="23" applyNumberFormat="1" applyFont="1" applyFill="1" applyBorder="1" applyAlignment="1">
      <alignment horizontal="right" vertical="center"/>
    </xf>
    <xf numFmtId="3" fontId="32" fillId="0" borderId="4" xfId="23" applyNumberFormat="1" applyFont="1" applyFill="1" applyBorder="1" applyAlignment="1">
      <alignment horizontal="left" vertical="center"/>
    </xf>
    <xf numFmtId="4" fontId="32" fillId="0" borderId="3" xfId="23" applyNumberFormat="1" applyFont="1" applyFill="1" applyBorder="1" applyAlignment="1">
      <alignment horizontal="right" vertical="center"/>
    </xf>
    <xf numFmtId="3" fontId="32" fillId="0" borderId="158" xfId="23" applyNumberFormat="1" applyFont="1" applyFill="1" applyBorder="1" applyAlignment="1">
      <alignment horizontal="left" vertical="center"/>
    </xf>
    <xf numFmtId="167" fontId="32" fillId="0" borderId="3" xfId="23" applyNumberFormat="1" applyFont="1" applyFill="1" applyBorder="1" applyAlignment="1">
      <alignment horizontal="right" vertical="center"/>
    </xf>
    <xf numFmtId="166" fontId="32" fillId="0" borderId="3" xfId="23" applyNumberFormat="1" applyFont="1" applyBorder="1" applyAlignment="1"/>
    <xf numFmtId="11" fontId="32" fillId="0" borderId="3" xfId="23" applyNumberFormat="1" applyFont="1" applyBorder="1" applyAlignment="1"/>
    <xf numFmtId="0" fontId="32" fillId="0" borderId="1" xfId="23" applyFont="1" applyFill="1" applyBorder="1" applyAlignment="1">
      <alignment horizontal="center" vertical="center"/>
    </xf>
    <xf numFmtId="0" fontId="32" fillId="0" borderId="3" xfId="23" applyFont="1" applyFill="1" applyBorder="1" applyAlignment="1">
      <alignment vertical="center"/>
    </xf>
    <xf numFmtId="0" fontId="32" fillId="0" borderId="0" xfId="23" applyFont="1" applyAlignment="1">
      <alignment vertical="center"/>
    </xf>
    <xf numFmtId="2" fontId="32" fillId="0" borderId="0" xfId="23" applyNumberFormat="1" applyFont="1" applyAlignment="1">
      <alignment vertical="center"/>
    </xf>
    <xf numFmtId="171" fontId="32" fillId="0" borderId="0" xfId="23" applyNumberFormat="1" applyFont="1"/>
    <xf numFmtId="164" fontId="50" fillId="0" borderId="184" xfId="23" applyNumberFormat="1" applyFont="1" applyFill="1" applyBorder="1" applyAlignment="1"/>
    <xf numFmtId="0" fontId="50" fillId="0" borderId="163" xfId="23" applyFont="1" applyBorder="1" applyAlignment="1">
      <alignment horizontal="left"/>
    </xf>
    <xf numFmtId="0" fontId="32" fillId="0" borderId="160" xfId="23" applyFont="1" applyFill="1" applyBorder="1" applyAlignment="1">
      <alignment horizontal="center"/>
    </xf>
    <xf numFmtId="3" fontId="32" fillId="0" borderId="178" xfId="23" applyNumberFormat="1" applyFont="1" applyBorder="1" applyAlignment="1"/>
    <xf numFmtId="4" fontId="32" fillId="0" borderId="179" xfId="23" applyNumberFormat="1" applyFont="1" applyFill="1" applyBorder="1" applyAlignment="1">
      <alignment horizontal="right"/>
    </xf>
    <xf numFmtId="0" fontId="32" fillId="0" borderId="180" xfId="23" applyFont="1" applyFill="1" applyBorder="1" applyAlignment="1">
      <alignment horizontal="left"/>
    </xf>
    <xf numFmtId="0" fontId="32" fillId="0" borderId="156" xfId="23" applyFont="1" applyFill="1" applyBorder="1" applyAlignment="1">
      <alignment horizontal="center"/>
    </xf>
    <xf numFmtId="171" fontId="32" fillId="0" borderId="3" xfId="23" applyNumberFormat="1" applyFont="1" applyBorder="1" applyAlignment="1"/>
    <xf numFmtId="0" fontId="32" fillId="0" borderId="158" xfId="23" applyFont="1" applyBorder="1" applyAlignment="1">
      <alignment horizontal="left"/>
    </xf>
    <xf numFmtId="1" fontId="32" fillId="0" borderId="3" xfId="23" applyNumberFormat="1" applyFont="1" applyBorder="1" applyAlignment="1"/>
    <xf numFmtId="4" fontId="50" fillId="0" borderId="3" xfId="23" applyNumberFormat="1" applyFont="1" applyFill="1" applyBorder="1" applyAlignment="1"/>
    <xf numFmtId="0" fontId="50" fillId="0" borderId="158" xfId="23" applyFont="1" applyBorder="1" applyAlignment="1">
      <alignment horizontal="left"/>
    </xf>
    <xf numFmtId="0" fontId="50" fillId="0" borderId="0" xfId="23" applyFont="1"/>
    <xf numFmtId="0" fontId="32" fillId="0" borderId="149" xfId="23" applyFont="1" applyBorder="1" applyAlignment="1">
      <alignment horizontal="center"/>
    </xf>
    <xf numFmtId="0" fontId="32" fillId="0" borderId="157" xfId="23" applyFont="1" applyBorder="1" applyAlignment="1">
      <alignment horizontal="center"/>
    </xf>
    <xf numFmtId="0" fontId="32" fillId="0" borderId="157" xfId="23" applyFont="1" applyBorder="1" applyAlignment="1"/>
    <xf numFmtId="3" fontId="32" fillId="0" borderId="157" xfId="23" applyNumberFormat="1" applyFont="1" applyBorder="1" applyAlignment="1"/>
    <xf numFmtId="3" fontId="32" fillId="0" borderId="157" xfId="23" applyNumberFormat="1" applyFont="1" applyFill="1" applyBorder="1" applyAlignment="1">
      <alignment horizontal="right"/>
    </xf>
    <xf numFmtId="3" fontId="32" fillId="0" borderId="157" xfId="23" applyNumberFormat="1" applyFont="1" applyBorder="1" applyAlignment="1">
      <alignment horizontal="left"/>
    </xf>
    <xf numFmtId="0" fontId="50" fillId="0" borderId="157" xfId="23" applyFont="1" applyBorder="1"/>
    <xf numFmtId="0" fontId="50" fillId="0" borderId="158" xfId="23" applyFont="1" applyBorder="1"/>
    <xf numFmtId="0" fontId="32" fillId="0" borderId="0" xfId="23" applyFont="1" applyBorder="1" applyAlignment="1">
      <alignment horizontal="center"/>
    </xf>
    <xf numFmtId="0" fontId="32" fillId="0" borderId="0" xfId="23" applyFont="1" applyBorder="1"/>
    <xf numFmtId="0" fontId="50" fillId="0" borderId="0" xfId="23" applyFont="1" applyBorder="1" applyAlignment="1">
      <alignment horizontal="right"/>
    </xf>
    <xf numFmtId="4" fontId="50" fillId="0" borderId="0" xfId="23" applyNumberFormat="1" applyFont="1" applyBorder="1"/>
    <xf numFmtId="0" fontId="50" fillId="0" borderId="0" xfId="23" applyFont="1" applyBorder="1"/>
    <xf numFmtId="3" fontId="32" fillId="0" borderId="0" xfId="23" applyNumberFormat="1" applyFont="1"/>
    <xf numFmtId="0" fontId="32" fillId="0" borderId="0" xfId="23" applyFont="1" applyFill="1" applyAlignment="1">
      <alignment wrapText="1"/>
    </xf>
    <xf numFmtId="0" fontId="32" fillId="0" borderId="0" xfId="23" applyFont="1" applyAlignment="1">
      <alignment horizontal="right"/>
    </xf>
    <xf numFmtId="0" fontId="10" fillId="0" borderId="0" xfId="23" applyFont="1"/>
    <xf numFmtId="0" fontId="59" fillId="0" borderId="0" xfId="2" applyFont="1" applyFill="1" applyBorder="1" applyAlignment="1">
      <alignment vertical="center"/>
    </xf>
    <xf numFmtId="176" fontId="50" fillId="0" borderId="0" xfId="21" applyNumberFormat="1" applyFont="1" applyAlignment="1">
      <alignment horizontal="center"/>
    </xf>
    <xf numFmtId="176" fontId="32" fillId="0" borderId="0" xfId="21" applyNumberFormat="1" applyFont="1"/>
    <xf numFmtId="0" fontId="10" fillId="0" borderId="1" xfId="2" applyFont="1" applyBorder="1" applyAlignment="1">
      <alignment horizontal="center" vertical="center"/>
    </xf>
    <xf numFmtId="0" fontId="32" fillId="0" borderId="1" xfId="11" applyFont="1" applyBorder="1" applyAlignment="1">
      <alignment horizontal="center" vertical="center" wrapText="1"/>
    </xf>
    <xf numFmtId="0" fontId="10" fillId="0" borderId="0" xfId="2" applyFont="1" applyFill="1" applyBorder="1" applyAlignment="1">
      <alignment horizontal="center" vertical="center" wrapText="1"/>
    </xf>
    <xf numFmtId="0" fontId="10" fillId="0" borderId="0" xfId="2" applyFont="1" applyBorder="1" applyAlignment="1">
      <alignment horizontal="center" vertical="center" wrapText="1"/>
    </xf>
    <xf numFmtId="0" fontId="77" fillId="0" borderId="0" xfId="2" applyFont="1" applyBorder="1" applyAlignment="1">
      <alignment horizontal="center" vertical="center" wrapText="1"/>
    </xf>
    <xf numFmtId="0" fontId="77" fillId="0" borderId="0" xfId="2" applyFont="1" applyFill="1" applyBorder="1" applyAlignment="1">
      <alignment horizontal="center" vertical="center" wrapText="1"/>
    </xf>
    <xf numFmtId="0" fontId="75" fillId="0" borderId="0" xfId="0" applyFont="1" applyAlignment="1">
      <alignment horizontal="center" wrapText="1"/>
    </xf>
    <xf numFmtId="0" fontId="76" fillId="0" borderId="0" xfId="0" applyFont="1" applyAlignment="1">
      <alignment horizontal="center"/>
    </xf>
    <xf numFmtId="0" fontId="75" fillId="0" borderId="0" xfId="0" applyFont="1" applyAlignment="1">
      <alignment horizontal="left" wrapText="1"/>
    </xf>
    <xf numFmtId="0" fontId="76" fillId="0" borderId="0" xfId="0" applyFont="1" applyAlignment="1">
      <alignment horizontal="left"/>
    </xf>
    <xf numFmtId="0" fontId="10" fillId="0" borderId="1" xfId="2" applyFont="1" applyFill="1" applyBorder="1" applyAlignment="1">
      <alignment horizontal="center" vertical="center"/>
    </xf>
    <xf numFmtId="0" fontId="75" fillId="0" borderId="0" xfId="0" applyFont="1" applyFill="1" applyAlignment="1">
      <alignment horizontal="center" wrapText="1"/>
    </xf>
    <xf numFmtId="0" fontId="32" fillId="0" borderId="5" xfId="23" applyFont="1" applyFill="1" applyBorder="1" applyAlignment="1">
      <alignment horizontal="center" vertical="center"/>
    </xf>
    <xf numFmtId="0" fontId="32" fillId="0" borderId="179" xfId="23" applyFont="1" applyBorder="1" applyAlignment="1"/>
    <xf numFmtId="0" fontId="32" fillId="0" borderId="3" xfId="23" applyFont="1" applyBorder="1" applyAlignment="1"/>
    <xf numFmtId="0" fontId="32" fillId="0" borderId="3" xfId="23" applyFont="1" applyBorder="1" applyAlignment="1">
      <alignment horizontal="right"/>
    </xf>
    <xf numFmtId="0" fontId="32" fillId="0" borderId="4" xfId="23" quotePrefix="1" applyFont="1" applyBorder="1" applyAlignment="1"/>
    <xf numFmtId="3" fontId="32" fillId="0" borderId="158" xfId="23" applyNumberFormat="1" applyFont="1" applyBorder="1" applyAlignment="1">
      <alignment horizontal="left" vertical="center"/>
    </xf>
    <xf numFmtId="4" fontId="32" fillId="0" borderId="3" xfId="23" applyNumberFormat="1" applyFont="1" applyFill="1" applyBorder="1" applyAlignment="1">
      <alignment vertical="center"/>
    </xf>
    <xf numFmtId="3" fontId="32" fillId="0" borderId="3" xfId="23" applyNumberFormat="1" applyFont="1" applyFill="1" applyBorder="1" applyAlignment="1">
      <alignment vertical="center"/>
    </xf>
    <xf numFmtId="3" fontId="51" fillId="0" borderId="4" xfId="7" applyNumberFormat="1" applyFont="1" applyFill="1" applyBorder="1" applyAlignment="1">
      <alignment vertical="center"/>
    </xf>
    <xf numFmtId="0" fontId="32" fillId="0" borderId="179" xfId="23" applyFont="1" applyFill="1" applyBorder="1" applyAlignment="1">
      <alignment horizontal="right"/>
    </xf>
    <xf numFmtId="3" fontId="50" fillId="0" borderId="3" xfId="23" applyNumberFormat="1" applyFont="1" applyFill="1" applyBorder="1" applyAlignment="1"/>
    <xf numFmtId="0" fontId="32" fillId="0" borderId="0" xfId="23" applyFont="1" applyFill="1" applyBorder="1"/>
    <xf numFmtId="164" fontId="32" fillId="0" borderId="0" xfId="2" applyNumberFormat="1" applyFont="1"/>
    <xf numFmtId="171" fontId="0" fillId="0" borderId="0" xfId="0" applyNumberFormat="1"/>
    <xf numFmtId="0" fontId="1" fillId="0" borderId="0" xfId="0" applyFont="1"/>
    <xf numFmtId="166" fontId="1" fillId="0" borderId="0" xfId="0" applyNumberFormat="1" applyFont="1"/>
    <xf numFmtId="166" fontId="0" fillId="0" borderId="0" xfId="0" applyNumberFormat="1"/>
    <xf numFmtId="3" fontId="32" fillId="0" borderId="1" xfId="23" applyNumberFormat="1" applyFont="1" applyBorder="1" applyAlignment="1"/>
    <xf numFmtId="0" fontId="32" fillId="0" borderId="1" xfId="23" applyFont="1" applyBorder="1" applyAlignment="1"/>
    <xf numFmtId="0" fontId="78" fillId="0" borderId="0" xfId="0" applyFont="1"/>
    <xf numFmtId="2" fontId="0" fillId="0" borderId="0" xfId="0" applyNumberFormat="1"/>
    <xf numFmtId="9" fontId="0" fillId="0" borderId="0" xfId="0" applyNumberFormat="1"/>
    <xf numFmtId="44" fontId="0" fillId="0" borderId="0" xfId="21" applyFont="1"/>
    <xf numFmtId="43" fontId="0" fillId="0" borderId="0" xfId="20" applyFont="1"/>
    <xf numFmtId="176" fontId="0" fillId="0" borderId="0" xfId="21" applyNumberFormat="1" applyFont="1"/>
    <xf numFmtId="169" fontId="0" fillId="0" borderId="0" xfId="0" applyNumberFormat="1"/>
    <xf numFmtId="0" fontId="32" fillId="0" borderId="1" xfId="23" applyFont="1" applyBorder="1" applyAlignment="1">
      <alignment horizontal="center"/>
    </xf>
    <xf numFmtId="3" fontId="32" fillId="0" borderId="3" xfId="23" applyNumberFormat="1" applyFont="1" applyFill="1" applyBorder="1" applyAlignment="1">
      <alignment horizontal="right" vertical="center"/>
    </xf>
    <xf numFmtId="3" fontId="32" fillId="0" borderId="158" xfId="23" applyNumberFormat="1" applyFont="1" applyBorder="1" applyAlignment="1">
      <alignment horizontal="left" vertical="center"/>
    </xf>
    <xf numFmtId="0" fontId="0" fillId="0" borderId="0" xfId="0" applyAlignment="1">
      <alignment horizontal="left" wrapText="1"/>
    </xf>
    <xf numFmtId="0" fontId="75" fillId="0" borderId="1" xfId="0" applyFont="1" applyBorder="1" applyAlignment="1">
      <alignment horizontal="center" wrapText="1"/>
    </xf>
    <xf numFmtId="0" fontId="75" fillId="0" borderId="1" xfId="0" applyFont="1" applyBorder="1" applyAlignment="1">
      <alignment horizontal="left" wrapText="1"/>
    </xf>
    <xf numFmtId="0" fontId="76" fillId="0" borderId="1" xfId="0" applyFont="1" applyBorder="1" applyAlignment="1">
      <alignment horizontal="center"/>
    </xf>
    <xf numFmtId="0" fontId="32" fillId="0" borderId="1" xfId="2" applyFont="1" applyBorder="1" applyAlignment="1">
      <alignment horizontal="center" wrapText="1"/>
    </xf>
    <xf numFmtId="3" fontId="32" fillId="0" borderId="1" xfId="2" applyNumberFormat="1" applyFont="1" applyBorder="1" applyAlignment="1">
      <alignment horizontal="center"/>
    </xf>
    <xf numFmtId="3" fontId="32" fillId="0" borderId="1" xfId="7" applyNumberFormat="1" applyFont="1" applyFill="1" applyBorder="1" applyAlignment="1">
      <alignment horizontal="center" vertical="center"/>
    </xf>
    <xf numFmtId="0" fontId="76" fillId="0" borderId="1" xfId="0" applyFont="1" applyBorder="1" applyAlignment="1">
      <alignment horizontal="left"/>
    </xf>
    <xf numFmtId="0" fontId="10" fillId="0" borderId="1" xfId="2" applyFont="1" applyFill="1" applyBorder="1" applyAlignment="1">
      <alignment horizontal="center"/>
    </xf>
    <xf numFmtId="1" fontId="10" fillId="0" borderId="1" xfId="2" applyNumberFormat="1" applyFont="1" applyBorder="1" applyAlignment="1">
      <alignment horizontal="center" vertical="center"/>
    </xf>
    <xf numFmtId="0" fontId="77" fillId="0" borderId="1" xfId="2" applyFont="1" applyBorder="1" applyAlignment="1">
      <alignment horizontal="center" vertical="center"/>
    </xf>
    <xf numFmtId="0" fontId="10" fillId="0" borderId="1" xfId="2" applyFont="1" applyBorder="1" applyAlignment="1">
      <alignment horizontal="center" vertical="center" wrapText="1"/>
    </xf>
    <xf numFmtId="176" fontId="50" fillId="0" borderId="197" xfId="21" applyNumberFormat="1" applyFont="1" applyBorder="1" applyAlignment="1">
      <alignment horizontal="center"/>
    </xf>
    <xf numFmtId="176" fontId="32" fillId="0" borderId="197" xfId="21" applyNumberFormat="1" applyFont="1" applyBorder="1"/>
    <xf numFmtId="3" fontId="32" fillId="0" borderId="189" xfId="2" applyNumberFormat="1" applyFont="1" applyBorder="1" applyAlignment="1">
      <alignment horizontal="left" vertical="center"/>
    </xf>
    <xf numFmtId="3" fontId="32" fillId="0" borderId="157" xfId="2" applyNumberFormat="1" applyFont="1" applyBorder="1" applyAlignment="1">
      <alignment horizontal="left" vertical="center"/>
    </xf>
    <xf numFmtId="3" fontId="32" fillId="0" borderId="157" xfId="2" applyNumberFormat="1" applyFont="1" applyFill="1" applyBorder="1" applyAlignment="1">
      <alignment horizontal="left" vertical="center"/>
    </xf>
    <xf numFmtId="0" fontId="50" fillId="0" borderId="162" xfId="2" applyFont="1" applyBorder="1" applyAlignment="1">
      <alignment horizontal="left"/>
    </xf>
    <xf numFmtId="0" fontId="32" fillId="0" borderId="189" xfId="2" applyFont="1" applyFill="1" applyBorder="1" applyAlignment="1">
      <alignment horizontal="left"/>
    </xf>
    <xf numFmtId="0" fontId="32" fillId="0" borderId="157" xfId="2" applyFont="1" applyBorder="1" applyAlignment="1">
      <alignment horizontal="left"/>
    </xf>
    <xf numFmtId="0" fontId="50" fillId="0" borderId="157" xfId="2" applyFont="1" applyBorder="1" applyAlignment="1">
      <alignment horizontal="left"/>
    </xf>
    <xf numFmtId="176" fontId="50" fillId="13" borderId="6" xfId="21" applyNumberFormat="1" applyFont="1" applyFill="1" applyBorder="1" applyAlignment="1">
      <alignment horizontal="center"/>
    </xf>
    <xf numFmtId="0" fontId="50" fillId="13" borderId="6" xfId="2" applyFont="1" applyFill="1" applyBorder="1" applyAlignment="1">
      <alignment horizontal="center"/>
    </xf>
    <xf numFmtId="43" fontId="50" fillId="13" borderId="6" xfId="20" applyFont="1" applyFill="1" applyBorder="1" applyAlignment="1">
      <alignment horizontal="center"/>
    </xf>
    <xf numFmtId="176" fontId="32" fillId="0" borderId="6" xfId="21" applyNumberFormat="1" applyFont="1" applyBorder="1" applyAlignment="1">
      <alignment horizontal="left" vertical="center"/>
    </xf>
    <xf numFmtId="3" fontId="32" fillId="0" borderId="6" xfId="2" applyNumberFormat="1" applyFont="1" applyBorder="1" applyAlignment="1">
      <alignment horizontal="left" vertical="center"/>
    </xf>
    <xf numFmtId="43" fontId="32" fillId="0" borderId="6" xfId="20" applyFont="1" applyBorder="1" applyAlignment="1">
      <alignment horizontal="left" vertical="center"/>
    </xf>
    <xf numFmtId="176" fontId="32" fillId="0" borderId="6" xfId="21" applyNumberFormat="1" applyFont="1" applyFill="1" applyBorder="1" applyAlignment="1">
      <alignment horizontal="left" vertical="center"/>
    </xf>
    <xf numFmtId="3" fontId="32" fillId="0" borderId="6" xfId="2" applyNumberFormat="1" applyFont="1" applyFill="1" applyBorder="1" applyAlignment="1">
      <alignment horizontal="left" vertical="center"/>
    </xf>
    <xf numFmtId="43" fontId="32" fillId="0" borderId="6" xfId="20" applyFont="1" applyFill="1" applyBorder="1" applyAlignment="1">
      <alignment horizontal="left" vertical="center"/>
    </xf>
    <xf numFmtId="4" fontId="32" fillId="0" borderId="6" xfId="2" applyNumberFormat="1" applyFont="1" applyFill="1" applyBorder="1" applyAlignment="1">
      <alignment horizontal="left" vertical="center"/>
    </xf>
    <xf numFmtId="43" fontId="32" fillId="0" borderId="6" xfId="20" applyNumberFormat="1" applyFont="1" applyFill="1" applyBorder="1" applyAlignment="1">
      <alignment horizontal="left" vertical="center"/>
    </xf>
    <xf numFmtId="0" fontId="32" fillId="0" borderId="6" xfId="2" applyFont="1" applyBorder="1"/>
    <xf numFmtId="176" fontId="32" fillId="0" borderId="6" xfId="21" applyNumberFormat="1" applyFont="1" applyBorder="1"/>
    <xf numFmtId="43" fontId="32" fillId="0" borderId="6" xfId="20" applyFont="1" applyBorder="1"/>
    <xf numFmtId="176" fontId="50" fillId="0" borderId="6" xfId="21" applyNumberFormat="1" applyFont="1" applyBorder="1" applyAlignment="1">
      <alignment horizontal="left"/>
    </xf>
    <xf numFmtId="0" fontId="50" fillId="0" borderId="6" xfId="2" applyFont="1" applyBorder="1" applyAlignment="1">
      <alignment horizontal="left"/>
    </xf>
    <xf numFmtId="43" fontId="50" fillId="0" borderId="6" xfId="20" applyFont="1" applyBorder="1" applyAlignment="1">
      <alignment horizontal="left"/>
    </xf>
    <xf numFmtId="176" fontId="32" fillId="13" borderId="6" xfId="21" applyNumberFormat="1" applyFont="1" applyFill="1" applyBorder="1" applyAlignment="1">
      <alignment horizontal="center"/>
    </xf>
    <xf numFmtId="0" fontId="32" fillId="13" borderId="6" xfId="2" applyFont="1" applyFill="1" applyBorder="1" applyAlignment="1">
      <alignment horizontal="center"/>
    </xf>
    <xf numFmtId="43" fontId="32" fillId="13" borderId="6" xfId="20" applyFont="1" applyFill="1" applyBorder="1" applyAlignment="1">
      <alignment horizontal="center"/>
    </xf>
    <xf numFmtId="176" fontId="32" fillId="0" borderId="6" xfId="21" applyNumberFormat="1" applyFont="1" applyFill="1" applyBorder="1" applyAlignment="1">
      <alignment horizontal="left"/>
    </xf>
    <xf numFmtId="0" fontId="32" fillId="0" borderId="6" xfId="2" applyFont="1" applyFill="1" applyBorder="1" applyAlignment="1">
      <alignment horizontal="left"/>
    </xf>
    <xf numFmtId="43" fontId="32" fillId="0" borderId="6" xfId="20" applyFont="1" applyFill="1" applyBorder="1" applyAlignment="1">
      <alignment horizontal="left"/>
    </xf>
    <xf numFmtId="176" fontId="32" fillId="0" borderId="6" xfId="21" applyNumberFormat="1" applyFont="1" applyBorder="1" applyAlignment="1">
      <alignment horizontal="left"/>
    </xf>
    <xf numFmtId="0" fontId="32" fillId="0" borderId="6" xfId="2" applyFont="1" applyBorder="1" applyAlignment="1">
      <alignment horizontal="left"/>
    </xf>
    <xf numFmtId="43" fontId="32" fillId="0" borderId="6" xfId="20" applyFont="1" applyBorder="1" applyAlignment="1">
      <alignment horizontal="left"/>
    </xf>
    <xf numFmtId="176" fontId="50" fillId="0" borderId="6" xfId="21" applyNumberFormat="1" applyFont="1" applyBorder="1"/>
    <xf numFmtId="0" fontId="50" fillId="0" borderId="6" xfId="2" applyFont="1" applyBorder="1"/>
    <xf numFmtId="43" fontId="50" fillId="0" borderId="6" xfId="20" applyFont="1" applyBorder="1"/>
    <xf numFmtId="4" fontId="50" fillId="0" borderId="6" xfId="2" applyNumberFormat="1" applyFont="1" applyBorder="1"/>
    <xf numFmtId="176" fontId="32" fillId="0" borderId="6" xfId="21" applyNumberFormat="1" applyFont="1" applyFill="1" applyBorder="1" applyAlignment="1">
      <alignment wrapText="1"/>
    </xf>
    <xf numFmtId="3" fontId="50" fillId="0" borderId="6" xfId="2" applyNumberFormat="1" applyFont="1" applyFill="1" applyBorder="1" applyAlignment="1">
      <alignment horizontal="left" vertical="center"/>
    </xf>
    <xf numFmtId="176" fontId="32" fillId="0" borderId="5" xfId="21" applyNumberFormat="1" applyFont="1" applyBorder="1"/>
    <xf numFmtId="3" fontId="50" fillId="0" borderId="5" xfId="2" applyNumberFormat="1" applyFont="1" applyFill="1" applyBorder="1" applyAlignment="1">
      <alignment horizontal="left" vertical="center"/>
    </xf>
    <xf numFmtId="176" fontId="32" fillId="0" borderId="5" xfId="21" applyNumberFormat="1" applyFont="1" applyFill="1" applyBorder="1" applyAlignment="1">
      <alignment horizontal="left" vertical="center"/>
    </xf>
    <xf numFmtId="43" fontId="32" fillId="0" borderId="5" xfId="20" applyFont="1" applyFill="1" applyBorder="1" applyAlignment="1">
      <alignment horizontal="left" vertical="center"/>
    </xf>
    <xf numFmtId="176" fontId="32" fillId="0" borderId="244" xfId="21" applyNumberFormat="1" applyFont="1" applyBorder="1"/>
    <xf numFmtId="0" fontId="32" fillId="0" borderId="244" xfId="2" applyFont="1" applyBorder="1"/>
    <xf numFmtId="43" fontId="32" fillId="0" borderId="244" xfId="20" applyFont="1" applyBorder="1"/>
    <xf numFmtId="176" fontId="32" fillId="0" borderId="0" xfId="21" applyNumberFormat="1" applyFont="1" applyBorder="1"/>
    <xf numFmtId="43" fontId="32" fillId="0" borderId="0" xfId="20" applyFont="1" applyBorder="1"/>
    <xf numFmtId="0" fontId="2" fillId="2" borderId="0" xfId="0" applyFont="1" applyFill="1" applyBorder="1" applyAlignment="1">
      <alignment horizontal="left" vertical="center" indent="1"/>
    </xf>
    <xf numFmtId="0" fontId="32" fillId="0" borderId="1" xfId="2" applyFont="1" applyFill="1" applyBorder="1" applyAlignment="1">
      <alignment horizontal="center"/>
    </xf>
    <xf numFmtId="0" fontId="32" fillId="0" borderId="5" xfId="2" applyFont="1" applyFill="1" applyBorder="1" applyAlignment="1">
      <alignment horizontal="center"/>
    </xf>
    <xf numFmtId="0" fontId="76" fillId="0" borderId="1" xfId="0" applyFont="1" applyBorder="1" applyAlignment="1">
      <alignment horizontal="left" wrapText="1"/>
    </xf>
    <xf numFmtId="0" fontId="0" fillId="0" borderId="0" xfId="0" applyAlignment="1">
      <alignment horizontal="left" wrapText="1"/>
    </xf>
    <xf numFmtId="0" fontId="32" fillId="0" borderId="247" xfId="11" applyFont="1" applyFill="1" applyBorder="1" applyAlignment="1">
      <alignment horizontal="center" vertical="center" wrapText="1"/>
    </xf>
    <xf numFmtId="0" fontId="32" fillId="0" borderId="247" xfId="2" applyFont="1" applyFill="1" applyBorder="1" applyAlignment="1">
      <alignment horizontal="center"/>
    </xf>
    <xf numFmtId="3" fontId="32" fillId="0" borderId="247" xfId="2" applyNumberFormat="1" applyFont="1" applyFill="1" applyBorder="1" applyAlignment="1">
      <alignment horizontal="center"/>
    </xf>
    <xf numFmtId="3" fontId="32" fillId="0" borderId="247" xfId="7" applyNumberFormat="1" applyFont="1" applyFill="1" applyBorder="1" applyAlignment="1">
      <alignment horizontal="center" vertical="center"/>
    </xf>
    <xf numFmtId="0" fontId="76" fillId="0" borderId="247" xfId="0" applyFont="1" applyFill="1" applyBorder="1" applyAlignment="1">
      <alignment horizontal="center"/>
    </xf>
    <xf numFmtId="0" fontId="76" fillId="0" borderId="247" xfId="0" applyFont="1" applyBorder="1" applyAlignment="1">
      <alignment horizontal="center"/>
    </xf>
    <xf numFmtId="0" fontId="32" fillId="0" borderId="247" xfId="2" applyFont="1" applyBorder="1" applyAlignment="1">
      <alignment horizontal="center"/>
    </xf>
    <xf numFmtId="0" fontId="32" fillId="0" borderId="247" xfId="2" applyFont="1" applyBorder="1" applyAlignment="1">
      <alignment horizontal="center" wrapText="1"/>
    </xf>
    <xf numFmtId="3" fontId="32" fillId="0" borderId="247" xfId="2" applyNumberFormat="1" applyFont="1" applyBorder="1" applyAlignment="1">
      <alignment horizontal="center"/>
    </xf>
    <xf numFmtId="0" fontId="32" fillId="0" borderId="247" xfId="11" applyFont="1" applyBorder="1" applyAlignment="1">
      <alignment horizontal="center" vertical="center" wrapText="1"/>
    </xf>
    <xf numFmtId="0" fontId="76" fillId="0" borderId="247" xfId="0" applyFont="1" applyBorder="1" applyAlignment="1">
      <alignment horizontal="left"/>
    </xf>
    <xf numFmtId="0" fontId="76" fillId="0" borderId="247" xfId="0" applyFont="1" applyBorder="1" applyAlignment="1">
      <alignment horizontal="left" wrapText="1"/>
    </xf>
    <xf numFmtId="0" fontId="32" fillId="0" borderId="247" xfId="2" applyFont="1" applyBorder="1" applyAlignment="1">
      <alignment horizontal="center" vertical="center"/>
    </xf>
    <xf numFmtId="1" fontId="32" fillId="0" borderId="247" xfId="2" applyNumberFormat="1" applyFont="1" applyBorder="1" applyAlignment="1">
      <alignment horizontal="center" vertical="center"/>
    </xf>
    <xf numFmtId="0" fontId="32" fillId="0" borderId="247" xfId="2" applyFont="1" applyFill="1" applyBorder="1" applyAlignment="1">
      <alignment horizontal="center" vertical="center"/>
    </xf>
    <xf numFmtId="0" fontId="32" fillId="0" borderId="247" xfId="2" applyFont="1" applyFill="1" applyBorder="1" applyAlignment="1">
      <alignment horizontal="center" vertical="center" wrapText="1"/>
    </xf>
    <xf numFmtId="1" fontId="32" fillId="0" borderId="247" xfId="2" applyNumberFormat="1" applyFont="1" applyFill="1" applyBorder="1" applyAlignment="1">
      <alignment horizontal="center" vertical="center"/>
    </xf>
    <xf numFmtId="1" fontId="0" fillId="0" borderId="0" xfId="0" applyNumberFormat="1"/>
    <xf numFmtId="0" fontId="0" fillId="0" borderId="0" xfId="0" applyAlignment="1">
      <alignment horizontal="left" indent="7"/>
    </xf>
    <xf numFmtId="0" fontId="0" fillId="0" borderId="0" xfId="0" applyAlignment="1">
      <alignment horizontal="left" vertical="center" wrapText="1"/>
    </xf>
    <xf numFmtId="0" fontId="32" fillId="0" borderId="247" xfId="23" applyFont="1" applyFill="1" applyBorder="1" applyAlignment="1"/>
    <xf numFmtId="0" fontId="32" fillId="0" borderId="248" xfId="23" applyFont="1" applyFill="1" applyBorder="1" applyAlignment="1"/>
    <xf numFmtId="166" fontId="75" fillId="0" borderId="0" xfId="0" applyNumberFormat="1" applyFont="1"/>
    <xf numFmtId="2" fontId="79" fillId="0" borderId="0" xfId="0" applyNumberFormat="1" applyFont="1"/>
    <xf numFmtId="0" fontId="32" fillId="0" borderId="0" xfId="0" applyFont="1" applyBorder="1"/>
    <xf numFmtId="0" fontId="32" fillId="0" borderId="0" xfId="0" applyFont="1"/>
    <xf numFmtId="0" fontId="32" fillId="0" borderId="0" xfId="0" applyFont="1" applyAlignment="1">
      <alignment vertical="center"/>
    </xf>
    <xf numFmtId="0" fontId="49" fillId="0" borderId="0" xfId="0" applyFont="1" applyAlignment="1">
      <alignment vertical="center"/>
    </xf>
    <xf numFmtId="0" fontId="32" fillId="0" borderId="0" xfId="0" applyFont="1" applyBorder="1" applyAlignment="1"/>
    <xf numFmtId="0" fontId="49" fillId="0" borderId="0" xfId="0" applyFont="1"/>
    <xf numFmtId="0" fontId="49" fillId="0" borderId="0" xfId="0" applyFont="1" applyBorder="1"/>
    <xf numFmtId="0" fontId="32" fillId="0" borderId="0" xfId="0" applyFont="1" applyBorder="1" applyAlignment="1">
      <alignment horizontal="right"/>
    </xf>
    <xf numFmtId="170" fontId="32" fillId="0" borderId="0" xfId="0" applyNumberFormat="1" applyFont="1" applyBorder="1"/>
    <xf numFmtId="9" fontId="32" fillId="0" borderId="0" xfId="0" applyNumberFormat="1" applyFont="1" applyBorder="1"/>
    <xf numFmtId="0" fontId="3" fillId="0" borderId="0" xfId="0" applyFont="1"/>
    <xf numFmtId="165" fontId="0" fillId="0" borderId="0" xfId="0" applyNumberFormat="1"/>
    <xf numFmtId="165" fontId="0" fillId="0" borderId="0" xfId="21" applyNumberFormat="1" applyFont="1"/>
    <xf numFmtId="169" fontId="1" fillId="0" borderId="0" xfId="0" applyNumberFormat="1" applyFont="1"/>
    <xf numFmtId="0" fontId="50" fillId="0" borderId="161" xfId="2" applyFont="1" applyFill="1" applyBorder="1" applyAlignment="1">
      <alignment horizontal="right"/>
    </xf>
    <xf numFmtId="0" fontId="50" fillId="12" borderId="177" xfId="2" applyFont="1" applyFill="1" applyBorder="1" applyAlignment="1">
      <alignment horizontal="center"/>
    </xf>
    <xf numFmtId="0" fontId="50" fillId="0" borderId="248" xfId="2" applyFont="1" applyFill="1" applyBorder="1" applyAlignment="1">
      <alignment horizontal="center"/>
    </xf>
    <xf numFmtId="0" fontId="50" fillId="0" borderId="250" xfId="2" applyFont="1" applyFill="1" applyBorder="1" applyAlignment="1">
      <alignment horizontal="center"/>
    </xf>
    <xf numFmtId="0" fontId="50" fillId="0" borderId="5" xfId="2" applyFont="1" applyFill="1" applyBorder="1" applyAlignment="1">
      <alignment horizontal="center"/>
    </xf>
    <xf numFmtId="0" fontId="50" fillId="0" borderId="174" xfId="2" applyFont="1" applyFill="1" applyBorder="1" applyAlignment="1">
      <alignment horizontal="center"/>
    </xf>
    <xf numFmtId="2" fontId="32" fillId="0" borderId="5" xfId="2" applyNumberFormat="1" applyFont="1" applyFill="1" applyBorder="1" applyAlignment="1">
      <alignment horizontal="center"/>
    </xf>
    <xf numFmtId="4" fontId="32" fillId="0" borderId="5" xfId="2" applyNumberFormat="1" applyFont="1" applyFill="1" applyBorder="1" applyAlignment="1">
      <alignment horizontal="center"/>
    </xf>
    <xf numFmtId="3" fontId="32" fillId="0" borderId="5" xfId="2" applyNumberFormat="1" applyFont="1" applyFill="1" applyBorder="1" applyAlignment="1">
      <alignment horizontal="center"/>
    </xf>
    <xf numFmtId="3" fontId="50" fillId="0" borderId="5" xfId="2" applyNumberFormat="1" applyFont="1" applyFill="1" applyBorder="1" applyAlignment="1">
      <alignment horizontal="center"/>
    </xf>
    <xf numFmtId="164" fontId="32" fillId="0" borderId="1" xfId="2" applyNumberFormat="1" applyFont="1" applyBorder="1" applyAlignment="1">
      <alignment horizontal="center"/>
    </xf>
    <xf numFmtId="165" fontId="32" fillId="0" borderId="1" xfId="2" applyNumberFormat="1" applyFont="1" applyBorder="1" applyAlignment="1">
      <alignment horizontal="center"/>
    </xf>
    <xf numFmtId="3" fontId="32" fillId="0" borderId="167" xfId="2" applyNumberFormat="1" applyFont="1" applyBorder="1" applyAlignment="1">
      <alignment horizontal="center"/>
    </xf>
    <xf numFmtId="4" fontId="32" fillId="0" borderId="176" xfId="2" applyNumberFormat="1" applyFont="1" applyBorder="1" applyAlignment="1">
      <alignment horizontal="center"/>
    </xf>
    <xf numFmtId="0" fontId="32" fillId="0" borderId="176" xfId="2" applyFont="1" applyBorder="1" applyAlignment="1">
      <alignment horizontal="center"/>
    </xf>
    <xf numFmtId="0" fontId="32" fillId="0" borderId="167" xfId="2" applyFont="1" applyBorder="1" applyAlignment="1">
      <alignment horizontal="center"/>
    </xf>
    <xf numFmtId="4" fontId="50" fillId="0" borderId="251" xfId="2" applyNumberFormat="1" applyFont="1" applyBorder="1" applyAlignment="1">
      <alignment horizontal="center"/>
    </xf>
    <xf numFmtId="0" fontId="50" fillId="0" borderId="251" xfId="2" applyFont="1" applyBorder="1" applyAlignment="1">
      <alignment horizontal="center"/>
    </xf>
    <xf numFmtId="0" fontId="32" fillId="0" borderId="142" xfId="2" applyFont="1" applyBorder="1" applyAlignment="1">
      <alignment horizontal="center"/>
    </xf>
    <xf numFmtId="0" fontId="32" fillId="0" borderId="252" xfId="2" applyFont="1" applyBorder="1" applyAlignment="1">
      <alignment horizontal="center"/>
    </xf>
    <xf numFmtId="0" fontId="32" fillId="4" borderId="0" xfId="6" applyFont="1" applyFill="1" applyAlignment="1">
      <alignment horizontal="left"/>
    </xf>
    <xf numFmtId="0" fontId="32" fillId="0" borderId="1" xfId="2" applyFont="1" applyFill="1" applyBorder="1" applyAlignment="1">
      <alignment horizontal="left" indent="1"/>
    </xf>
    <xf numFmtId="3" fontId="32" fillId="0" borderId="1" xfId="2" applyNumberFormat="1" applyFont="1" applyFill="1" applyBorder="1" applyAlignment="1">
      <alignment horizontal="center"/>
    </xf>
    <xf numFmtId="2" fontId="32" fillId="0" borderId="1" xfId="2" applyNumberFormat="1" applyFont="1" applyFill="1" applyBorder="1" applyAlignment="1">
      <alignment horizontal="center"/>
    </xf>
    <xf numFmtId="4" fontId="32" fillId="0" borderId="1" xfId="2" applyNumberFormat="1" applyFont="1" applyFill="1" applyBorder="1" applyAlignment="1">
      <alignment horizontal="center"/>
    </xf>
    <xf numFmtId="0" fontId="32" fillId="0" borderId="1" xfId="2" applyFont="1" applyBorder="1" applyAlignment="1">
      <alignment horizontal="left" indent="1"/>
    </xf>
    <xf numFmtId="0" fontId="60" fillId="0" borderId="1" xfId="2" applyFont="1" applyFill="1" applyBorder="1" applyAlignment="1">
      <alignment horizontal="right" indent="1"/>
    </xf>
    <xf numFmtId="2" fontId="32" fillId="0" borderId="176" xfId="2" applyNumberFormat="1" applyFont="1" applyBorder="1" applyAlignment="1">
      <alignment horizontal="center"/>
    </xf>
    <xf numFmtId="0" fontId="32" fillId="0" borderId="176" xfId="2" applyFont="1" applyBorder="1"/>
    <xf numFmtId="0" fontId="2" fillId="0" borderId="7" xfId="0" applyFont="1" applyFill="1" applyBorder="1" applyAlignment="1">
      <alignment horizontal="left" vertical="center" indent="1"/>
    </xf>
    <xf numFmtId="11" fontId="32" fillId="0" borderId="3" xfId="2" applyNumberFormat="1" applyFont="1" applyFill="1" applyBorder="1" applyAlignment="1">
      <alignment horizontal="right" vertical="center"/>
    </xf>
    <xf numFmtId="0" fontId="48" fillId="0" borderId="0" xfId="2" applyFont="1" applyAlignment="1">
      <alignment horizontal="center"/>
    </xf>
    <xf numFmtId="0" fontId="50" fillId="12" borderId="212" xfId="2" applyFont="1" applyFill="1" applyBorder="1" applyAlignment="1">
      <alignment horizontal="center" vertical="center"/>
    </xf>
    <xf numFmtId="0" fontId="50" fillId="12" borderId="185" xfId="2" applyFont="1" applyFill="1" applyBorder="1" applyAlignment="1">
      <alignment horizontal="center" vertical="center"/>
    </xf>
    <xf numFmtId="0" fontId="50" fillId="12" borderId="210" xfId="2" applyFont="1" applyFill="1" applyBorder="1" applyAlignment="1">
      <alignment horizontal="center"/>
    </xf>
    <xf numFmtId="0" fontId="50" fillId="12" borderId="191" xfId="2" applyFont="1" applyFill="1" applyBorder="1" applyAlignment="1">
      <alignment horizontal="center"/>
    </xf>
    <xf numFmtId="0" fontId="50" fillId="12" borderId="211" xfId="2" applyFont="1" applyFill="1" applyBorder="1" applyAlignment="1">
      <alignment horizontal="center"/>
    </xf>
    <xf numFmtId="0" fontId="32" fillId="0" borderId="0" xfId="2" applyFont="1" applyAlignment="1">
      <alignment horizontal="center" wrapText="1"/>
    </xf>
    <xf numFmtId="0" fontId="50" fillId="12" borderId="143" xfId="2" applyFont="1" applyFill="1" applyBorder="1" applyAlignment="1">
      <alignment horizontal="center" vertical="center"/>
    </xf>
    <xf numFmtId="0" fontId="50" fillId="12" borderId="164" xfId="2" applyFont="1" applyFill="1" applyBorder="1" applyAlignment="1">
      <alignment horizontal="center" vertical="center"/>
    </xf>
    <xf numFmtId="0" fontId="50" fillId="12" borderId="172" xfId="2" applyFont="1" applyFill="1" applyBorder="1" applyAlignment="1">
      <alignment horizontal="center"/>
    </xf>
    <xf numFmtId="0" fontId="50" fillId="12" borderId="206" xfId="2" applyFont="1" applyFill="1" applyBorder="1" applyAlignment="1">
      <alignment horizontal="center"/>
    </xf>
    <xf numFmtId="0" fontId="2" fillId="2" borderId="0" xfId="0" applyFont="1" applyFill="1" applyBorder="1" applyAlignment="1">
      <alignment horizontal="left" vertical="center" indent="1"/>
    </xf>
    <xf numFmtId="0" fontId="2" fillId="2" borderId="2" xfId="0" applyFont="1" applyFill="1" applyBorder="1" applyAlignment="1">
      <alignment horizontal="left" vertical="center" indent="1"/>
    </xf>
    <xf numFmtId="0" fontId="0" fillId="4" borderId="0" xfId="0" applyFill="1" applyAlignment="1">
      <alignment horizontal="center"/>
    </xf>
    <xf numFmtId="0" fontId="0" fillId="5" borderId="0" xfId="0" applyFill="1" applyAlignment="1">
      <alignment horizontal="center"/>
    </xf>
    <xf numFmtId="0" fontId="34" fillId="0" borderId="0" xfId="2" applyFont="1" applyAlignment="1">
      <alignment horizontal="left" wrapText="1"/>
    </xf>
    <xf numFmtId="0" fontId="13" fillId="0" borderId="81" xfId="2" applyFont="1" applyFill="1" applyBorder="1" applyAlignment="1">
      <alignment horizontal="center" vertical="center"/>
    </xf>
    <xf numFmtId="0" fontId="13" fillId="0" borderId="82" xfId="2" applyFont="1" applyFill="1" applyBorder="1" applyAlignment="1">
      <alignment horizontal="center" vertical="center"/>
    </xf>
    <xf numFmtId="0" fontId="18" fillId="10" borderId="84" xfId="2" applyFont="1" applyFill="1" applyBorder="1" applyAlignment="1">
      <alignment horizontal="center" vertical="center" wrapText="1"/>
    </xf>
    <xf numFmtId="0" fontId="18" fillId="10" borderId="86" xfId="2" applyFont="1" applyFill="1" applyBorder="1" applyAlignment="1">
      <alignment horizontal="center" vertical="center" wrapText="1"/>
    </xf>
    <xf numFmtId="0" fontId="18" fillId="10" borderId="46" xfId="2" applyFont="1" applyFill="1" applyBorder="1" applyAlignment="1">
      <alignment horizontal="center" vertical="center" wrapText="1"/>
    </xf>
    <xf numFmtId="0" fontId="18" fillId="10" borderId="65" xfId="2" applyFont="1" applyFill="1" applyBorder="1" applyAlignment="1">
      <alignment horizontal="center" vertical="center" wrapText="1"/>
    </xf>
    <xf numFmtId="49" fontId="18" fillId="10" borderId="46" xfId="2" applyNumberFormat="1" applyFont="1" applyFill="1" applyBorder="1" applyAlignment="1">
      <alignment horizontal="center" vertical="center" wrapText="1"/>
    </xf>
    <xf numFmtId="49" fontId="18" fillId="10" borderId="65" xfId="2" applyNumberFormat="1" applyFont="1" applyFill="1" applyBorder="1" applyAlignment="1">
      <alignment horizontal="center" vertical="center" wrapText="1"/>
    </xf>
    <xf numFmtId="0" fontId="18" fillId="10" borderId="46" xfId="2" applyFont="1" applyFill="1" applyBorder="1" applyAlignment="1">
      <alignment horizontal="center" vertical="center"/>
    </xf>
    <xf numFmtId="0" fontId="18" fillId="10" borderId="85" xfId="2" applyFont="1" applyFill="1" applyBorder="1" applyAlignment="1">
      <alignment horizontal="center" vertical="center"/>
    </xf>
    <xf numFmtId="49" fontId="18" fillId="10" borderId="86" xfId="2" applyNumberFormat="1" applyFont="1" applyFill="1" applyBorder="1" applyAlignment="1">
      <alignment horizontal="left" vertical="center"/>
    </xf>
    <xf numFmtId="49" fontId="18" fillId="10" borderId="65" xfId="2" applyNumberFormat="1" applyFont="1" applyFill="1" applyBorder="1" applyAlignment="1">
      <alignment horizontal="left" vertical="center"/>
    </xf>
    <xf numFmtId="49" fontId="18" fillId="0" borderId="90" xfId="2" applyNumberFormat="1" applyFont="1" applyFill="1" applyBorder="1" applyAlignment="1">
      <alignment horizontal="left" vertical="center"/>
    </xf>
    <xf numFmtId="49" fontId="18" fillId="0" borderId="91" xfId="2" applyNumberFormat="1" applyFont="1" applyFill="1" applyBorder="1" applyAlignment="1">
      <alignment horizontal="left" vertical="center"/>
    </xf>
    <xf numFmtId="2" fontId="18" fillId="0" borderId="90" xfId="2" applyNumberFormat="1" applyFont="1" applyFill="1" applyBorder="1" applyAlignment="1">
      <alignment horizontal="center" vertical="center" shrinkToFit="1"/>
    </xf>
    <xf numFmtId="2" fontId="18" fillId="0" borderId="91" xfId="2" applyNumberFormat="1" applyFont="1" applyFill="1" applyBorder="1" applyAlignment="1">
      <alignment horizontal="center" vertical="center" shrinkToFit="1"/>
    </xf>
    <xf numFmtId="49" fontId="18" fillId="0" borderId="93" xfId="2" applyNumberFormat="1" applyFont="1" applyFill="1" applyBorder="1" applyAlignment="1">
      <alignment horizontal="left" vertical="center"/>
    </xf>
    <xf numFmtId="49" fontId="18" fillId="0" borderId="94" xfId="2" applyNumberFormat="1" applyFont="1" applyFill="1" applyBorder="1" applyAlignment="1">
      <alignment horizontal="left" vertical="center"/>
    </xf>
    <xf numFmtId="166" fontId="18" fillId="0" borderId="96" xfId="2" applyNumberFormat="1" applyFont="1" applyFill="1" applyBorder="1" applyAlignment="1">
      <alignment horizontal="center" vertical="center" shrinkToFit="1"/>
    </xf>
    <xf numFmtId="166" fontId="18" fillId="0" borderId="0" xfId="2" applyNumberFormat="1" applyFont="1" applyFill="1" applyBorder="1" applyAlignment="1">
      <alignment horizontal="center" vertical="center" shrinkToFit="1"/>
    </xf>
    <xf numFmtId="0" fontId="8" fillId="6" borderId="67" xfId="2" applyFont="1" applyFill="1" applyBorder="1" applyAlignment="1">
      <alignment horizontal="center" vertical="center"/>
    </xf>
    <xf numFmtId="0" fontId="8" fillId="6" borderId="68" xfId="2" applyFont="1" applyFill="1" applyBorder="1" applyAlignment="1">
      <alignment horizontal="center" vertical="center"/>
    </xf>
    <xf numFmtId="0" fontId="8" fillId="6" borderId="69" xfId="2" applyFont="1" applyFill="1" applyBorder="1" applyAlignment="1">
      <alignment horizontal="center" vertical="center"/>
    </xf>
    <xf numFmtId="0" fontId="9" fillId="0" borderId="67" xfId="2" applyFont="1" applyFill="1" applyBorder="1" applyAlignment="1">
      <alignment horizontal="center" vertical="center"/>
    </xf>
    <xf numFmtId="0" fontId="9" fillId="0" borderId="68" xfId="2" applyFont="1" applyFill="1" applyBorder="1" applyAlignment="1">
      <alignment horizontal="center" vertical="center"/>
    </xf>
    <xf numFmtId="0" fontId="9" fillId="0" borderId="72" xfId="2" applyFont="1" applyFill="1" applyBorder="1" applyAlignment="1">
      <alignment horizontal="center" vertical="center"/>
    </xf>
    <xf numFmtId="0" fontId="12" fillId="8" borderId="75" xfId="2" applyFont="1" applyFill="1" applyBorder="1" applyAlignment="1">
      <alignment horizontal="center" vertical="center"/>
    </xf>
    <xf numFmtId="0" fontId="12" fillId="8" borderId="76" xfId="2" applyFont="1" applyFill="1" applyBorder="1" applyAlignment="1">
      <alignment horizontal="center" vertical="center"/>
    </xf>
    <xf numFmtId="0" fontId="12" fillId="8" borderId="78" xfId="2" applyFont="1" applyFill="1" applyBorder="1" applyAlignment="1">
      <alignment horizontal="center" vertical="center"/>
    </xf>
    <xf numFmtId="0" fontId="12" fillId="8" borderId="79" xfId="2" applyFont="1" applyFill="1" applyBorder="1" applyAlignment="1">
      <alignment horizontal="center" vertical="center"/>
    </xf>
    <xf numFmtId="3" fontId="12" fillId="8" borderId="76" xfId="2" applyNumberFormat="1" applyFont="1" applyFill="1" applyBorder="1" applyAlignment="1">
      <alignment horizontal="center"/>
    </xf>
    <xf numFmtId="3" fontId="12" fillId="8" borderId="77" xfId="2" applyNumberFormat="1" applyFont="1" applyFill="1" applyBorder="1" applyAlignment="1">
      <alignment horizontal="center"/>
    </xf>
    <xf numFmtId="0" fontId="19" fillId="0" borderId="238" xfId="2" applyFont="1" applyFill="1" applyBorder="1" applyAlignment="1">
      <alignment horizontal="left" vertical="center" wrapText="1"/>
    </xf>
    <xf numFmtId="0" fontId="19" fillId="0" borderId="239" xfId="2" applyFont="1" applyFill="1" applyBorder="1" applyAlignment="1">
      <alignment horizontal="left" vertical="center" wrapText="1"/>
    </xf>
    <xf numFmtId="0" fontId="19" fillId="0" borderId="240" xfId="2" applyFont="1" applyFill="1" applyBorder="1" applyAlignment="1">
      <alignment horizontal="left" vertical="center" wrapText="1"/>
    </xf>
    <xf numFmtId="0" fontId="18" fillId="11" borderId="29" xfId="2" applyFont="1" applyFill="1" applyBorder="1" applyAlignment="1">
      <alignment horizontal="center" vertical="center" wrapText="1"/>
    </xf>
    <xf numFmtId="0" fontId="18" fillId="11" borderId="34" xfId="2" applyFont="1" applyFill="1" applyBorder="1" applyAlignment="1">
      <alignment horizontal="center" vertical="center" wrapText="1"/>
    </xf>
    <xf numFmtId="0" fontId="10" fillId="11" borderId="39" xfId="2" applyFont="1" applyFill="1" applyBorder="1" applyAlignment="1">
      <alignment horizontal="center" vertical="center" wrapText="1"/>
    </xf>
    <xf numFmtId="0" fontId="18" fillId="11" borderId="30" xfId="2" applyFont="1" applyFill="1" applyBorder="1" applyAlignment="1">
      <alignment horizontal="center" vertical="center" wrapText="1"/>
    </xf>
    <xf numFmtId="0" fontId="18" fillId="11" borderId="35" xfId="2" applyFont="1" applyFill="1" applyBorder="1" applyAlignment="1">
      <alignment horizontal="center" vertical="center" wrapText="1"/>
    </xf>
    <xf numFmtId="0" fontId="10" fillId="11" borderId="40" xfId="2" applyFont="1" applyFill="1" applyBorder="1" applyAlignment="1">
      <alignment horizontal="center" vertical="center" wrapText="1"/>
    </xf>
    <xf numFmtId="0" fontId="18" fillId="11" borderId="31" xfId="2" applyFont="1" applyFill="1" applyBorder="1" applyAlignment="1">
      <alignment horizontal="center" vertical="center" wrapText="1"/>
    </xf>
    <xf numFmtId="0" fontId="18" fillId="11" borderId="36" xfId="2" applyFont="1" applyFill="1" applyBorder="1" applyAlignment="1">
      <alignment horizontal="center" vertical="center" wrapText="1"/>
    </xf>
    <xf numFmtId="0" fontId="10" fillId="11" borderId="41" xfId="2" applyFont="1" applyFill="1" applyBorder="1" applyAlignment="1">
      <alignment horizontal="center" vertical="center" wrapText="1"/>
    </xf>
    <xf numFmtId="0" fontId="18" fillId="11" borderId="41" xfId="2" applyFont="1" applyFill="1" applyBorder="1" applyAlignment="1">
      <alignment horizontal="center" vertical="center" wrapText="1"/>
    </xf>
    <xf numFmtId="0" fontId="8" fillId="7" borderId="8" xfId="2" applyFont="1" applyFill="1" applyBorder="1" applyAlignment="1">
      <alignment horizontal="left"/>
    </xf>
    <xf numFmtId="0" fontId="10" fillId="7" borderId="9" xfId="2" applyFont="1" applyFill="1" applyBorder="1" applyAlignment="1"/>
    <xf numFmtId="0" fontId="10" fillId="7" borderId="10" xfId="2" applyFont="1" applyFill="1" applyBorder="1" applyAlignment="1"/>
    <xf numFmtId="0" fontId="8" fillId="7" borderId="11" xfId="2" applyFont="1" applyFill="1" applyBorder="1" applyAlignment="1">
      <alignment horizontal="center"/>
    </xf>
    <xf numFmtId="0" fontId="10" fillId="7" borderId="12" xfId="2" applyFont="1" applyFill="1" applyBorder="1" applyAlignment="1"/>
    <xf numFmtId="0" fontId="9" fillId="0" borderId="13" xfId="2" applyFont="1" applyFill="1" applyBorder="1" applyAlignment="1">
      <alignment horizontal="left"/>
    </xf>
    <xf numFmtId="0" fontId="10" fillId="0" borderId="14" xfId="2" applyFont="1" applyBorder="1" applyAlignment="1"/>
    <xf numFmtId="0" fontId="10" fillId="0" borderId="15" xfId="2" applyFont="1" applyBorder="1" applyAlignment="1"/>
    <xf numFmtId="0" fontId="9" fillId="0" borderId="16" xfId="2" applyFont="1" applyBorder="1" applyAlignment="1">
      <alignment horizontal="center"/>
    </xf>
    <xf numFmtId="0" fontId="10" fillId="0" borderId="17" xfId="2" applyFont="1" applyBorder="1" applyAlignment="1"/>
    <xf numFmtId="0" fontId="9" fillId="0" borderId="0" xfId="2" applyFont="1" applyFill="1" applyAlignment="1">
      <alignment horizontal="left" vertical="center" wrapText="1"/>
    </xf>
    <xf numFmtId="0" fontId="18" fillId="11" borderId="32" xfId="2" applyFont="1" applyFill="1" applyBorder="1" applyAlignment="1">
      <alignment horizontal="center" vertical="center"/>
    </xf>
    <xf numFmtId="0" fontId="18" fillId="11" borderId="33" xfId="2" applyFont="1" applyFill="1" applyBorder="1" applyAlignment="1">
      <alignment horizontal="center" vertical="center"/>
    </xf>
    <xf numFmtId="0" fontId="18" fillId="11" borderId="37" xfId="2" applyFont="1" applyFill="1" applyBorder="1" applyAlignment="1">
      <alignment horizontal="center" vertical="center"/>
    </xf>
    <xf numFmtId="0" fontId="23" fillId="11" borderId="42" xfId="0" applyFont="1" applyFill="1" applyBorder="1" applyAlignment="1">
      <alignment horizontal="center" vertical="center"/>
    </xf>
    <xf numFmtId="0" fontId="18" fillId="11" borderId="42" xfId="2" applyFont="1" applyFill="1" applyBorder="1" applyAlignment="1">
      <alignment horizontal="center" vertical="center"/>
    </xf>
    <xf numFmtId="0" fontId="23" fillId="11" borderId="43" xfId="0" applyFont="1" applyFill="1" applyBorder="1" applyAlignment="1">
      <alignment horizontal="center" vertical="center"/>
    </xf>
    <xf numFmtId="0" fontId="21" fillId="11" borderId="38" xfId="2" applyFont="1" applyFill="1" applyBorder="1" applyAlignment="1">
      <alignment horizontal="center" vertical="center"/>
    </xf>
    <xf numFmtId="0" fontId="11" fillId="11" borderId="44" xfId="2" applyFont="1" applyFill="1" applyBorder="1" applyAlignment="1">
      <alignment horizontal="center" vertical="center"/>
    </xf>
    <xf numFmtId="0" fontId="9" fillId="0" borderId="98" xfId="2" applyFont="1" applyFill="1" applyBorder="1" applyAlignment="1">
      <alignment horizontal="left"/>
    </xf>
    <xf numFmtId="0" fontId="10" fillId="0" borderId="70" xfId="2" applyFont="1" applyBorder="1" applyAlignment="1"/>
    <xf numFmtId="0" fontId="10" fillId="0" borderId="99" xfId="2" applyFont="1" applyBorder="1" applyAlignment="1"/>
    <xf numFmtId="0" fontId="9" fillId="0" borderId="100" xfId="2" applyFont="1" applyBorder="1" applyAlignment="1">
      <alignment horizontal="center"/>
    </xf>
    <xf numFmtId="0" fontId="10" fillId="0" borderId="101" xfId="2" applyFont="1" applyBorder="1" applyAlignment="1"/>
    <xf numFmtId="0" fontId="9" fillId="0" borderId="102" xfId="2" applyFont="1" applyFill="1" applyBorder="1" applyAlignment="1">
      <alignment horizontal="left"/>
    </xf>
    <xf numFmtId="0" fontId="10" fillId="0" borderId="103" xfId="2" applyFont="1" applyBorder="1" applyAlignment="1"/>
    <xf numFmtId="0" fontId="10" fillId="0" borderId="104" xfId="2" applyFont="1" applyBorder="1" applyAlignment="1"/>
    <xf numFmtId="0" fontId="9" fillId="0" borderId="105" xfId="2" applyFont="1" applyBorder="1" applyAlignment="1">
      <alignment horizontal="center"/>
    </xf>
    <xf numFmtId="0" fontId="10" fillId="0" borderId="106" xfId="2" applyFont="1" applyBorder="1" applyAlignment="1"/>
    <xf numFmtId="0" fontId="10" fillId="0" borderId="0" xfId="2" applyFont="1" applyFill="1" applyAlignment="1">
      <alignment horizontal="center" wrapText="1"/>
    </xf>
    <xf numFmtId="0" fontId="10" fillId="0" borderId="125" xfId="2" applyFont="1" applyFill="1" applyBorder="1" applyAlignment="1">
      <alignment horizontal="center" wrapText="1"/>
    </xf>
    <xf numFmtId="0" fontId="13" fillId="0" borderId="108" xfId="2" applyFont="1" applyFill="1" applyBorder="1" applyAlignment="1">
      <alignment horizontal="left" vertical="center"/>
    </xf>
    <xf numFmtId="0" fontId="13" fillId="0" borderId="109" xfId="2" applyFont="1" applyFill="1" applyBorder="1" applyAlignment="1">
      <alignment horizontal="left" vertical="center"/>
    </xf>
    <xf numFmtId="0" fontId="13" fillId="0" borderId="115" xfId="2" applyFont="1" applyFill="1" applyBorder="1" applyAlignment="1">
      <alignment horizontal="left" vertical="center"/>
    </xf>
    <xf numFmtId="0" fontId="13" fillId="0" borderId="116" xfId="2" applyFont="1" applyFill="1" applyBorder="1" applyAlignment="1">
      <alignment horizontal="left" vertical="center"/>
    </xf>
    <xf numFmtId="0" fontId="13" fillId="0" borderId="117" xfId="2" applyFont="1" applyFill="1" applyBorder="1" applyAlignment="1">
      <alignment horizontal="left" vertical="center"/>
    </xf>
    <xf numFmtId="0" fontId="21" fillId="11" borderId="139" xfId="0" applyFont="1" applyFill="1" applyBorder="1" applyAlignment="1">
      <alignment horizontal="left" vertical="center"/>
    </xf>
    <xf numFmtId="0" fontId="21" fillId="11" borderId="140" xfId="0" applyFont="1" applyFill="1" applyBorder="1" applyAlignment="1">
      <alignment horizontal="left" vertical="center"/>
    </xf>
    <xf numFmtId="0" fontId="8" fillId="6" borderId="67" xfId="4" applyFont="1" applyFill="1" applyBorder="1" applyAlignment="1">
      <alignment horizontal="center" vertical="center"/>
    </xf>
    <xf numFmtId="0" fontId="8" fillId="6" borderId="68" xfId="4" applyFont="1" applyFill="1" applyBorder="1" applyAlignment="1">
      <alignment horizontal="center" vertical="center"/>
    </xf>
    <xf numFmtId="0" fontId="8" fillId="6" borderId="72" xfId="4" applyFont="1" applyFill="1" applyBorder="1" applyAlignment="1">
      <alignment horizontal="center" vertical="center"/>
    </xf>
    <xf numFmtId="0" fontId="11" fillId="9" borderId="128" xfId="4" applyFont="1" applyFill="1" applyBorder="1" applyAlignment="1">
      <alignment horizontal="center" vertical="center"/>
    </xf>
    <xf numFmtId="0" fontId="11" fillId="9" borderId="129" xfId="4" applyFont="1" applyFill="1" applyBorder="1" applyAlignment="1">
      <alignment horizontal="center" vertical="center"/>
    </xf>
    <xf numFmtId="0" fontId="11" fillId="9" borderId="130" xfId="4" applyFont="1" applyFill="1" applyBorder="1" applyAlignment="1">
      <alignment horizontal="center" vertical="center"/>
    </xf>
    <xf numFmtId="0" fontId="29" fillId="0" borderId="133" xfId="0" applyFont="1" applyBorder="1" applyAlignment="1">
      <alignment horizontal="left" vertical="center"/>
    </xf>
    <xf numFmtId="0" fontId="29" fillId="0" borderId="134" xfId="0" applyFont="1" applyBorder="1" applyAlignment="1">
      <alignment horizontal="left" vertical="center"/>
    </xf>
    <xf numFmtId="0" fontId="21" fillId="11" borderId="136" xfId="0" applyFont="1" applyFill="1" applyBorder="1" applyAlignment="1">
      <alignment horizontal="center" vertical="center"/>
    </xf>
    <xf numFmtId="0" fontId="21" fillId="11" borderId="32" xfId="0" applyFont="1" applyFill="1" applyBorder="1" applyAlignment="1">
      <alignment horizontal="center" vertical="center"/>
    </xf>
    <xf numFmtId="0" fontId="24" fillId="0" borderId="137" xfId="0" applyFont="1" applyBorder="1" applyAlignment="1">
      <alignment horizontal="left" vertical="center"/>
    </xf>
    <xf numFmtId="0" fontId="24" fillId="0" borderId="43" xfId="0" applyFont="1" applyBorder="1" applyAlignment="1">
      <alignment horizontal="left" vertical="center"/>
    </xf>
    <xf numFmtId="0" fontId="21" fillId="11" borderId="136" xfId="0" applyFont="1" applyFill="1" applyBorder="1" applyAlignment="1">
      <alignment horizontal="left" vertical="center"/>
    </xf>
    <xf numFmtId="0" fontId="21" fillId="11" borderId="32" xfId="0" applyFont="1" applyFill="1" applyBorder="1" applyAlignment="1">
      <alignment horizontal="left" vertical="center"/>
    </xf>
    <xf numFmtId="0" fontId="44" fillId="0" borderId="0" xfId="6" applyFont="1" applyAlignment="1">
      <alignment horizontal="center"/>
    </xf>
    <xf numFmtId="0" fontId="44" fillId="0" borderId="1" xfId="6" applyFont="1" applyBorder="1" applyAlignment="1">
      <alignment horizontal="center"/>
    </xf>
    <xf numFmtId="0" fontId="44" fillId="0" borderId="1" xfId="6" applyFont="1" applyBorder="1" applyAlignment="1"/>
    <xf numFmtId="0" fontId="45" fillId="0" borderId="0" xfId="6" applyFont="1" applyAlignment="1"/>
    <xf numFmtId="0" fontId="32" fillId="0" borderId="0" xfId="0" applyFont="1" applyFill="1" applyBorder="1" applyAlignment="1">
      <alignment horizontal="left" vertical="center" wrapText="1"/>
    </xf>
    <xf numFmtId="0" fontId="32" fillId="0" borderId="0" xfId="0" applyFont="1" applyBorder="1" applyAlignment="1">
      <alignment horizontal="center" wrapText="1"/>
    </xf>
    <xf numFmtId="0" fontId="32" fillId="0" borderId="3" xfId="2" applyFont="1" applyFill="1" applyBorder="1" applyAlignment="1">
      <alignment horizontal="center" vertical="center"/>
    </xf>
    <xf numFmtId="0" fontId="32" fillId="0" borderId="4" xfId="2" applyFont="1" applyFill="1" applyBorder="1" applyAlignment="1">
      <alignment horizontal="center" vertical="center"/>
    </xf>
    <xf numFmtId="0" fontId="50" fillId="12" borderId="143" xfId="2" applyFont="1" applyFill="1" applyBorder="1" applyAlignment="1">
      <alignment horizontal="center"/>
    </xf>
    <xf numFmtId="0" fontId="50" fillId="12" borderId="144" xfId="2" applyFont="1" applyFill="1" applyBorder="1" applyAlignment="1">
      <alignment horizontal="center"/>
    </xf>
    <xf numFmtId="0" fontId="50" fillId="12" borderId="146" xfId="2" applyFont="1" applyFill="1" applyBorder="1" applyAlignment="1">
      <alignment horizontal="center" wrapText="1"/>
    </xf>
    <xf numFmtId="0" fontId="50" fillId="12" borderId="145" xfId="2" applyFont="1" applyFill="1" applyBorder="1" applyAlignment="1">
      <alignment horizontal="center" wrapText="1"/>
    </xf>
    <xf numFmtId="0" fontId="50" fillId="12" borderId="150" xfId="2" applyFont="1" applyFill="1" applyBorder="1" applyAlignment="1">
      <alignment horizontal="center" wrapText="1"/>
    </xf>
    <xf numFmtId="0" fontId="50" fillId="12" borderId="5" xfId="2" applyFont="1" applyFill="1" applyBorder="1" applyAlignment="1">
      <alignment horizontal="center" wrapText="1"/>
    </xf>
    <xf numFmtId="0" fontId="50" fillId="12" borderId="146" xfId="2" applyFont="1" applyFill="1" applyBorder="1" applyAlignment="1">
      <alignment horizontal="center" vertical="center"/>
    </xf>
    <xf numFmtId="0" fontId="50" fillId="12" borderId="147" xfId="2" applyFont="1" applyFill="1" applyBorder="1" applyAlignment="1">
      <alignment horizontal="center" vertical="center"/>
    </xf>
    <xf numFmtId="0" fontId="50" fillId="12" borderId="150" xfId="2" applyFont="1" applyFill="1" applyBorder="1" applyAlignment="1">
      <alignment horizontal="center" vertical="center"/>
    </xf>
    <xf numFmtId="0" fontId="50" fillId="12" borderId="151" xfId="2" applyFont="1" applyFill="1" applyBorder="1" applyAlignment="1">
      <alignment horizontal="center" vertical="center"/>
    </xf>
    <xf numFmtId="0" fontId="50" fillId="12" borderId="144" xfId="2" applyFont="1" applyFill="1" applyBorder="1" applyAlignment="1">
      <alignment horizontal="center" wrapText="1"/>
    </xf>
    <xf numFmtId="0" fontId="50" fillId="12" borderId="148" xfId="2" applyFont="1" applyFill="1" applyBorder="1" applyAlignment="1">
      <alignment horizontal="center" wrapText="1"/>
    </xf>
    <xf numFmtId="0" fontId="50" fillId="12" borderId="141" xfId="2" applyFont="1" applyFill="1" applyBorder="1" applyAlignment="1">
      <alignment horizontal="center" wrapText="1"/>
    </xf>
    <xf numFmtId="0" fontId="50" fillId="12" borderId="152" xfId="2" applyFont="1" applyFill="1" applyBorder="1" applyAlignment="1">
      <alignment horizontal="center" wrapText="1"/>
    </xf>
    <xf numFmtId="0" fontId="50" fillId="13" borderId="153" xfId="2" applyFont="1" applyFill="1" applyBorder="1" applyAlignment="1">
      <alignment horizontal="center"/>
    </xf>
    <xf numFmtId="0" fontId="50" fillId="13" borderId="154" xfId="2" applyFont="1" applyFill="1" applyBorder="1" applyAlignment="1">
      <alignment horizontal="center"/>
    </xf>
    <xf numFmtId="0" fontId="50" fillId="13" borderId="155" xfId="2" applyFont="1" applyFill="1" applyBorder="1" applyAlignment="1">
      <alignment horizontal="center"/>
    </xf>
    <xf numFmtId="169" fontId="51" fillId="0" borderId="232" xfId="8" applyNumberFormat="1" applyFont="1" applyBorder="1" applyAlignment="1">
      <alignment horizontal="center" vertical="center" wrapText="1"/>
    </xf>
    <xf numFmtId="169" fontId="51" fillId="0" borderId="7" xfId="8" applyNumberFormat="1" applyFont="1" applyBorder="1" applyAlignment="1">
      <alignment horizontal="center" vertical="center" wrapText="1"/>
    </xf>
    <xf numFmtId="169" fontId="51" fillId="0" borderId="150" xfId="8" applyNumberFormat="1" applyFont="1" applyBorder="1" applyAlignment="1">
      <alignment horizontal="center" vertical="center" wrapText="1"/>
    </xf>
    <xf numFmtId="0" fontId="51" fillId="0" borderId="233" xfId="7" applyFont="1" applyBorder="1" applyAlignment="1">
      <alignment horizontal="center" vertical="center" wrapText="1"/>
    </xf>
    <xf numFmtId="0" fontId="51" fillId="0" borderId="197" xfId="7" applyFont="1" applyBorder="1" applyAlignment="1">
      <alignment horizontal="center" vertical="center" wrapText="1"/>
    </xf>
    <xf numFmtId="0" fontId="51" fillId="0" borderId="152" xfId="7" applyFont="1" applyBorder="1" applyAlignment="1">
      <alignment horizontal="center" vertical="center" wrapText="1"/>
    </xf>
    <xf numFmtId="0" fontId="32" fillId="0" borderId="169" xfId="2" applyFont="1" applyFill="1" applyBorder="1" applyAlignment="1">
      <alignment horizontal="center"/>
    </xf>
    <xf numFmtId="0" fontId="32" fillId="0" borderId="170" xfId="2" applyFont="1" applyFill="1" applyBorder="1" applyAlignment="1">
      <alignment horizontal="center"/>
    </xf>
    <xf numFmtId="0" fontId="32" fillId="0" borderId="1" xfId="2" applyFont="1" applyFill="1" applyBorder="1" applyAlignment="1">
      <alignment horizontal="center"/>
    </xf>
    <xf numFmtId="0" fontId="32" fillId="0" borderId="150" xfId="2" applyFont="1" applyFill="1" applyBorder="1" applyAlignment="1">
      <alignment horizontal="center"/>
    </xf>
    <xf numFmtId="0" fontId="32" fillId="0" borderId="151" xfId="2" applyFont="1" applyFill="1" applyBorder="1" applyAlignment="1">
      <alignment horizontal="center"/>
    </xf>
    <xf numFmtId="0" fontId="50" fillId="13" borderId="164" xfId="2" applyFont="1" applyFill="1" applyBorder="1" applyAlignment="1">
      <alignment horizontal="center"/>
    </xf>
    <xf numFmtId="0" fontId="50" fillId="13" borderId="165" xfId="2" applyFont="1" applyFill="1" applyBorder="1" applyAlignment="1">
      <alignment horizontal="center"/>
    </xf>
    <xf numFmtId="0" fontId="50" fillId="13" borderId="166" xfId="2" applyFont="1" applyFill="1" applyBorder="1" applyAlignment="1">
      <alignment horizontal="center"/>
    </xf>
    <xf numFmtId="0" fontId="32" fillId="0" borderId="5" xfId="2" applyFont="1" applyFill="1" applyBorder="1" applyAlignment="1">
      <alignment horizontal="center"/>
    </xf>
    <xf numFmtId="0" fontId="32" fillId="0" borderId="3" xfId="2" applyFont="1" applyFill="1" applyBorder="1" applyAlignment="1">
      <alignment horizontal="center"/>
    </xf>
    <xf numFmtId="0" fontId="32" fillId="0" borderId="4" xfId="2" applyFont="1" applyFill="1" applyBorder="1" applyAlignment="1">
      <alignment horizontal="center"/>
    </xf>
    <xf numFmtId="0" fontId="32" fillId="0" borderId="167" xfId="2" applyFont="1" applyFill="1" applyBorder="1" applyAlignment="1">
      <alignment horizontal="center"/>
    </xf>
    <xf numFmtId="0" fontId="32" fillId="0" borderId="0" xfId="0" applyFont="1" applyBorder="1" applyAlignment="1">
      <alignment horizontal="left" wrapText="1"/>
    </xf>
    <xf numFmtId="0" fontId="32" fillId="0" borderId="0" xfId="0" applyFont="1" applyBorder="1" applyAlignment="1">
      <alignment horizontal="left"/>
    </xf>
    <xf numFmtId="0" fontId="32" fillId="0" borderId="0" xfId="0" applyFont="1" applyBorder="1" applyAlignment="1">
      <alignment horizontal="left" vertical="center" wrapText="1"/>
    </xf>
    <xf numFmtId="0" fontId="50" fillId="0" borderId="0" xfId="23" applyFont="1" applyAlignment="1">
      <alignment horizontal="center"/>
    </xf>
    <xf numFmtId="0" fontId="50" fillId="16" borderId="171" xfId="23" applyFont="1" applyFill="1" applyBorder="1" applyAlignment="1">
      <alignment horizontal="center"/>
    </xf>
    <xf numFmtId="0" fontId="50" fillId="16" borderId="172" xfId="23" applyFont="1" applyFill="1" applyBorder="1" applyAlignment="1">
      <alignment horizontal="center"/>
    </xf>
    <xf numFmtId="15" fontId="50" fillId="16" borderId="145" xfId="14" applyFont="1" applyFill="1" applyBorder="1" applyAlignment="1">
      <alignment horizontal="center"/>
    </xf>
    <xf numFmtId="164" fontId="50" fillId="16" borderId="145" xfId="14" applyNumberFormat="1" applyFont="1" applyFill="1" applyBorder="1" applyAlignment="1">
      <alignment horizontal="center"/>
    </xf>
    <xf numFmtId="2" fontId="50" fillId="16" borderId="145" xfId="14" applyNumberFormat="1" applyFont="1" applyFill="1" applyBorder="1" applyAlignment="1">
      <alignment horizontal="center"/>
    </xf>
    <xf numFmtId="2" fontId="50" fillId="16" borderId="173" xfId="14" applyNumberFormat="1" applyFont="1" applyFill="1" applyBorder="1" applyAlignment="1">
      <alignment horizontal="center"/>
    </xf>
    <xf numFmtId="0" fontId="50" fillId="13" borderId="185" xfId="23" applyFont="1" applyFill="1" applyBorder="1" applyAlignment="1">
      <alignment horizontal="center"/>
    </xf>
    <xf numFmtId="0" fontId="32" fillId="13" borderId="186" xfId="23" applyFont="1" applyFill="1" applyBorder="1" applyAlignment="1">
      <alignment horizontal="center"/>
    </xf>
    <xf numFmtId="0" fontId="32" fillId="13" borderId="187" xfId="23" applyFont="1" applyFill="1" applyBorder="1" applyAlignment="1">
      <alignment horizontal="center"/>
    </xf>
    <xf numFmtId="0" fontId="50" fillId="16" borderId="5" xfId="23" applyFont="1" applyFill="1" applyBorder="1" applyAlignment="1">
      <alignment horizontal="center"/>
    </xf>
    <xf numFmtId="164" fontId="50" fillId="16" borderId="5" xfId="14" applyNumberFormat="1" applyFont="1" applyFill="1" applyBorder="1" applyAlignment="1">
      <alignment horizontal="center"/>
    </xf>
    <xf numFmtId="2" fontId="50" fillId="16" borderId="5" xfId="14" applyNumberFormat="1" applyFont="1" applyFill="1" applyBorder="1" applyAlignment="1">
      <alignment horizontal="center"/>
    </xf>
    <xf numFmtId="2" fontId="50" fillId="16" borderId="174" xfId="14" applyNumberFormat="1" applyFont="1" applyFill="1" applyBorder="1" applyAlignment="1">
      <alignment horizontal="center"/>
    </xf>
    <xf numFmtId="0" fontId="50" fillId="13" borderId="175" xfId="23" applyFont="1" applyFill="1" applyBorder="1" applyAlignment="1">
      <alignment horizontal="center"/>
    </xf>
    <xf numFmtId="0" fontId="50" fillId="13" borderId="176" xfId="23" applyFont="1" applyFill="1" applyBorder="1" applyAlignment="1">
      <alignment horizontal="center"/>
    </xf>
    <xf numFmtId="0" fontId="50" fillId="13" borderId="177" xfId="23" applyFont="1" applyFill="1" applyBorder="1" applyAlignment="1">
      <alignment horizontal="center"/>
    </xf>
    <xf numFmtId="3" fontId="32" fillId="0" borderId="179" xfId="23" applyNumberFormat="1" applyFont="1" applyFill="1" applyBorder="1" applyAlignment="1">
      <alignment horizontal="right" vertical="center"/>
    </xf>
    <xf numFmtId="3" fontId="32" fillId="0" borderId="3" xfId="23" applyNumberFormat="1" applyFont="1" applyFill="1" applyBorder="1" applyAlignment="1">
      <alignment horizontal="right" vertical="center"/>
    </xf>
    <xf numFmtId="3" fontId="32" fillId="0" borderId="178" xfId="23" applyNumberFormat="1" applyFont="1" applyBorder="1" applyAlignment="1">
      <alignment horizontal="left" vertical="center"/>
    </xf>
    <xf numFmtId="3" fontId="32" fillId="0" borderId="4" xfId="23" applyNumberFormat="1" applyFont="1" applyBorder="1" applyAlignment="1">
      <alignment horizontal="left" vertical="center"/>
    </xf>
    <xf numFmtId="3" fontId="32" fillId="0" borderId="180" xfId="23" applyNumberFormat="1" applyFont="1" applyBorder="1" applyAlignment="1">
      <alignment horizontal="left" vertical="center"/>
    </xf>
    <xf numFmtId="3" fontId="32" fillId="0" borderId="158" xfId="23" applyNumberFormat="1" applyFont="1" applyBorder="1" applyAlignment="1">
      <alignment horizontal="left" vertical="center"/>
    </xf>
    <xf numFmtId="0" fontId="32" fillId="0" borderId="3" xfId="23" applyFont="1" applyBorder="1" applyAlignment="1">
      <alignment horizontal="center"/>
    </xf>
    <xf numFmtId="0" fontId="32" fillId="0" borderId="4" xfId="23" applyFont="1" applyBorder="1" applyAlignment="1">
      <alignment horizontal="center"/>
    </xf>
    <xf numFmtId="3" fontId="32" fillId="0" borderId="3" xfId="23" applyNumberFormat="1" applyFont="1" applyBorder="1" applyAlignment="1">
      <alignment horizontal="center"/>
    </xf>
    <xf numFmtId="3" fontId="32" fillId="0" borderId="4" xfId="23" applyNumberFormat="1" applyFont="1" applyBorder="1" applyAlignment="1">
      <alignment horizontal="center"/>
    </xf>
    <xf numFmtId="0" fontId="50" fillId="0" borderId="168" xfId="23" applyFont="1" applyBorder="1" applyAlignment="1">
      <alignment horizontal="right"/>
    </xf>
    <xf numFmtId="0" fontId="50" fillId="0" borderId="169" xfId="23" applyFont="1" applyBorder="1" applyAlignment="1">
      <alignment horizontal="right"/>
    </xf>
    <xf numFmtId="0" fontId="32" fillId="0" borderId="5" xfId="23" applyFont="1" applyBorder="1" applyAlignment="1">
      <alignment horizontal="center"/>
    </xf>
    <xf numFmtId="0" fontId="32" fillId="0" borderId="1" xfId="23" applyFont="1" applyBorder="1" applyAlignment="1">
      <alignment horizontal="center"/>
    </xf>
    <xf numFmtId="3" fontId="32" fillId="0" borderId="1" xfId="23" applyNumberFormat="1" applyFont="1" applyBorder="1" applyAlignment="1">
      <alignment horizontal="center"/>
    </xf>
    <xf numFmtId="0" fontId="50" fillId="0" borderId="156" xfId="23" applyFont="1" applyBorder="1" applyAlignment="1">
      <alignment horizontal="right"/>
    </xf>
    <xf numFmtId="0" fontId="50" fillId="0" borderId="1" xfId="23" applyFont="1" applyBorder="1" applyAlignment="1">
      <alignment horizontal="right"/>
    </xf>
    <xf numFmtId="0" fontId="32" fillId="0" borderId="156" xfId="23" applyFont="1" applyBorder="1" applyAlignment="1">
      <alignment horizontal="center"/>
    </xf>
    <xf numFmtId="0" fontId="32" fillId="0" borderId="167" xfId="23" applyFont="1" applyBorder="1" applyAlignment="1">
      <alignment horizontal="center"/>
    </xf>
    <xf numFmtId="0" fontId="50" fillId="0" borderId="0" xfId="2" applyFont="1" applyAlignment="1">
      <alignment horizontal="center"/>
    </xf>
    <xf numFmtId="0" fontId="50" fillId="12" borderId="171" xfId="2" applyFont="1" applyFill="1" applyBorder="1" applyAlignment="1">
      <alignment horizontal="center"/>
    </xf>
    <xf numFmtId="15" fontId="50" fillId="12" borderId="145" xfId="14" applyFont="1" applyFill="1" applyBorder="1" applyAlignment="1">
      <alignment horizontal="center"/>
    </xf>
    <xf numFmtId="164" fontId="50" fillId="12" borderId="146" xfId="14" applyNumberFormat="1" applyFont="1" applyFill="1" applyBorder="1" applyAlignment="1">
      <alignment horizontal="center"/>
    </xf>
    <xf numFmtId="164" fontId="50" fillId="12" borderId="147" xfId="14" applyNumberFormat="1" applyFont="1" applyFill="1" applyBorder="1" applyAlignment="1">
      <alignment horizontal="center"/>
    </xf>
    <xf numFmtId="2" fontId="50" fillId="12" borderId="145" xfId="14" applyNumberFormat="1" applyFont="1" applyFill="1" applyBorder="1" applyAlignment="1">
      <alignment horizontal="center"/>
    </xf>
    <xf numFmtId="2" fontId="50" fillId="12" borderId="173" xfId="14" applyNumberFormat="1" applyFont="1" applyFill="1" applyBorder="1" applyAlignment="1">
      <alignment horizontal="center"/>
    </xf>
    <xf numFmtId="2" fontId="50" fillId="12" borderId="5" xfId="14" applyNumberFormat="1" applyFont="1" applyFill="1" applyBorder="1" applyAlignment="1">
      <alignment horizontal="center"/>
    </xf>
    <xf numFmtId="2" fontId="50" fillId="12" borderId="174" xfId="14" applyNumberFormat="1" applyFont="1" applyFill="1" applyBorder="1" applyAlignment="1">
      <alignment horizontal="center"/>
    </xf>
    <xf numFmtId="0" fontId="50" fillId="13" borderId="175" xfId="2" applyFont="1" applyFill="1" applyBorder="1" applyAlignment="1">
      <alignment horizontal="center"/>
    </xf>
    <xf numFmtId="0" fontId="50" fillId="13" borderId="176" xfId="2" applyFont="1" applyFill="1" applyBorder="1" applyAlignment="1">
      <alignment horizontal="center"/>
    </xf>
    <xf numFmtId="0" fontId="50" fillId="13" borderId="177" xfId="2" applyFont="1" applyFill="1" applyBorder="1" applyAlignment="1">
      <alignment horizontal="center"/>
    </xf>
    <xf numFmtId="0" fontId="32" fillId="0" borderId="5" xfId="13" applyFont="1" applyBorder="1" applyAlignment="1">
      <alignment horizontal="center"/>
    </xf>
    <xf numFmtId="3" fontId="32" fillId="0" borderId="233" xfId="2" applyNumberFormat="1" applyFont="1" applyBorder="1" applyAlignment="1">
      <alignment horizontal="center" vertical="center"/>
    </xf>
    <xf numFmtId="3" fontId="32" fillId="0" borderId="197" xfId="2" applyNumberFormat="1" applyFont="1" applyBorder="1" applyAlignment="1">
      <alignment horizontal="center" vertical="center"/>
    </xf>
    <xf numFmtId="3" fontId="32" fillId="0" borderId="152" xfId="2" applyNumberFormat="1" applyFont="1" applyBorder="1" applyAlignment="1">
      <alignment horizontal="center" vertical="center"/>
    </xf>
    <xf numFmtId="0" fontId="50" fillId="13" borderId="185" xfId="2" applyFont="1" applyFill="1" applyBorder="1" applyAlignment="1">
      <alignment horizontal="center"/>
    </xf>
    <xf numFmtId="0" fontId="32" fillId="13" borderId="186" xfId="2" applyFont="1" applyFill="1" applyBorder="1" applyAlignment="1">
      <alignment horizontal="center"/>
    </xf>
    <xf numFmtId="0" fontId="32" fillId="13" borderId="187" xfId="2" applyFont="1" applyFill="1" applyBorder="1" applyAlignment="1">
      <alignment horizontal="center"/>
    </xf>
    <xf numFmtId="3" fontId="32" fillId="0" borderId="3" xfId="13" applyNumberFormat="1" applyFont="1" applyBorder="1" applyAlignment="1">
      <alignment horizontal="center"/>
    </xf>
    <xf numFmtId="3" fontId="32" fillId="0" borderId="4" xfId="13" applyNumberFormat="1" applyFont="1" applyBorder="1" applyAlignment="1">
      <alignment horizontal="center"/>
    </xf>
    <xf numFmtId="0" fontId="50" fillId="0" borderId="161" xfId="2" applyFont="1" applyBorder="1" applyAlignment="1">
      <alignment horizontal="right"/>
    </xf>
    <xf numFmtId="0" fontId="50" fillId="0" borderId="162" xfId="2" applyFont="1" applyBorder="1" applyAlignment="1">
      <alignment horizontal="right"/>
    </xf>
    <xf numFmtId="0" fontId="50" fillId="0" borderId="183" xfId="2" applyFont="1" applyBorder="1" applyAlignment="1">
      <alignment horizontal="right"/>
    </xf>
    <xf numFmtId="3" fontId="51" fillId="0" borderId="232" xfId="7" applyNumberFormat="1" applyFont="1" applyFill="1" applyBorder="1" applyAlignment="1">
      <alignment horizontal="center" vertical="center"/>
    </xf>
    <xf numFmtId="3" fontId="51" fillId="0" borderId="7" xfId="7" applyNumberFormat="1" applyFont="1" applyFill="1" applyBorder="1" applyAlignment="1">
      <alignment horizontal="center" vertical="center"/>
    </xf>
    <xf numFmtId="3" fontId="51" fillId="0" borderId="150" xfId="7" applyNumberFormat="1" applyFont="1" applyFill="1" applyBorder="1" applyAlignment="1">
      <alignment horizontal="center" vertical="center"/>
    </xf>
    <xf numFmtId="3" fontId="32" fillId="0" borderId="234" xfId="2" applyNumberFormat="1" applyFont="1" applyBorder="1" applyAlignment="1">
      <alignment horizontal="center" vertical="center"/>
    </xf>
    <xf numFmtId="3" fontId="32" fillId="0" borderId="2" xfId="2" applyNumberFormat="1" applyFont="1" applyBorder="1" applyAlignment="1">
      <alignment horizontal="center" vertical="center"/>
    </xf>
    <xf numFmtId="3" fontId="32" fillId="0" borderId="151" xfId="2" applyNumberFormat="1" applyFont="1" applyBorder="1" applyAlignment="1">
      <alignment horizontal="center" vertical="center"/>
    </xf>
    <xf numFmtId="164" fontId="32" fillId="0" borderId="232" xfId="2" applyNumberFormat="1" applyFont="1" applyFill="1" applyBorder="1" applyAlignment="1">
      <alignment horizontal="center" vertical="center"/>
    </xf>
    <xf numFmtId="164" fontId="32" fillId="0" borderId="7" xfId="2" applyNumberFormat="1" applyFont="1" applyFill="1" applyBorder="1" applyAlignment="1">
      <alignment horizontal="center" vertical="center"/>
    </xf>
    <xf numFmtId="164" fontId="32" fillId="0" borderId="150" xfId="2" applyNumberFormat="1" applyFont="1" applyFill="1" applyBorder="1" applyAlignment="1">
      <alignment horizontal="center" vertical="center"/>
    </xf>
    <xf numFmtId="0" fontId="50" fillId="12" borderId="5" xfId="2" applyFont="1" applyFill="1" applyBorder="1" applyAlignment="1">
      <alignment horizontal="center"/>
    </xf>
    <xf numFmtId="164" fontId="50" fillId="12" borderId="150" xfId="14" applyNumberFormat="1" applyFont="1" applyFill="1" applyBorder="1" applyAlignment="1">
      <alignment horizontal="center"/>
    </xf>
    <xf numFmtId="164" fontId="50" fillId="12" borderId="151" xfId="14" applyNumberFormat="1" applyFont="1" applyFill="1" applyBorder="1" applyAlignment="1">
      <alignment horizontal="center"/>
    </xf>
    <xf numFmtId="0" fontId="32" fillId="0" borderId="5" xfId="2" applyFont="1" applyBorder="1" applyAlignment="1">
      <alignment horizontal="center"/>
    </xf>
    <xf numFmtId="0" fontId="50" fillId="0" borderId="149" xfId="2" applyFont="1" applyBorder="1" applyAlignment="1">
      <alignment horizontal="right"/>
    </xf>
    <xf numFmtId="0" fontId="50" fillId="0" borderId="157" xfId="2" applyFont="1" applyBorder="1" applyAlignment="1">
      <alignment horizontal="right"/>
    </xf>
    <xf numFmtId="0" fontId="50" fillId="0" borderId="4" xfId="2" applyFont="1" applyBorder="1" applyAlignment="1">
      <alignment horizontal="right"/>
    </xf>
    <xf numFmtId="0" fontId="32" fillId="0" borderId="149" xfId="2" applyFont="1" applyBorder="1" applyAlignment="1">
      <alignment horizontal="center"/>
    </xf>
    <xf numFmtId="0" fontId="32" fillId="0" borderId="157" xfId="2" applyFont="1" applyBorder="1" applyAlignment="1">
      <alignment horizontal="center"/>
    </xf>
    <xf numFmtId="0" fontId="32" fillId="0" borderId="158" xfId="2" applyFont="1" applyBorder="1" applyAlignment="1">
      <alignment horizontal="center"/>
    </xf>
    <xf numFmtId="3" fontId="32" fillId="0" borderId="3" xfId="2" applyNumberFormat="1" applyFont="1" applyBorder="1" applyAlignment="1">
      <alignment horizontal="center"/>
    </xf>
    <xf numFmtId="3" fontId="32" fillId="0" borderId="4" xfId="2" applyNumberFormat="1" applyFont="1" applyBorder="1" applyAlignment="1">
      <alignment horizontal="center"/>
    </xf>
    <xf numFmtId="3" fontId="51" fillId="0" borderId="3" xfId="7" applyNumberFormat="1" applyFont="1" applyFill="1" applyBorder="1" applyAlignment="1">
      <alignment horizontal="center" vertical="center"/>
    </xf>
    <xf numFmtId="3" fontId="51" fillId="0" borderId="4" xfId="7" applyNumberFormat="1" applyFont="1" applyFill="1" applyBorder="1" applyAlignment="1">
      <alignment horizontal="center" vertical="center"/>
    </xf>
    <xf numFmtId="0" fontId="76" fillId="0" borderId="243" xfId="0" applyFont="1" applyBorder="1" applyAlignment="1">
      <alignment horizontal="left" vertical="center" wrapText="1"/>
    </xf>
    <xf numFmtId="0" fontId="76" fillId="0" borderId="6" xfId="0" applyFont="1" applyBorder="1" applyAlignment="1">
      <alignment horizontal="left" vertical="center" wrapText="1"/>
    </xf>
    <xf numFmtId="0" fontId="76" fillId="0" borderId="5" xfId="0" applyFont="1" applyBorder="1" applyAlignment="1">
      <alignment horizontal="left" vertical="center" wrapText="1"/>
    </xf>
    <xf numFmtId="3" fontId="32" fillId="0" borderId="3" xfId="2" applyNumberFormat="1" applyFont="1" applyFill="1" applyBorder="1" applyAlignment="1">
      <alignment horizontal="left"/>
    </xf>
    <xf numFmtId="3" fontId="32" fillId="0" borderId="157" xfId="2" applyNumberFormat="1" applyFont="1" applyFill="1" applyBorder="1" applyAlignment="1">
      <alignment horizontal="left"/>
    </xf>
    <xf numFmtId="0" fontId="32" fillId="0" borderId="3" xfId="2" applyFont="1" applyFill="1" applyBorder="1" applyAlignment="1">
      <alignment horizontal="left"/>
    </xf>
    <xf numFmtId="0" fontId="32" fillId="0" borderId="157" xfId="2" applyFont="1" applyFill="1" applyBorder="1" applyAlignment="1">
      <alignment horizontal="left"/>
    </xf>
    <xf numFmtId="3" fontId="32" fillId="0" borderId="157" xfId="2" applyNumberFormat="1" applyFont="1" applyBorder="1" applyAlignment="1">
      <alignment horizontal="center"/>
    </xf>
    <xf numFmtId="3" fontId="32" fillId="0" borderId="3" xfId="2" applyNumberFormat="1" applyFont="1" applyFill="1" applyBorder="1" applyAlignment="1">
      <alignment horizontal="center"/>
    </xf>
    <xf numFmtId="3" fontId="32" fillId="0" borderId="4" xfId="2" applyNumberFormat="1" applyFont="1" applyFill="1" applyBorder="1" applyAlignment="1">
      <alignment horizontal="center"/>
    </xf>
    <xf numFmtId="3" fontId="32" fillId="0" borderId="3" xfId="2" applyNumberFormat="1" applyFont="1" applyFill="1" applyBorder="1" applyAlignment="1">
      <alignment horizontal="center" vertical="center"/>
    </xf>
    <xf numFmtId="3" fontId="32" fillId="0" borderId="4" xfId="2" applyNumberFormat="1" applyFont="1" applyFill="1" applyBorder="1" applyAlignment="1">
      <alignment horizontal="center" vertical="center"/>
    </xf>
    <xf numFmtId="0" fontId="32" fillId="0" borderId="213"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209"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50" xfId="0" applyFont="1" applyFill="1" applyBorder="1" applyAlignment="1">
      <alignment horizontal="center" vertical="center"/>
    </xf>
    <xf numFmtId="0" fontId="32" fillId="0" borderId="234"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151" xfId="0" applyFont="1" applyFill="1" applyBorder="1" applyAlignment="1">
      <alignment horizontal="center" vertical="center"/>
    </xf>
    <xf numFmtId="3" fontId="32" fillId="0" borderId="243" xfId="23" applyNumberFormat="1" applyFont="1" applyBorder="1" applyAlignment="1">
      <alignment horizontal="center" vertical="center"/>
    </xf>
    <xf numFmtId="3" fontId="32" fillId="0" borderId="6" xfId="23" applyNumberFormat="1" applyFont="1" applyBorder="1" applyAlignment="1">
      <alignment horizontal="center" vertical="center"/>
    </xf>
    <xf numFmtId="3" fontId="32" fillId="0" borderId="5" xfId="23" applyNumberFormat="1" applyFont="1" applyBorder="1" applyAlignment="1">
      <alignment horizontal="center" vertical="center"/>
    </xf>
    <xf numFmtId="0" fontId="32" fillId="0" borderId="245" xfId="23" applyFont="1" applyFill="1" applyBorder="1" applyAlignment="1">
      <alignment horizontal="left" vertical="center" wrapText="1"/>
    </xf>
    <xf numFmtId="0" fontId="32" fillId="0" borderId="244" xfId="23" applyFont="1" applyFill="1" applyBorder="1" applyAlignment="1">
      <alignment horizontal="left" vertical="center" wrapText="1"/>
    </xf>
    <xf numFmtId="0" fontId="32" fillId="0" borderId="246" xfId="23" applyFont="1" applyFill="1" applyBorder="1" applyAlignment="1">
      <alignment horizontal="left" vertical="center" wrapText="1"/>
    </xf>
    <xf numFmtId="0" fontId="32" fillId="0" borderId="7" xfId="23" applyFont="1" applyFill="1" applyBorder="1" applyAlignment="1">
      <alignment horizontal="left" vertical="center" wrapText="1"/>
    </xf>
    <xf numFmtId="0" fontId="32" fillId="0" borderId="0" xfId="23" applyFont="1" applyFill="1" applyBorder="1" applyAlignment="1">
      <alignment horizontal="left" vertical="center" wrapText="1"/>
    </xf>
    <xf numFmtId="0" fontId="32" fillId="0" borderId="2" xfId="23" applyFont="1" applyFill="1" applyBorder="1" applyAlignment="1">
      <alignment horizontal="left" vertical="center" wrapText="1"/>
    </xf>
    <xf numFmtId="0" fontId="32" fillId="0" borderId="150" xfId="23" applyFont="1" applyFill="1" applyBorder="1" applyAlignment="1">
      <alignment horizontal="left" vertical="center" wrapText="1"/>
    </xf>
    <xf numFmtId="0" fontId="32" fillId="0" borderId="141" xfId="23" applyFont="1" applyFill="1" applyBorder="1" applyAlignment="1">
      <alignment horizontal="left" vertical="center" wrapText="1"/>
    </xf>
    <xf numFmtId="0" fontId="32" fillId="0" borderId="151" xfId="23" applyFont="1" applyFill="1" applyBorder="1" applyAlignment="1">
      <alignment horizontal="left" vertical="center" wrapText="1"/>
    </xf>
    <xf numFmtId="0" fontId="50" fillId="13" borderId="142" xfId="23" applyFont="1" applyFill="1" applyBorder="1" applyAlignment="1">
      <alignment horizontal="center"/>
    </xf>
    <xf numFmtId="164" fontId="32" fillId="0" borderId="179" xfId="23" applyNumberFormat="1" applyFont="1" applyFill="1" applyBorder="1" applyAlignment="1">
      <alignment horizontal="right" vertical="center"/>
    </xf>
    <xf numFmtId="164" fontId="32" fillId="0" borderId="3" xfId="23" applyNumberFormat="1" applyFont="1" applyFill="1" applyBorder="1" applyAlignment="1">
      <alignment horizontal="right" vertical="center"/>
    </xf>
    <xf numFmtId="0" fontId="32" fillId="0" borderId="243" xfId="23" applyFont="1" applyBorder="1" applyAlignment="1">
      <alignment horizontal="center" vertical="center"/>
    </xf>
    <xf numFmtId="0" fontId="32" fillId="0" borderId="6" xfId="23" applyFont="1" applyBorder="1" applyAlignment="1">
      <alignment horizontal="center" vertical="center"/>
    </xf>
    <xf numFmtId="0" fontId="32" fillId="0" borderId="5" xfId="23" applyFont="1" applyBorder="1" applyAlignment="1">
      <alignment horizontal="center" vertical="center"/>
    </xf>
    <xf numFmtId="0" fontId="32" fillId="0" borderId="0" xfId="23" applyFont="1" applyAlignment="1">
      <alignment horizontal="left" wrapText="1"/>
    </xf>
    <xf numFmtId="0" fontId="32" fillId="0" borderId="181" xfId="23" applyFont="1" applyFill="1" applyBorder="1" applyAlignment="1">
      <alignment horizontal="left" wrapText="1"/>
    </xf>
    <xf numFmtId="0" fontId="32" fillId="0" borderId="182" xfId="23" applyFont="1" applyFill="1" applyBorder="1" applyAlignment="1">
      <alignment horizontal="left" wrapText="1"/>
    </xf>
    <xf numFmtId="0" fontId="32" fillId="0" borderId="159" xfId="23" applyFont="1" applyFill="1" applyBorder="1" applyAlignment="1">
      <alignment horizontal="left" wrapText="1"/>
    </xf>
    <xf numFmtId="0" fontId="32" fillId="0" borderId="150" xfId="23" applyFont="1" applyFill="1" applyBorder="1" applyAlignment="1">
      <alignment horizontal="left" wrapText="1"/>
    </xf>
    <xf numFmtId="0" fontId="32" fillId="0" borderId="141" xfId="23" applyFont="1" applyFill="1" applyBorder="1" applyAlignment="1">
      <alignment horizontal="left" wrapText="1"/>
    </xf>
    <xf numFmtId="0" fontId="32" fillId="0" borderId="151" xfId="23" applyFont="1" applyFill="1" applyBorder="1" applyAlignment="1">
      <alignment horizontal="left" wrapText="1"/>
    </xf>
    <xf numFmtId="0" fontId="32" fillId="0" borderId="232" xfId="23" applyFont="1" applyFill="1" applyBorder="1" applyAlignment="1">
      <alignment horizontal="left" wrapText="1"/>
    </xf>
    <xf numFmtId="0" fontId="32" fillId="0" borderId="249" xfId="23" applyFont="1" applyFill="1" applyBorder="1" applyAlignment="1">
      <alignment horizontal="left" wrapText="1"/>
    </xf>
    <xf numFmtId="0" fontId="32" fillId="0" borderId="234" xfId="23" applyFont="1" applyFill="1" applyBorder="1" applyAlignment="1">
      <alignment horizontal="left" wrapText="1"/>
    </xf>
    <xf numFmtId="0" fontId="32" fillId="0" borderId="0" xfId="23" applyFont="1" applyFill="1" applyAlignment="1">
      <alignment wrapText="1"/>
    </xf>
    <xf numFmtId="0" fontId="32" fillId="0" borderId="1" xfId="23" applyFont="1" applyFill="1" applyBorder="1" applyAlignment="1">
      <alignment horizontal="left"/>
    </xf>
    <xf numFmtId="0" fontId="50" fillId="13" borderId="243" xfId="2" applyFont="1" applyFill="1" applyBorder="1" applyAlignment="1">
      <alignment horizontal="center"/>
    </xf>
    <xf numFmtId="0" fontId="32" fillId="0" borderId="213" xfId="23" applyFont="1" applyFill="1" applyBorder="1" applyAlignment="1">
      <alignment horizontal="center" vertical="center" wrapText="1"/>
    </xf>
    <xf numFmtId="0" fontId="32" fillId="0" borderId="6" xfId="23" applyFont="1" applyFill="1" applyBorder="1" applyAlignment="1">
      <alignment horizontal="center" vertical="center" wrapText="1"/>
    </xf>
    <xf numFmtId="0" fontId="32" fillId="0" borderId="5" xfId="23" applyFont="1" applyFill="1" applyBorder="1" applyAlignment="1">
      <alignment horizontal="center" vertical="center" wrapText="1"/>
    </xf>
    <xf numFmtId="0" fontId="32" fillId="0" borderId="245" xfId="2" applyFont="1" applyFill="1" applyBorder="1" applyAlignment="1">
      <alignment horizontal="left" wrapText="1"/>
    </xf>
    <xf numFmtId="0" fontId="32" fillId="0" borderId="244" xfId="2" applyFont="1" applyFill="1" applyBorder="1" applyAlignment="1">
      <alignment horizontal="left" wrapText="1"/>
    </xf>
    <xf numFmtId="0" fontId="32" fillId="0" borderId="246" xfId="2" applyFont="1" applyFill="1" applyBorder="1" applyAlignment="1">
      <alignment horizontal="left" wrapText="1"/>
    </xf>
    <xf numFmtId="0" fontId="32" fillId="0" borderId="7" xfId="2" applyFont="1" applyFill="1" applyBorder="1" applyAlignment="1">
      <alignment horizontal="left" wrapText="1"/>
    </xf>
    <xf numFmtId="0" fontId="32" fillId="0" borderId="0" xfId="2" applyFont="1" applyFill="1" applyBorder="1" applyAlignment="1">
      <alignment horizontal="left" wrapText="1"/>
    </xf>
    <xf numFmtId="0" fontId="32" fillId="0" borderId="2" xfId="2" applyFont="1" applyFill="1" applyBorder="1" applyAlignment="1">
      <alignment horizontal="left" wrapText="1"/>
    </xf>
    <xf numFmtId="0" fontId="32" fillId="0" borderId="150" xfId="2" applyFont="1" applyFill="1" applyBorder="1" applyAlignment="1">
      <alignment horizontal="left" wrapText="1"/>
    </xf>
    <xf numFmtId="0" fontId="32" fillId="0" borderId="141" xfId="2" applyFont="1" applyFill="1" applyBorder="1" applyAlignment="1">
      <alignment horizontal="left" wrapText="1"/>
    </xf>
    <xf numFmtId="0" fontId="32" fillId="0" borderId="151" xfId="2" applyFont="1" applyFill="1" applyBorder="1" applyAlignment="1">
      <alignment horizontal="left" wrapText="1"/>
    </xf>
    <xf numFmtId="0" fontId="32" fillId="0" borderId="0" xfId="13" applyFont="1" applyFill="1" applyAlignment="1">
      <alignment wrapText="1"/>
    </xf>
    <xf numFmtId="2" fontId="50" fillId="12" borderId="150" xfId="14" applyNumberFormat="1" applyFont="1" applyFill="1" applyBorder="1" applyAlignment="1">
      <alignment horizontal="center"/>
    </xf>
    <xf numFmtId="2" fontId="50" fillId="12" borderId="146" xfId="14" applyNumberFormat="1" applyFont="1" applyFill="1" applyBorder="1" applyAlignment="1">
      <alignment horizontal="center"/>
    </xf>
    <xf numFmtId="0" fontId="50" fillId="13" borderId="201" xfId="2" applyFont="1" applyFill="1" applyBorder="1" applyAlignment="1">
      <alignment horizontal="center"/>
    </xf>
    <xf numFmtId="0" fontId="32" fillId="0" borderId="213" xfId="2" applyFont="1" applyFill="1" applyBorder="1" applyAlignment="1">
      <alignment horizontal="center" vertical="center" wrapText="1"/>
    </xf>
    <xf numFmtId="0" fontId="32" fillId="0" borderId="6" xfId="2" applyFont="1" applyFill="1" applyBorder="1" applyAlignment="1">
      <alignment horizontal="center" vertical="center" wrapText="1"/>
    </xf>
    <xf numFmtId="0" fontId="32" fillId="0" borderId="5" xfId="2" applyFont="1" applyFill="1" applyBorder="1" applyAlignment="1">
      <alignment horizontal="center" vertical="center" wrapText="1"/>
    </xf>
    <xf numFmtId="166" fontId="32" fillId="0" borderId="232" xfId="2" applyNumberFormat="1" applyFont="1" applyFill="1" applyBorder="1" applyAlignment="1">
      <alignment horizontal="center" vertical="center"/>
    </xf>
    <xf numFmtId="166" fontId="32" fillId="0" borderId="7" xfId="2" applyNumberFormat="1" applyFont="1" applyFill="1" applyBorder="1" applyAlignment="1">
      <alignment horizontal="center" vertical="center"/>
    </xf>
    <xf numFmtId="166" fontId="32" fillId="0" borderId="150" xfId="2" applyNumberFormat="1" applyFont="1" applyFill="1" applyBorder="1" applyAlignment="1">
      <alignment horizontal="center" vertical="center"/>
    </xf>
    <xf numFmtId="0" fontId="32" fillId="0" borderId="234" xfId="2" applyFont="1" applyFill="1" applyBorder="1" applyAlignment="1">
      <alignment horizontal="center" vertical="center"/>
    </xf>
    <xf numFmtId="0" fontId="32" fillId="0" borderId="2" xfId="2" applyFont="1" applyFill="1" applyBorder="1" applyAlignment="1">
      <alignment horizontal="center" vertical="center"/>
    </xf>
    <xf numFmtId="0" fontId="32" fillId="0" borderId="151" xfId="2" applyFont="1" applyFill="1" applyBorder="1" applyAlignment="1">
      <alignment horizontal="center" vertical="center"/>
    </xf>
    <xf numFmtId="3" fontId="32" fillId="0" borderId="232" xfId="2" applyNumberFormat="1" applyFont="1" applyFill="1" applyBorder="1" applyAlignment="1">
      <alignment horizontal="center" vertical="center"/>
    </xf>
    <xf numFmtId="3" fontId="32" fillId="0" borderId="7" xfId="2" applyNumberFormat="1" applyFont="1" applyFill="1" applyBorder="1" applyAlignment="1">
      <alignment horizontal="center" vertical="center"/>
    </xf>
    <xf numFmtId="3" fontId="32" fillId="0" borderId="150" xfId="2" applyNumberFormat="1" applyFont="1" applyFill="1" applyBorder="1" applyAlignment="1">
      <alignment horizontal="center" vertical="center"/>
    </xf>
    <xf numFmtId="3" fontId="32" fillId="0" borderId="234" xfId="2" applyNumberFormat="1" applyFont="1" applyBorder="1" applyAlignment="1">
      <alignment horizontal="center" vertical="center" wrapText="1"/>
    </xf>
    <xf numFmtId="3" fontId="32" fillId="0" borderId="2" xfId="2" applyNumberFormat="1" applyFont="1" applyBorder="1" applyAlignment="1">
      <alignment horizontal="center" vertical="center" wrapText="1"/>
    </xf>
    <xf numFmtId="3" fontId="32" fillId="0" borderId="151" xfId="2" applyNumberFormat="1" applyFont="1" applyBorder="1" applyAlignment="1">
      <alignment horizontal="center" vertical="center" wrapText="1"/>
    </xf>
    <xf numFmtId="2" fontId="50" fillId="12" borderId="243" xfId="14" applyNumberFormat="1" applyFont="1" applyFill="1" applyBorder="1" applyAlignment="1">
      <alignment horizontal="center" wrapText="1"/>
    </xf>
    <xf numFmtId="2" fontId="50" fillId="12" borderId="6" xfId="14" applyNumberFormat="1" applyFont="1" applyFill="1" applyBorder="1" applyAlignment="1">
      <alignment horizontal="center" wrapText="1"/>
    </xf>
    <xf numFmtId="176" fontId="50" fillId="12" borderId="243" xfId="21" applyNumberFormat="1" applyFont="1" applyFill="1" applyBorder="1" applyAlignment="1">
      <alignment horizontal="center" wrapText="1"/>
    </xf>
    <xf numFmtId="176" fontId="50" fillId="12" borderId="6" xfId="21" applyNumberFormat="1" applyFont="1" applyFill="1" applyBorder="1" applyAlignment="1">
      <alignment horizontal="center" wrapText="1"/>
    </xf>
    <xf numFmtId="0" fontId="32" fillId="13" borderId="193" xfId="2" applyFont="1" applyFill="1" applyBorder="1" applyAlignment="1">
      <alignment horizontal="center"/>
    </xf>
    <xf numFmtId="0" fontId="3" fillId="0" borderId="0" xfId="0" applyFont="1" applyAlignment="1">
      <alignment horizontal="left" wrapText="1"/>
    </xf>
    <xf numFmtId="0" fontId="1" fillId="0" borderId="0" xfId="0" applyFont="1" applyAlignment="1">
      <alignment horizontal="center"/>
    </xf>
    <xf numFmtId="0" fontId="3" fillId="0" borderId="0" xfId="0" applyFont="1" applyAlignment="1">
      <alignment horizontal="center" wrapText="1"/>
    </xf>
    <xf numFmtId="0" fontId="50" fillId="12" borderId="146" xfId="9" applyFont="1" applyFill="1" applyBorder="1" applyAlignment="1">
      <alignment horizontal="center" wrapText="1"/>
    </xf>
    <xf numFmtId="0" fontId="50" fillId="12" borderId="148" xfId="9" applyFont="1" applyFill="1" applyBorder="1" applyAlignment="1">
      <alignment horizontal="center" wrapText="1"/>
    </xf>
    <xf numFmtId="0" fontId="50" fillId="12" borderId="193" xfId="9" applyFont="1" applyFill="1" applyBorder="1" applyAlignment="1">
      <alignment horizontal="center" wrapText="1"/>
    </xf>
    <xf numFmtId="0" fontId="50" fillId="12" borderId="166" xfId="9" applyFont="1" applyFill="1" applyBorder="1" applyAlignment="1">
      <alignment horizontal="center" wrapText="1"/>
    </xf>
    <xf numFmtId="0" fontId="0" fillId="0" borderId="0" xfId="0" applyAlignment="1">
      <alignment horizontal="left" wrapText="1"/>
    </xf>
    <xf numFmtId="0" fontId="37" fillId="0" borderId="161" xfId="9" applyFont="1" applyFill="1" applyBorder="1" applyAlignment="1">
      <alignment horizontal="right"/>
    </xf>
    <xf numFmtId="0" fontId="37" fillId="0" borderId="162" xfId="9" applyFont="1" applyFill="1" applyBorder="1" applyAlignment="1">
      <alignment horizontal="right"/>
    </xf>
    <xf numFmtId="0" fontId="37" fillId="0" borderId="183" xfId="9" applyFont="1" applyFill="1" applyBorder="1" applyAlignment="1">
      <alignment horizontal="right"/>
    </xf>
    <xf numFmtId="0" fontId="50" fillId="0" borderId="0" xfId="6" applyFont="1" applyAlignment="1">
      <alignment horizontal="center"/>
    </xf>
    <xf numFmtId="0" fontId="50" fillId="12" borderId="190" xfId="9" applyFont="1" applyFill="1" applyBorder="1" applyAlignment="1">
      <alignment horizontal="center" vertical="center"/>
    </xf>
    <xf numFmtId="0" fontId="50" fillId="12" borderId="191" xfId="9" applyFont="1" applyFill="1" applyBorder="1" applyAlignment="1">
      <alignment horizontal="center" vertical="center"/>
    </xf>
    <xf numFmtId="0" fontId="50" fillId="12" borderId="192" xfId="9" applyFont="1" applyFill="1" applyBorder="1" applyAlignment="1">
      <alignment horizontal="center" vertical="center"/>
    </xf>
    <xf numFmtId="0" fontId="50" fillId="12" borderId="172" xfId="9" applyFont="1" applyFill="1" applyBorder="1" applyAlignment="1">
      <alignment horizontal="center" wrapText="1"/>
    </xf>
    <xf numFmtId="0" fontId="50" fillId="12" borderId="176" xfId="9" applyFont="1" applyFill="1" applyBorder="1" applyAlignment="1">
      <alignment horizontal="center" wrapText="1"/>
    </xf>
    <xf numFmtId="0" fontId="50" fillId="12" borderId="147" xfId="9" applyFont="1" applyFill="1" applyBorder="1" applyAlignment="1">
      <alignment horizontal="center" wrapText="1"/>
    </xf>
    <xf numFmtId="0" fontId="50" fillId="12" borderId="194" xfId="9" applyFont="1" applyFill="1" applyBorder="1" applyAlignment="1">
      <alignment horizontal="center" wrapText="1"/>
    </xf>
    <xf numFmtId="0" fontId="51" fillId="0" borderId="0" xfId="16" applyFont="1" applyFill="1" applyAlignment="1">
      <alignment wrapText="1"/>
    </xf>
    <xf numFmtId="3" fontId="51" fillId="0" borderId="3" xfId="16" applyNumberFormat="1" applyFont="1" applyFill="1" applyBorder="1" applyAlignment="1">
      <alignment vertical="center"/>
    </xf>
    <xf numFmtId="3" fontId="51" fillId="0" borderId="4" xfId="16" applyNumberFormat="1" applyFont="1" applyFill="1" applyBorder="1" applyAlignment="1">
      <alignment vertical="center"/>
    </xf>
    <xf numFmtId="0" fontId="37" fillId="0" borderId="198" xfId="16" applyFont="1" applyFill="1" applyBorder="1" applyAlignment="1">
      <alignment horizontal="right"/>
    </xf>
    <xf numFmtId="0" fontId="37" fillId="0" borderId="199" xfId="16" applyFont="1" applyFill="1" applyBorder="1" applyAlignment="1">
      <alignment horizontal="right"/>
    </xf>
    <xf numFmtId="0" fontId="37" fillId="0" borderId="200" xfId="16" applyFont="1" applyFill="1" applyBorder="1" applyAlignment="1">
      <alignment horizontal="right"/>
    </xf>
    <xf numFmtId="0" fontId="51" fillId="0" borderId="0" xfId="16" applyNumberFormat="1" applyFont="1" applyFill="1" applyAlignment="1">
      <alignment horizontal="left" wrapText="1"/>
    </xf>
    <xf numFmtId="0" fontId="50" fillId="12" borderId="190" xfId="16" applyFont="1" applyFill="1" applyBorder="1" applyAlignment="1">
      <alignment horizontal="center" vertical="center"/>
    </xf>
    <xf numFmtId="0" fontId="50" fillId="12" borderId="191" xfId="16" applyFont="1" applyFill="1" applyBorder="1" applyAlignment="1">
      <alignment horizontal="center" vertical="center"/>
    </xf>
    <xf numFmtId="0" fontId="50" fillId="12" borderId="192" xfId="16" applyFont="1" applyFill="1" applyBorder="1" applyAlignment="1">
      <alignment horizontal="center" vertical="center"/>
    </xf>
    <xf numFmtId="0" fontId="50" fillId="12" borderId="172" xfId="16" applyFont="1" applyFill="1" applyBorder="1" applyAlignment="1">
      <alignment horizontal="center" wrapText="1"/>
    </xf>
    <xf numFmtId="0" fontId="50" fillId="12" borderId="176" xfId="16" applyFont="1" applyFill="1" applyBorder="1" applyAlignment="1">
      <alignment horizontal="center" wrapText="1"/>
    </xf>
    <xf numFmtId="0" fontId="50" fillId="12" borderId="146" xfId="16" applyFont="1" applyFill="1" applyBorder="1" applyAlignment="1">
      <alignment horizontal="center" wrapText="1"/>
    </xf>
    <xf numFmtId="0" fontId="50" fillId="12" borderId="147" xfId="16" applyFont="1" applyFill="1" applyBorder="1" applyAlignment="1">
      <alignment horizontal="center" wrapText="1"/>
    </xf>
    <xf numFmtId="0" fontId="50" fillId="12" borderId="193" xfId="16" applyFont="1" applyFill="1" applyBorder="1" applyAlignment="1">
      <alignment horizontal="center" wrapText="1"/>
    </xf>
    <xf numFmtId="0" fontId="50" fillId="12" borderId="194" xfId="16" applyFont="1" applyFill="1" applyBorder="1" applyAlignment="1">
      <alignment horizontal="center" wrapText="1"/>
    </xf>
    <xf numFmtId="0" fontId="50" fillId="12" borderId="148" xfId="16" applyFont="1" applyFill="1" applyBorder="1" applyAlignment="1">
      <alignment horizontal="center" wrapText="1"/>
    </xf>
    <xf numFmtId="0" fontId="50" fillId="12" borderId="166" xfId="16" applyFont="1" applyFill="1" applyBorder="1" applyAlignment="1">
      <alignment horizontal="center" wrapText="1"/>
    </xf>
    <xf numFmtId="0" fontId="50" fillId="0" borderId="0" xfId="17" applyFont="1" applyAlignment="1">
      <alignment horizontal="center"/>
    </xf>
    <xf numFmtId="0" fontId="50" fillId="12" borderId="171" xfId="16" applyFont="1" applyFill="1" applyBorder="1" applyAlignment="1">
      <alignment horizontal="center" vertical="center"/>
    </xf>
    <xf numFmtId="0" fontId="50" fillId="12" borderId="172" xfId="16" applyFont="1" applyFill="1" applyBorder="1" applyAlignment="1">
      <alignment horizontal="center" vertical="center"/>
    </xf>
    <xf numFmtId="0" fontId="50" fillId="12" borderId="201" xfId="16" applyFont="1" applyFill="1" applyBorder="1" applyAlignment="1">
      <alignment horizontal="center" vertical="center" wrapText="1"/>
    </xf>
    <xf numFmtId="0" fontId="50" fillId="12" borderId="94" xfId="16" applyFont="1" applyFill="1" applyBorder="1" applyAlignment="1">
      <alignment horizontal="center" vertical="center" wrapText="1"/>
    </xf>
    <xf numFmtId="0" fontId="50" fillId="12" borderId="202" xfId="16" applyFont="1" applyFill="1" applyBorder="1" applyAlignment="1">
      <alignment horizontal="center" vertical="center" wrapText="1"/>
    </xf>
    <xf numFmtId="0" fontId="32" fillId="0" borderId="157"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32" fillId="0" borderId="3" xfId="17" applyFont="1" applyFill="1" applyBorder="1" applyAlignment="1">
      <alignment horizontal="center" vertical="center"/>
    </xf>
    <xf numFmtId="0" fontId="32" fillId="0" borderId="4" xfId="17" applyFont="1" applyFill="1" applyBorder="1" applyAlignment="1">
      <alignment horizontal="center" vertical="center"/>
    </xf>
    <xf numFmtId="0" fontId="32" fillId="0" borderId="157" xfId="17" applyFont="1" applyBorder="1" applyAlignment="1">
      <alignment horizontal="left" vertical="center" wrapText="1"/>
    </xf>
    <xf numFmtId="0" fontId="32" fillId="0" borderId="4" xfId="17" applyFont="1" applyBorder="1" applyAlignment="1">
      <alignment horizontal="left" vertical="center" wrapText="1"/>
    </xf>
    <xf numFmtId="0" fontId="32" fillId="0" borderId="157" xfId="17" applyFont="1" applyBorder="1" applyAlignment="1">
      <alignment horizontal="left" vertical="center"/>
    </xf>
    <xf numFmtId="0" fontId="32" fillId="0" borderId="4" xfId="17" applyFont="1" applyBorder="1" applyAlignment="1">
      <alignment horizontal="left" vertical="center"/>
    </xf>
    <xf numFmtId="0" fontId="32" fillId="0" borderId="0" xfId="6" applyNumberFormat="1" applyFont="1" applyAlignment="1">
      <alignment horizontal="left" vertical="top" wrapText="1"/>
    </xf>
    <xf numFmtId="0" fontId="32" fillId="0" borderId="157" xfId="17" applyFont="1" applyFill="1" applyBorder="1" applyAlignment="1">
      <alignment horizontal="left" vertical="center"/>
    </xf>
    <xf numFmtId="0" fontId="32" fillId="0" borderId="4" xfId="17" applyFont="1" applyFill="1" applyBorder="1" applyAlignment="1">
      <alignment horizontal="left" vertical="center"/>
    </xf>
    <xf numFmtId="0" fontId="51" fillId="0" borderId="162" xfId="16" applyFont="1" applyFill="1" applyBorder="1" applyAlignment="1">
      <alignment horizontal="left"/>
    </xf>
    <xf numFmtId="0" fontId="51" fillId="0" borderId="183" xfId="16" applyFont="1" applyFill="1" applyBorder="1" applyAlignment="1">
      <alignment horizontal="left"/>
    </xf>
    <xf numFmtId="0" fontId="37" fillId="0" borderId="162" xfId="16" applyFont="1" applyFill="1" applyBorder="1" applyAlignment="1">
      <alignment horizontal="right"/>
    </xf>
    <xf numFmtId="0" fontId="37" fillId="0" borderId="183" xfId="16" applyFont="1" applyFill="1" applyBorder="1" applyAlignment="1">
      <alignment horizontal="right"/>
    </xf>
    <xf numFmtId="0" fontId="32" fillId="0" borderId="0" xfId="6" applyFont="1" applyAlignment="1">
      <alignment horizontal="left" vertical="top" wrapText="1"/>
    </xf>
    <xf numFmtId="0" fontId="32" fillId="0" borderId="0" xfId="6" applyFont="1" applyAlignment="1">
      <alignment horizontal="left" wrapText="1"/>
    </xf>
    <xf numFmtId="0" fontId="32" fillId="12" borderId="171" xfId="6" applyFont="1" applyFill="1" applyBorder="1" applyAlignment="1">
      <alignment horizontal="center" wrapText="1"/>
    </xf>
    <xf numFmtId="0" fontId="32" fillId="12" borderId="172" xfId="6" applyFont="1" applyFill="1" applyBorder="1" applyAlignment="1">
      <alignment horizontal="center" wrapText="1"/>
    </xf>
    <xf numFmtId="0" fontId="32" fillId="12" borderId="206" xfId="6" applyFont="1" applyFill="1" applyBorder="1" applyAlignment="1">
      <alignment horizontal="center" wrapText="1"/>
    </xf>
    <xf numFmtId="0" fontId="32" fillId="12" borderId="171" xfId="6" applyFont="1" applyFill="1" applyBorder="1" applyAlignment="1">
      <alignment horizontal="center" vertical="center" wrapText="1"/>
    </xf>
    <xf numFmtId="0" fontId="32" fillId="12" borderId="175" xfId="6" applyFont="1" applyFill="1" applyBorder="1" applyAlignment="1">
      <alignment horizontal="center" vertical="center" wrapText="1"/>
    </xf>
    <xf numFmtId="0" fontId="32" fillId="12" borderId="5" xfId="6" applyFont="1" applyFill="1" applyBorder="1" applyAlignment="1">
      <alignment horizontal="center" vertical="center" wrapText="1"/>
    </xf>
    <xf numFmtId="0" fontId="32" fillId="12" borderId="1" xfId="6" applyFont="1" applyFill="1" applyBorder="1" applyAlignment="1">
      <alignment horizontal="center" vertical="center" wrapText="1"/>
    </xf>
    <xf numFmtId="0" fontId="32" fillId="12" borderId="176" xfId="6" applyFont="1" applyFill="1" applyBorder="1" applyAlignment="1">
      <alignment horizontal="center" vertical="center" wrapText="1"/>
    </xf>
    <xf numFmtId="0" fontId="50" fillId="12" borderId="145" xfId="2" applyFont="1" applyFill="1" applyBorder="1" applyAlignment="1">
      <alignment horizontal="center"/>
    </xf>
    <xf numFmtId="0" fontId="50" fillId="13" borderId="94" xfId="2" applyFont="1" applyFill="1" applyBorder="1" applyAlignment="1">
      <alignment horizontal="center"/>
    </xf>
    <xf numFmtId="0" fontId="32" fillId="0" borderId="3" xfId="2" applyFont="1" applyBorder="1" applyAlignment="1">
      <alignment horizontal="center"/>
    </xf>
    <xf numFmtId="0" fontId="32" fillId="0" borderId="4" xfId="2" applyFont="1" applyBorder="1" applyAlignment="1">
      <alignment horizontal="center"/>
    </xf>
    <xf numFmtId="2" fontId="32" fillId="0" borderId="232" xfId="2" applyNumberFormat="1" applyFont="1" applyBorder="1" applyAlignment="1">
      <alignment horizontal="center" vertical="center" wrapText="1"/>
    </xf>
    <xf numFmtId="2" fontId="32" fillId="0" borderId="7" xfId="2" applyNumberFormat="1" applyFont="1" applyBorder="1" applyAlignment="1">
      <alignment horizontal="center" vertical="center" wrapText="1"/>
    </xf>
    <xf numFmtId="2" fontId="32" fillId="0" borderId="150" xfId="2" applyNumberFormat="1" applyFont="1" applyBorder="1" applyAlignment="1">
      <alignment horizontal="center" vertical="center" wrapText="1"/>
    </xf>
    <xf numFmtId="10" fontId="32" fillId="0" borderId="234" xfId="2" applyNumberFormat="1" applyFont="1" applyBorder="1" applyAlignment="1">
      <alignment horizontal="center" vertical="center" wrapText="1"/>
    </xf>
    <xf numFmtId="10" fontId="32" fillId="0" borderId="2" xfId="2" applyNumberFormat="1" applyFont="1" applyBorder="1" applyAlignment="1">
      <alignment horizontal="center" vertical="center" wrapText="1"/>
    </xf>
    <xf numFmtId="10" fontId="32" fillId="0" borderId="151" xfId="2" applyNumberFormat="1" applyFont="1" applyBorder="1" applyAlignment="1">
      <alignment horizontal="center" vertical="center" wrapText="1"/>
    </xf>
    <xf numFmtId="3" fontId="32" fillId="0" borderId="232" xfId="2" applyNumberFormat="1" applyFont="1" applyBorder="1" applyAlignment="1">
      <alignment horizontal="center" vertical="center"/>
    </xf>
    <xf numFmtId="3" fontId="32" fillId="0" borderId="7" xfId="2" applyNumberFormat="1" applyFont="1" applyBorder="1" applyAlignment="1">
      <alignment horizontal="center" vertical="center"/>
    </xf>
    <xf numFmtId="3" fontId="32" fillId="0" borderId="150" xfId="2" applyNumberFormat="1" applyFont="1" applyBorder="1" applyAlignment="1">
      <alignment horizontal="center" vertical="center"/>
    </xf>
    <xf numFmtId="0" fontId="32" fillId="0" borderId="234" xfId="2" applyNumberFormat="1" applyFont="1" applyBorder="1" applyAlignment="1">
      <alignment horizontal="center" vertical="center"/>
    </xf>
    <xf numFmtId="0" fontId="32" fillId="0" borderId="2" xfId="2" applyNumberFormat="1" applyFont="1" applyBorder="1" applyAlignment="1">
      <alignment horizontal="center" vertical="center"/>
    </xf>
    <xf numFmtId="0" fontId="32" fillId="0" borderId="151" xfId="2" applyNumberFormat="1" applyFont="1" applyBorder="1" applyAlignment="1">
      <alignment horizontal="center" vertical="center"/>
    </xf>
    <xf numFmtId="0" fontId="32" fillId="0" borderId="209" xfId="2" applyFont="1" applyFill="1" applyBorder="1" applyAlignment="1">
      <alignment horizontal="center" vertical="center"/>
    </xf>
    <xf numFmtId="0" fontId="32" fillId="0" borderId="7" xfId="2" applyFont="1" applyFill="1" applyBorder="1" applyAlignment="1">
      <alignment horizontal="center" vertical="center"/>
    </xf>
    <xf numFmtId="0" fontId="32" fillId="0" borderId="150" xfId="2" applyFont="1" applyFill="1" applyBorder="1" applyAlignment="1">
      <alignment horizontal="center" vertical="center"/>
    </xf>
    <xf numFmtId="0" fontId="32" fillId="0" borderId="0" xfId="2" applyFont="1" applyAlignment="1">
      <alignment horizontal="left" wrapText="1"/>
    </xf>
    <xf numFmtId="0" fontId="76" fillId="0" borderId="142" xfId="0" applyFont="1" applyBorder="1" applyAlignment="1">
      <alignment horizontal="left" vertical="center" wrapText="1"/>
    </xf>
    <xf numFmtId="0" fontId="32" fillId="0" borderId="1" xfId="16" applyFont="1" applyFill="1" applyBorder="1" applyAlignment="1">
      <alignment horizontal="center" wrapText="1"/>
    </xf>
  </cellXfs>
  <cellStyles count="24">
    <cellStyle name="Comma" xfId="20" builtinId="3"/>
    <cellStyle name="Comma 2" xfId="8"/>
    <cellStyle name="Comma 3" xfId="18"/>
    <cellStyle name="Currency" xfId="21" builtinId="4"/>
    <cellStyle name="Normal" xfId="0" builtinId="0"/>
    <cellStyle name="Normal 10" xfId="2"/>
    <cellStyle name="Normal 11 3" xfId="13"/>
    <cellStyle name="Normal 11 5" xfId="11"/>
    <cellStyle name="Normal 11 7" xfId="19"/>
    <cellStyle name="Normal 2" xfId="6"/>
    <cellStyle name="Normal 2 4" xfId="17"/>
    <cellStyle name="Normal 23 2 2 2 4" xfId="16"/>
    <cellStyle name="Normal 23 2 2 2 5" xfId="9"/>
    <cellStyle name="Normal 3" xfId="4"/>
    <cellStyle name="Normal 3 10" xfId="5"/>
    <cellStyle name="Normal 4" xfId="23"/>
    <cellStyle name="Normal 7" xfId="7"/>
    <cellStyle name="Normal 7 6" xfId="10"/>
    <cellStyle name="Normal 9 6" xfId="12"/>
    <cellStyle name="Normal_BenFuel12AprRyan (2)" xfId="3"/>
    <cellStyle name="Normal_Gordon-FuelStorDisp" xfId="1"/>
    <cellStyle name="Normal_Sheet2 (2)" xfId="14"/>
    <cellStyle name="Percent" xfId="22" builtinId="5"/>
    <cellStyle name="Percent 2" xfId="1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xdr:row>
      <xdr:rowOff>0</xdr:rowOff>
    </xdr:from>
    <xdr:to>
      <xdr:col>26</xdr:col>
      <xdr:colOff>371475</xdr:colOff>
      <xdr:row>29</xdr:row>
      <xdr:rowOff>104775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5350" y="190500"/>
          <a:ext cx="7686675" cy="780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20.bin"/><Relationship Id="rId4" Type="http://schemas.openxmlformats.org/officeDocument/2006/relationships/comments" Target="../comments6.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8"/>
  <sheetViews>
    <sheetView view="pageLayout" zoomScaleNormal="100" zoomScaleSheetLayoutView="100" workbookViewId="0">
      <selection sqref="A1:I1"/>
    </sheetView>
  </sheetViews>
  <sheetFormatPr defaultColWidth="9.140625" defaultRowHeight="14.25" x14ac:dyDescent="0.2"/>
  <cols>
    <col min="1" max="1" width="43.140625" style="125" customWidth="1"/>
    <col min="2" max="2" width="16.7109375" style="125" customWidth="1"/>
    <col min="3" max="4" width="16.7109375" style="125" hidden="1" customWidth="1"/>
    <col min="5" max="5" width="16.7109375" style="125" customWidth="1"/>
    <col min="6" max="6" width="16.7109375" style="125" hidden="1" customWidth="1"/>
    <col min="7" max="7" width="16.7109375" style="125" customWidth="1"/>
    <col min="8" max="8" width="11.5703125" style="125" hidden="1" customWidth="1"/>
    <col min="9" max="9" width="16.42578125" style="125" hidden="1" customWidth="1"/>
    <col min="10" max="16384" width="9.140625" style="125"/>
  </cols>
  <sheetData>
    <row r="1" spans="1:13" ht="15.75" x14ac:dyDescent="0.25">
      <c r="A1" s="1002" t="s">
        <v>1001</v>
      </c>
      <c r="B1" s="1002"/>
      <c r="C1" s="1002"/>
      <c r="D1" s="1002"/>
      <c r="E1" s="1002"/>
      <c r="F1" s="1002"/>
      <c r="G1" s="1002"/>
      <c r="H1" s="1002"/>
      <c r="I1" s="1002"/>
    </row>
    <row r="2" spans="1:13" ht="15.75" x14ac:dyDescent="0.25">
      <c r="A2" s="1002" t="s">
        <v>788</v>
      </c>
      <c r="B2" s="1002"/>
      <c r="C2" s="1002"/>
      <c r="D2" s="1002"/>
      <c r="E2" s="1002"/>
      <c r="F2" s="1002"/>
      <c r="G2" s="1002"/>
      <c r="H2" s="1002"/>
      <c r="I2" s="1002"/>
    </row>
    <row r="3" spans="1:13" ht="15" thickBot="1" x14ac:dyDescent="0.25">
      <c r="A3" s="523"/>
      <c r="B3" s="523"/>
      <c r="C3" s="523"/>
      <c r="D3" s="523"/>
      <c r="E3" s="523"/>
      <c r="F3" s="523"/>
      <c r="G3" s="523"/>
    </row>
    <row r="4" spans="1:13" ht="17.25" x14ac:dyDescent="0.25">
      <c r="A4" s="1003" t="s">
        <v>697</v>
      </c>
      <c r="B4" s="1005" t="s">
        <v>698</v>
      </c>
      <c r="C4" s="1006"/>
      <c r="D4" s="1006"/>
      <c r="E4" s="1006"/>
      <c r="F4" s="1006"/>
      <c r="G4" s="1006"/>
      <c r="H4" s="1006"/>
      <c r="I4" s="1007"/>
    </row>
    <row r="5" spans="1:13" ht="18.75" thickBot="1" x14ac:dyDescent="0.35">
      <c r="A5" s="1004"/>
      <c r="B5" s="558" t="s">
        <v>699</v>
      </c>
      <c r="C5" s="559" t="s">
        <v>200</v>
      </c>
      <c r="D5" s="559" t="s">
        <v>700</v>
      </c>
      <c r="E5" s="559" t="s">
        <v>701</v>
      </c>
      <c r="F5" s="559" t="s">
        <v>201</v>
      </c>
      <c r="G5" s="560" t="s">
        <v>702</v>
      </c>
      <c r="H5" s="558" t="s">
        <v>703</v>
      </c>
      <c r="I5" s="561" t="s">
        <v>704</v>
      </c>
    </row>
    <row r="6" spans="1:13" ht="15.75" thickTop="1" x14ac:dyDescent="0.25">
      <c r="A6" s="693" t="s">
        <v>777</v>
      </c>
      <c r="B6" s="562"/>
      <c r="C6" s="562"/>
      <c r="D6" s="562"/>
      <c r="E6" s="562"/>
      <c r="F6" s="562"/>
      <c r="G6" s="562"/>
      <c r="H6" s="562"/>
      <c r="I6" s="563"/>
    </row>
    <row r="7" spans="1:13" ht="15" x14ac:dyDescent="0.25">
      <c r="A7" s="697" t="s">
        <v>146</v>
      </c>
      <c r="B7" s="993">
        <f>'2a DU NOx Base Case'!K7:K12</f>
        <v>1478.4000000000003</v>
      </c>
      <c r="C7" s="929"/>
      <c r="D7" s="929"/>
      <c r="E7" s="929">
        <f>'4a PM25 Base Case '!K7:K12</f>
        <v>131.376</v>
      </c>
      <c r="F7" s="929"/>
      <c r="G7" s="929">
        <f>'3a DU SO2 base case'!N7+'3a DU SO2 base case'!N8+'3a DU SO2 base case'!N9+'3a DU SO2 base case'!N10+'3a DU SO2 base case'!N11+'3a DU SO2 base case'!N12</f>
        <v>1646.4000000000003</v>
      </c>
      <c r="H7" s="695"/>
      <c r="I7" s="696"/>
    </row>
    <row r="8" spans="1:13" ht="15" x14ac:dyDescent="0.25">
      <c r="A8" s="697" t="s">
        <v>779</v>
      </c>
      <c r="B8" s="977">
        <f>SUM('2a DU NOx Base Case'!K16:K44)</f>
        <v>53.985623206627693</v>
      </c>
      <c r="C8" s="930"/>
      <c r="D8" s="930"/>
      <c r="E8" s="978">
        <f>SUM('4a PM25 Base Case '!K16:K44)</f>
        <v>2.6311352191590087</v>
      </c>
      <c r="F8" s="930"/>
      <c r="G8" s="978">
        <f>SUM('3a DU SO2 base case'!N16:N44)</f>
        <v>2.8041574092758359</v>
      </c>
      <c r="H8" s="695"/>
      <c r="I8" s="696"/>
    </row>
    <row r="9" spans="1:13" ht="15" x14ac:dyDescent="0.25">
      <c r="A9" s="697" t="s">
        <v>778</v>
      </c>
      <c r="B9" s="979">
        <f>'2b DU NOx Proposed'!M13+'2b DU NOx Proposed'!M14+'2b DU NOx Proposed'!M15</f>
        <v>0</v>
      </c>
      <c r="C9" s="930"/>
      <c r="D9" s="930"/>
      <c r="E9" s="977">
        <f>'5 Coal Prep 7a 7b 7c'!K10</f>
        <v>0.34151297616971221</v>
      </c>
      <c r="F9" s="930"/>
      <c r="G9" s="979">
        <f>SUM('3a DU SO2 base case'!N13:N15)</f>
        <v>0</v>
      </c>
      <c r="H9" s="695"/>
      <c r="I9" s="696"/>
    </row>
    <row r="10" spans="1:13" ht="15" x14ac:dyDescent="0.25">
      <c r="A10" s="992" t="s">
        <v>780</v>
      </c>
      <c r="B10" s="993">
        <f>SUM('7 DU Ash Handling'!M12)</f>
        <v>0.42468121850321844</v>
      </c>
      <c r="C10" s="929"/>
      <c r="D10" s="929"/>
      <c r="E10" s="994">
        <f>'7 DU Ash Handling'!K12</f>
        <v>2.8312081233547897</v>
      </c>
      <c r="F10" s="929"/>
      <c r="G10" s="995">
        <f>'3a DU SO2 base case'!N45+'3a DU SO2 base case'!N46+'3a DU SO2 base case'!N47</f>
        <v>0</v>
      </c>
      <c r="H10" s="695"/>
      <c r="I10" s="696"/>
    </row>
    <row r="11" spans="1:13" ht="15.75" thickBot="1" x14ac:dyDescent="0.3">
      <c r="A11" s="996" t="s">
        <v>991</v>
      </c>
      <c r="B11" s="985">
        <v>0</v>
      </c>
      <c r="C11" s="985"/>
      <c r="D11" s="985"/>
      <c r="E11" s="998">
        <f>'6 DU Coal Pile'!L14</f>
        <v>3.2245931156696117</v>
      </c>
      <c r="F11" s="985"/>
      <c r="G11" s="985">
        <v>0</v>
      </c>
      <c r="H11" s="695"/>
      <c r="I11" s="696"/>
    </row>
    <row r="12" spans="1:13" ht="15.75" thickTop="1" x14ac:dyDescent="0.25">
      <c r="A12" s="997" t="s">
        <v>786</v>
      </c>
      <c r="B12" s="980">
        <f>SUM(B7:B11)</f>
        <v>1532.8103044251311</v>
      </c>
      <c r="C12" s="980">
        <f t="shared" ref="C12" si="0">SUM(C7:C11)</f>
        <v>0</v>
      </c>
      <c r="D12" s="980">
        <f t="shared" ref="D12" si="1">SUM(D7:D11)</f>
        <v>0</v>
      </c>
      <c r="E12" s="980">
        <f>SUM(E7:E11)</f>
        <v>140.40444943435315</v>
      </c>
      <c r="F12" s="980">
        <f t="shared" ref="F12:G12" si="2">SUM(F7:F11)</f>
        <v>0</v>
      </c>
      <c r="G12" s="980">
        <f t="shared" si="2"/>
        <v>1649.2041574092761</v>
      </c>
      <c r="H12" s="695"/>
      <c r="I12" s="696"/>
      <c r="K12" s="126"/>
      <c r="L12" s="126"/>
      <c r="M12" s="126"/>
    </row>
    <row r="13" spans="1:13" ht="15" x14ac:dyDescent="0.25">
      <c r="A13" s="694" t="s">
        <v>789</v>
      </c>
      <c r="B13" s="690"/>
      <c r="C13" s="691"/>
      <c r="D13" s="691"/>
      <c r="E13" s="691"/>
      <c r="F13" s="691"/>
      <c r="G13" s="691"/>
      <c r="H13" s="691"/>
      <c r="I13" s="692"/>
    </row>
    <row r="14" spans="1:13" x14ac:dyDescent="0.2">
      <c r="A14" s="705" t="s">
        <v>783</v>
      </c>
      <c r="B14" s="981">
        <f>'8 Fuel Oil Boiler FWA '!E36</f>
        <v>2.4589739311783103</v>
      </c>
      <c r="C14" s="982"/>
      <c r="D14" s="982"/>
      <c r="E14" s="982">
        <f>'8 Fuel Oil Boiler FWA '!I36</f>
        <v>0.13278459228362879</v>
      </c>
      <c r="F14" s="982"/>
      <c r="G14" s="982">
        <f>'8 Fuel Oil Boiler FWA '!F36</f>
        <v>7.5477516162669449</v>
      </c>
      <c r="H14" s="691"/>
      <c r="I14" s="692"/>
    </row>
    <row r="15" spans="1:13" x14ac:dyDescent="0.2">
      <c r="A15" s="705" t="s">
        <v>790</v>
      </c>
      <c r="B15" s="981">
        <f>'9 Engines FWA PTE'!H44</f>
        <v>14.71275</v>
      </c>
      <c r="C15" s="982"/>
      <c r="D15" s="982"/>
      <c r="E15" s="982">
        <f>'9 Engines FWA PTE'!L44</f>
        <v>0.98890000000000011</v>
      </c>
      <c r="F15" s="982"/>
      <c r="G15" s="982">
        <f>'9 Engines FWA PTE'!I44</f>
        <v>1.0398625000000001</v>
      </c>
      <c r="H15" s="691"/>
      <c r="I15" s="692"/>
    </row>
    <row r="16" spans="1:13" x14ac:dyDescent="0.2">
      <c r="A16" s="705" t="s">
        <v>791</v>
      </c>
      <c r="B16" s="981">
        <f>'10 Emer Gen FWA PTE'!H52</f>
        <v>10.6632957315</v>
      </c>
      <c r="C16" s="982"/>
      <c r="D16" s="982"/>
      <c r="E16" s="982">
        <f>'10 Emer Gen FWA PTE'!L52</f>
        <v>0.20928302906229179</v>
      </c>
      <c r="F16" s="982"/>
      <c r="G16" s="982">
        <f>'10 Emer Gen FWA PTE'!I52</f>
        <v>3.9424455000000003</v>
      </c>
      <c r="H16" s="691"/>
      <c r="I16" s="692"/>
    </row>
    <row r="17" spans="1:13" ht="15" thickBot="1" x14ac:dyDescent="0.25">
      <c r="A17" s="705" t="s">
        <v>832</v>
      </c>
      <c r="B17" s="984">
        <f>'11 Waste Oil Boiler-Criteria(P)'!F34</f>
        <v>0.41610000000000003</v>
      </c>
      <c r="C17" s="985"/>
      <c r="D17" s="985"/>
      <c r="E17" s="984" t="str">
        <f>'11 Waste Oil Boiler-Criteria(P)'!J34</f>
        <v>&lt;0.01</v>
      </c>
      <c r="F17" s="985"/>
      <c r="G17" s="984">
        <f>'11 Waste Oil Boiler-Criteria(P)'!G34</f>
        <v>6.4386000000000001</v>
      </c>
      <c r="H17" s="748"/>
      <c r="I17" s="749"/>
    </row>
    <row r="18" spans="1:13" ht="16.5" thickTop="1" thickBot="1" x14ac:dyDescent="0.3">
      <c r="A18" s="709" t="s">
        <v>786</v>
      </c>
      <c r="B18" s="710">
        <f>SUM(B14:B17)</f>
        <v>28.25111966267831</v>
      </c>
      <c r="C18" s="711"/>
      <c r="D18" s="711"/>
      <c r="E18" s="710">
        <f>SUM(E14:E17)</f>
        <v>1.3309676213459207</v>
      </c>
      <c r="F18" s="711"/>
      <c r="G18" s="710">
        <f>SUM(G14:G17)</f>
        <v>18.968659616266944</v>
      </c>
      <c r="H18" s="706"/>
      <c r="I18" s="707"/>
      <c r="K18" s="126"/>
      <c r="L18" s="126"/>
      <c r="M18" s="126"/>
    </row>
    <row r="19" spans="1:13" ht="16.5" thickTop="1" thickBot="1" x14ac:dyDescent="0.3">
      <c r="A19" s="564" t="s">
        <v>787</v>
      </c>
      <c r="B19" s="708">
        <f>B18+B12</f>
        <v>1561.0614240878094</v>
      </c>
      <c r="C19" s="708" t="e">
        <f>SUM(#REF!)</f>
        <v>#REF!</v>
      </c>
      <c r="D19" s="708" t="e">
        <f>SUM(#REF!)</f>
        <v>#REF!</v>
      </c>
      <c r="E19" s="708">
        <f>E18+E12</f>
        <v>141.73541705569909</v>
      </c>
      <c r="F19" s="708" t="e">
        <f>SUM(#REF!)</f>
        <v>#REF!</v>
      </c>
      <c r="G19" s="708">
        <f>G18+G12</f>
        <v>1668.1728170255431</v>
      </c>
      <c r="H19" s="565" t="e">
        <f>SUM(#REF!)</f>
        <v>#REF!</v>
      </c>
      <c r="I19" s="566" t="e">
        <f>SUM(#REF!)</f>
        <v>#REF!</v>
      </c>
    </row>
    <row r="20" spans="1:13" ht="15" x14ac:dyDescent="0.25">
      <c r="A20" s="337"/>
      <c r="B20" s="567"/>
      <c r="C20" s="568"/>
      <c r="D20" s="568"/>
      <c r="E20" s="568"/>
      <c r="F20" s="568"/>
      <c r="G20" s="568"/>
    </row>
    <row r="21" spans="1:13" x14ac:dyDescent="0.2">
      <c r="A21" s="125" t="s">
        <v>239</v>
      </c>
    </row>
    <row r="22" spans="1:13" ht="16.5" x14ac:dyDescent="0.2">
      <c r="A22" s="119" t="s">
        <v>768</v>
      </c>
    </row>
    <row r="23" spans="1:13" ht="45" customHeight="1" x14ac:dyDescent="0.2">
      <c r="A23" s="1008" t="s">
        <v>769</v>
      </c>
      <c r="B23" s="1008"/>
      <c r="C23" s="1008"/>
      <c r="D23" s="1008"/>
      <c r="E23" s="1008"/>
      <c r="F23" s="1008"/>
      <c r="G23" s="1008"/>
      <c r="H23" s="1008"/>
      <c r="I23" s="1008"/>
      <c r="J23" s="1008"/>
      <c r="K23" s="1008"/>
    </row>
    <row r="24" spans="1:13" ht="18.75" x14ac:dyDescent="0.35">
      <c r="A24" s="991" t="s">
        <v>833</v>
      </c>
    </row>
    <row r="25" spans="1:13" x14ac:dyDescent="0.2">
      <c r="A25" s="466"/>
    </row>
    <row r="26" spans="1:13" ht="16.5" x14ac:dyDescent="0.2">
      <c r="A26" s="287" t="s">
        <v>705</v>
      </c>
      <c r="B26" s="287"/>
      <c r="C26" s="287"/>
      <c r="D26" s="287"/>
      <c r="E26" s="287"/>
      <c r="F26" s="287"/>
      <c r="G26" s="287"/>
      <c r="J26" s="340"/>
    </row>
    <row r="27" spans="1:13" x14ac:dyDescent="0.2">
      <c r="A27" s="738" t="s">
        <v>706</v>
      </c>
    </row>
    <row r="28" spans="1:13" x14ac:dyDescent="0.2">
      <c r="A28" s="738" t="s">
        <v>707</v>
      </c>
    </row>
  </sheetData>
  <mergeCells count="5">
    <mergeCell ref="A1:I1"/>
    <mergeCell ref="A2:I2"/>
    <mergeCell ref="A4:A5"/>
    <mergeCell ref="B4:I4"/>
    <mergeCell ref="A23:K23"/>
  </mergeCells>
  <printOptions horizontalCentered="1"/>
  <pageMargins left="0.75" right="0.75" top="0.75" bottom="0.92" header="0.75" footer="0.63"/>
  <pageSetup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topLeftCell="A54" zoomScale="180" zoomScaleNormal="180" workbookViewId="0">
      <selection activeCell="A3" sqref="A3"/>
    </sheetView>
  </sheetViews>
  <sheetFormatPr defaultRowHeight="15" x14ac:dyDescent="0.25"/>
  <sheetData>
    <row r="1" spans="1:9" x14ac:dyDescent="0.25">
      <c r="A1" s="1115" t="s">
        <v>317</v>
      </c>
      <c r="B1" s="1115"/>
      <c r="C1" s="1115"/>
      <c r="D1" s="1115"/>
      <c r="E1" s="1115"/>
      <c r="F1" s="1115"/>
      <c r="G1" s="1115"/>
      <c r="H1" s="1115"/>
      <c r="I1" s="195"/>
    </row>
    <row r="2" spans="1:9" x14ac:dyDescent="0.25">
      <c r="A2" s="1115" t="s">
        <v>318</v>
      </c>
      <c r="B2" s="1115"/>
      <c r="C2" s="1115"/>
      <c r="D2" s="1115"/>
      <c r="E2" s="1115"/>
      <c r="F2" s="1115"/>
      <c r="G2" s="1115"/>
      <c r="H2" s="1115"/>
      <c r="I2" s="195"/>
    </row>
    <row r="3" spans="1:9" x14ac:dyDescent="0.25">
      <c r="A3" t="s">
        <v>415</v>
      </c>
    </row>
    <row r="4" spans="1:9" x14ac:dyDescent="0.25">
      <c r="A4" s="196" t="s">
        <v>319</v>
      </c>
    </row>
    <row r="5" spans="1:9" x14ac:dyDescent="0.25">
      <c r="A5" s="197" t="s">
        <v>320</v>
      </c>
    </row>
    <row r="7" spans="1:9" x14ac:dyDescent="0.25">
      <c r="A7" s="196" t="s">
        <v>321</v>
      </c>
    </row>
    <row r="8" spans="1:9" x14ac:dyDescent="0.25">
      <c r="A8" s="197" t="s">
        <v>322</v>
      </c>
      <c r="E8" s="198"/>
      <c r="F8" s="199"/>
    </row>
    <row r="9" spans="1:9" x14ac:dyDescent="0.25">
      <c r="A9" s="197" t="s">
        <v>323</v>
      </c>
      <c r="E9" s="198"/>
      <c r="F9" s="199"/>
    </row>
    <row r="10" spans="1:9" x14ac:dyDescent="0.25">
      <c r="E10" s="198"/>
      <c r="F10" s="199"/>
    </row>
    <row r="11" spans="1:9" x14ac:dyDescent="0.25">
      <c r="B11" s="198" t="s">
        <v>324</v>
      </c>
      <c r="C11" s="200" t="s">
        <v>325</v>
      </c>
      <c r="D11" s="197" t="s">
        <v>326</v>
      </c>
      <c r="E11" s="198"/>
      <c r="F11" s="199"/>
    </row>
    <row r="12" spans="1:9" x14ac:dyDescent="0.25">
      <c r="E12" s="198"/>
      <c r="F12" s="199"/>
    </row>
    <row r="13" spans="1:9" x14ac:dyDescent="0.25">
      <c r="A13" s="197" t="s">
        <v>327</v>
      </c>
      <c r="B13" s="198" t="s">
        <v>324</v>
      </c>
      <c r="C13" s="200" t="s">
        <v>325</v>
      </c>
      <c r="D13" s="197" t="s">
        <v>328</v>
      </c>
      <c r="E13" s="198"/>
      <c r="F13" s="199"/>
    </row>
    <row r="14" spans="1:9" x14ac:dyDescent="0.25">
      <c r="B14" s="198" t="s">
        <v>329</v>
      </c>
      <c r="C14" s="200" t="s">
        <v>325</v>
      </c>
      <c r="D14" s="197" t="s">
        <v>330</v>
      </c>
      <c r="E14" s="198"/>
      <c r="F14" s="199"/>
    </row>
    <row r="15" spans="1:9" x14ac:dyDescent="0.25">
      <c r="B15" s="198" t="s">
        <v>331</v>
      </c>
      <c r="C15" s="200" t="s">
        <v>325</v>
      </c>
      <c r="D15" s="197" t="s">
        <v>332</v>
      </c>
      <c r="E15" s="198"/>
      <c r="F15" s="199"/>
    </row>
    <row r="16" spans="1:9" x14ac:dyDescent="0.25">
      <c r="B16" s="198" t="s">
        <v>333</v>
      </c>
      <c r="C16" s="200" t="s">
        <v>325</v>
      </c>
      <c r="D16" s="197" t="s">
        <v>334</v>
      </c>
      <c r="E16" s="198"/>
      <c r="F16" s="199"/>
    </row>
    <row r="17" spans="1:7" x14ac:dyDescent="0.25">
      <c r="B17" s="198" t="s">
        <v>335</v>
      </c>
      <c r="C17" s="200" t="s">
        <v>325</v>
      </c>
      <c r="D17" s="197" t="s">
        <v>336</v>
      </c>
      <c r="E17" s="198"/>
      <c r="F17" s="199"/>
    </row>
    <row r="18" spans="1:7" x14ac:dyDescent="0.25">
      <c r="B18" s="198" t="s">
        <v>337</v>
      </c>
      <c r="C18" s="200" t="s">
        <v>325</v>
      </c>
      <c r="D18" s="197" t="s">
        <v>338</v>
      </c>
      <c r="E18" s="198"/>
      <c r="F18" s="199"/>
    </row>
    <row r="19" spans="1:7" x14ac:dyDescent="0.25">
      <c r="E19" s="198"/>
      <c r="F19" s="199"/>
    </row>
    <row r="20" spans="1:7" x14ac:dyDescent="0.25">
      <c r="A20" s="197" t="s">
        <v>339</v>
      </c>
    </row>
    <row r="22" spans="1:7" x14ac:dyDescent="0.25">
      <c r="D22" s="201" t="s">
        <v>340</v>
      </c>
      <c r="E22" s="201" t="s">
        <v>341</v>
      </c>
      <c r="F22" s="201" t="s">
        <v>164</v>
      </c>
      <c r="G22" s="202"/>
    </row>
    <row r="23" spans="1:7" x14ac:dyDescent="0.25">
      <c r="B23" s="198" t="s">
        <v>342</v>
      </c>
      <c r="C23" s="200" t="s">
        <v>325</v>
      </c>
      <c r="D23" s="203">
        <v>0.18</v>
      </c>
      <c r="E23" s="204">
        <v>1.8</v>
      </c>
      <c r="F23" s="204">
        <v>6</v>
      </c>
      <c r="G23" s="204"/>
    </row>
    <row r="24" spans="1:7" x14ac:dyDescent="0.25">
      <c r="B24" s="198" t="s">
        <v>343</v>
      </c>
      <c r="C24" s="200" t="s">
        <v>325</v>
      </c>
      <c r="D24" s="204">
        <v>1</v>
      </c>
      <c r="E24" s="204">
        <v>1</v>
      </c>
      <c r="F24" s="204">
        <v>1</v>
      </c>
      <c r="G24" s="205"/>
    </row>
    <row r="25" spans="1:7" x14ac:dyDescent="0.25">
      <c r="B25" s="198" t="s">
        <v>344</v>
      </c>
      <c r="C25" s="206" t="s">
        <v>325</v>
      </c>
      <c r="D25" s="204">
        <v>0.2</v>
      </c>
      <c r="E25" s="204">
        <v>0.2</v>
      </c>
      <c r="F25" s="204">
        <v>0.3</v>
      </c>
      <c r="G25" s="205"/>
    </row>
    <row r="26" spans="1:7" x14ac:dyDescent="0.25">
      <c r="B26" s="198" t="s">
        <v>345</v>
      </c>
      <c r="C26" s="206" t="s">
        <v>325</v>
      </c>
      <c r="D26" s="204">
        <v>0.5</v>
      </c>
      <c r="E26" s="204">
        <v>0.5</v>
      </c>
      <c r="F26" s="204">
        <v>0.3</v>
      </c>
      <c r="G26" s="205"/>
    </row>
    <row r="27" spans="1:7" x14ac:dyDescent="0.25">
      <c r="C27" s="198"/>
      <c r="D27" s="199"/>
    </row>
    <row r="28" spans="1:7" x14ac:dyDescent="0.25">
      <c r="A28" s="197" t="s">
        <v>346</v>
      </c>
      <c r="C28" s="198"/>
      <c r="D28" s="198" t="s">
        <v>329</v>
      </c>
      <c r="E28" s="200" t="s">
        <v>325</v>
      </c>
      <c r="F28" s="207">
        <v>11</v>
      </c>
      <c r="G28" s="197" t="s">
        <v>347</v>
      </c>
    </row>
    <row r="29" spans="1:7" x14ac:dyDescent="0.25">
      <c r="C29" s="198"/>
      <c r="D29" s="199"/>
    </row>
    <row r="30" spans="1:7" x14ac:dyDescent="0.25">
      <c r="A30" s="197" t="s">
        <v>348</v>
      </c>
      <c r="D30" s="198" t="s">
        <v>331</v>
      </c>
      <c r="E30" s="200" t="s">
        <v>325</v>
      </c>
      <c r="F30" s="208">
        <v>0.2</v>
      </c>
      <c r="G30" s="197" t="s">
        <v>347</v>
      </c>
    </row>
    <row r="31" spans="1:7" x14ac:dyDescent="0.25">
      <c r="D31" s="198"/>
      <c r="E31" s="200"/>
      <c r="F31" s="197" t="s">
        <v>349</v>
      </c>
    </row>
    <row r="32" spans="1:7" x14ac:dyDescent="0.25">
      <c r="E32" s="209"/>
      <c r="F32" s="199"/>
    </row>
    <row r="33" spans="1:7" x14ac:dyDescent="0.25">
      <c r="A33" s="197" t="s">
        <v>350</v>
      </c>
      <c r="D33" s="198" t="s">
        <v>333</v>
      </c>
      <c r="E33" s="200" t="s">
        <v>325</v>
      </c>
      <c r="F33" s="207">
        <v>20</v>
      </c>
      <c r="G33" s="198" t="s">
        <v>351</v>
      </c>
    </row>
    <row r="34" spans="1:7" x14ac:dyDescent="0.25">
      <c r="E34" s="209"/>
      <c r="F34" s="199"/>
    </row>
    <row r="35" spans="1:7" x14ac:dyDescent="0.25">
      <c r="A35" s="197" t="s">
        <v>352</v>
      </c>
      <c r="E35" s="198"/>
      <c r="F35" s="204"/>
      <c r="G35" s="210"/>
    </row>
    <row r="36" spans="1:7" x14ac:dyDescent="0.25">
      <c r="E36" s="198"/>
      <c r="F36" s="211"/>
      <c r="G36" s="210"/>
    </row>
    <row r="37" spans="1:7" x14ac:dyDescent="0.25">
      <c r="D37" s="201" t="s">
        <v>340</v>
      </c>
      <c r="E37" s="201" t="s">
        <v>341</v>
      </c>
      <c r="F37" s="201" t="s">
        <v>164</v>
      </c>
      <c r="G37" s="210"/>
    </row>
    <row r="38" spans="1:7" x14ac:dyDescent="0.25">
      <c r="B38" s="198" t="s">
        <v>353</v>
      </c>
      <c r="C38" s="200" t="s">
        <v>325</v>
      </c>
      <c r="D38" s="198">
        <v>3.6000000000000002E-4</v>
      </c>
      <c r="E38" s="198">
        <v>4.6999999999999999E-4</v>
      </c>
      <c r="F38" s="198">
        <v>4.6999999999999999E-4</v>
      </c>
      <c r="G38" s="210"/>
    </row>
    <row r="39" spans="1:7" x14ac:dyDescent="0.25">
      <c r="A39" s="210"/>
      <c r="B39" s="210"/>
      <c r="C39" s="210"/>
      <c r="D39" s="210"/>
      <c r="E39" s="212"/>
      <c r="F39" s="213"/>
      <c r="G39" s="210"/>
    </row>
    <row r="40" spans="1:7" x14ac:dyDescent="0.25">
      <c r="A40" s="197" t="s">
        <v>354</v>
      </c>
    </row>
    <row r="41" spans="1:7" x14ac:dyDescent="0.25">
      <c r="A41" s="197" t="s">
        <v>355</v>
      </c>
      <c r="F41" s="199"/>
    </row>
    <row r="42" spans="1:7" x14ac:dyDescent="0.25">
      <c r="A42" s="197" t="s">
        <v>356</v>
      </c>
      <c r="F42" s="199"/>
    </row>
    <row r="43" spans="1:7" x14ac:dyDescent="0.25">
      <c r="F43" s="199"/>
    </row>
    <row r="44" spans="1:7" x14ac:dyDescent="0.25">
      <c r="B44" s="198" t="s">
        <v>337</v>
      </c>
      <c r="C44" s="200" t="s">
        <v>325</v>
      </c>
      <c r="D44" s="198">
        <v>265</v>
      </c>
      <c r="E44" s="199" t="s">
        <v>357</v>
      </c>
      <c r="F44" s="199"/>
    </row>
    <row r="45" spans="1:7" x14ac:dyDescent="0.25">
      <c r="B45" s="198"/>
      <c r="C45" s="200"/>
      <c r="D45" s="198"/>
      <c r="E45" s="199"/>
      <c r="F45" s="199"/>
    </row>
    <row r="46" spans="1:7" x14ac:dyDescent="0.25">
      <c r="A46" s="214" t="s">
        <v>358</v>
      </c>
      <c r="B46" s="215"/>
      <c r="C46" s="216"/>
      <c r="D46" s="215"/>
      <c r="E46" s="217"/>
      <c r="F46" s="217"/>
      <c r="G46" s="214"/>
    </row>
    <row r="47" spans="1:7" x14ac:dyDescent="0.25">
      <c r="A47" s="214"/>
      <c r="B47" s="215"/>
      <c r="C47" s="216"/>
      <c r="D47" s="215"/>
      <c r="E47" s="217"/>
      <c r="F47" s="217"/>
      <c r="G47" s="214"/>
    </row>
    <row r="48" spans="1:7" x14ac:dyDescent="0.25">
      <c r="A48" s="214"/>
      <c r="B48" s="214"/>
      <c r="C48" s="214"/>
      <c r="D48" s="218" t="s">
        <v>359</v>
      </c>
      <c r="E48" s="216" t="s">
        <v>325</v>
      </c>
      <c r="F48" s="209">
        <v>32.200000000000003</v>
      </c>
      <c r="G48" s="217" t="s">
        <v>360</v>
      </c>
    </row>
    <row r="49" spans="1:8" x14ac:dyDescent="0.25">
      <c r="A49" s="214"/>
      <c r="B49" s="214"/>
      <c r="C49" s="214"/>
      <c r="D49" s="218" t="s">
        <v>361</v>
      </c>
      <c r="E49" s="216" t="s">
        <v>325</v>
      </c>
      <c r="F49" s="219">
        <v>1</v>
      </c>
      <c r="G49" s="217" t="s">
        <v>362</v>
      </c>
      <c r="H49" s="220"/>
    </row>
    <row r="50" spans="1:8" x14ac:dyDescent="0.25">
      <c r="A50" s="214"/>
      <c r="B50" s="214"/>
      <c r="C50" s="214"/>
      <c r="D50" s="218" t="s">
        <v>363</v>
      </c>
      <c r="E50" s="216" t="s">
        <v>325</v>
      </c>
      <c r="F50" s="219">
        <v>2</v>
      </c>
      <c r="G50" s="217" t="s">
        <v>362</v>
      </c>
      <c r="H50" s="220"/>
    </row>
    <row r="51" spans="1:8" x14ac:dyDescent="0.25">
      <c r="A51" s="214"/>
      <c r="B51" s="214"/>
      <c r="C51" s="214"/>
      <c r="D51" s="218" t="s">
        <v>364</v>
      </c>
      <c r="E51" s="216" t="s">
        <v>325</v>
      </c>
      <c r="F51" s="219">
        <v>11753.000000000002</v>
      </c>
      <c r="G51" s="217"/>
      <c r="H51" s="214"/>
    </row>
    <row r="52" spans="1:8" x14ac:dyDescent="0.25">
      <c r="A52" s="214"/>
      <c r="B52" s="214"/>
      <c r="C52" s="214"/>
      <c r="D52" s="218" t="s">
        <v>365</v>
      </c>
      <c r="E52" s="216" t="s">
        <v>325</v>
      </c>
      <c r="F52" s="219">
        <v>23506.000000000004</v>
      </c>
      <c r="G52" s="217"/>
      <c r="H52" s="214"/>
    </row>
    <row r="53" spans="1:8" x14ac:dyDescent="0.25">
      <c r="E53" s="221"/>
      <c r="F53" s="199"/>
    </row>
    <row r="54" spans="1:8" x14ac:dyDescent="0.25">
      <c r="A54" s="196" t="s">
        <v>366</v>
      </c>
    </row>
    <row r="55" spans="1:8" x14ac:dyDescent="0.25">
      <c r="A55" s="197" t="s">
        <v>367</v>
      </c>
      <c r="D55" s="200" t="s">
        <v>325</v>
      </c>
      <c r="E55" s="197" t="s">
        <v>326</v>
      </c>
    </row>
    <row r="56" spans="1:8" x14ac:dyDescent="0.25">
      <c r="D56" s="200" t="s">
        <v>325</v>
      </c>
      <c r="E56" s="222" t="s">
        <v>368</v>
      </c>
    </row>
    <row r="57" spans="1:8" x14ac:dyDescent="0.25">
      <c r="D57" s="200" t="s">
        <v>325</v>
      </c>
      <c r="E57" s="223">
        <v>4.4235016149700587E-2</v>
      </c>
    </row>
    <row r="59" spans="1:8" x14ac:dyDescent="0.25">
      <c r="A59" s="197" t="s">
        <v>369</v>
      </c>
      <c r="D59" s="200" t="s">
        <v>325</v>
      </c>
      <c r="E59" s="197" t="s">
        <v>326</v>
      </c>
    </row>
    <row r="60" spans="1:8" x14ac:dyDescent="0.25">
      <c r="D60" s="200" t="s">
        <v>325</v>
      </c>
      <c r="E60" s="222" t="s">
        <v>370</v>
      </c>
    </row>
    <row r="61" spans="1:8" x14ac:dyDescent="0.25">
      <c r="D61" s="200" t="s">
        <v>325</v>
      </c>
      <c r="E61" s="224">
        <v>0.44320769574358126</v>
      </c>
    </row>
    <row r="63" spans="1:8" x14ac:dyDescent="0.25">
      <c r="A63" s="197" t="s">
        <v>371</v>
      </c>
      <c r="D63" s="200" t="s">
        <v>325</v>
      </c>
      <c r="E63" s="197" t="s">
        <v>326</v>
      </c>
    </row>
    <row r="64" spans="1:8" x14ac:dyDescent="0.25">
      <c r="D64" s="200" t="s">
        <v>325</v>
      </c>
      <c r="E64" s="222" t="s">
        <v>372</v>
      </c>
    </row>
    <row r="65" spans="1:5" x14ac:dyDescent="0.25">
      <c r="D65" s="200" t="s">
        <v>325</v>
      </c>
      <c r="E65" s="224">
        <v>1.7562753640545032</v>
      </c>
    </row>
    <row r="67" spans="1:5" x14ac:dyDescent="0.25">
      <c r="A67" s="197" t="s">
        <v>373</v>
      </c>
      <c r="D67" s="200" t="s">
        <v>325</v>
      </c>
      <c r="E67" s="225" t="s">
        <v>374</v>
      </c>
    </row>
    <row r="68" spans="1:5" x14ac:dyDescent="0.25">
      <c r="C68" s="200"/>
      <c r="D68" s="226"/>
    </row>
    <row r="69" spans="1:5" x14ac:dyDescent="0.25">
      <c r="A69" s="196" t="s">
        <v>375</v>
      </c>
    </row>
    <row r="70" spans="1:5" x14ac:dyDescent="0.25">
      <c r="A70" s="1116" t="s">
        <v>376</v>
      </c>
      <c r="B70" s="227" t="s">
        <v>377</v>
      </c>
      <c r="C70" s="227" t="s">
        <v>378</v>
      </c>
    </row>
    <row r="71" spans="1:5" x14ac:dyDescent="0.25">
      <c r="A71" s="1117"/>
      <c r="B71" s="228" t="s">
        <v>379</v>
      </c>
      <c r="C71" s="228" t="s">
        <v>379</v>
      </c>
    </row>
    <row r="72" spans="1:5" x14ac:dyDescent="0.25">
      <c r="A72" s="229" t="s">
        <v>164</v>
      </c>
      <c r="B72" s="230">
        <v>10.320752176866289</v>
      </c>
      <c r="C72" s="230">
        <v>20.641504353732579</v>
      </c>
    </row>
    <row r="73" spans="1:5" x14ac:dyDescent="0.25">
      <c r="A73" s="229" t="s">
        <v>341</v>
      </c>
      <c r="B73" s="231">
        <v>2.6045100240371557</v>
      </c>
      <c r="C73" s="231">
        <v>5.2090200480743114</v>
      </c>
    </row>
    <row r="74" spans="1:5" x14ac:dyDescent="0.25">
      <c r="A74" s="229" t="s">
        <v>340</v>
      </c>
      <c r="B74" s="231">
        <v>0.25994707240371556</v>
      </c>
      <c r="C74" s="230">
        <v>0.51989414480743112</v>
      </c>
    </row>
    <row r="75" spans="1:5" x14ac:dyDescent="0.25">
      <c r="B75" s="1118"/>
      <c r="C75" s="1118"/>
    </row>
  </sheetData>
  <mergeCells count="4">
    <mergeCell ref="A1:H1"/>
    <mergeCell ref="A2:H2"/>
    <mergeCell ref="A70:A71"/>
    <mergeCell ref="B75:C75"/>
  </mergeCells>
  <pageMargins left="0.7" right="0.7" top="0.75" bottom="0.75" header="0.3" footer="0.3"/>
  <pageSetup scale="62" orientation="portrait" r:id="rId1"/>
  <headerFooter>
    <oddFooter>&amp;LWorksheet: &amp;A
File Name: &amp;F&amp;RForm D 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workbookViewId="0">
      <selection activeCell="A3" sqref="A3"/>
    </sheetView>
  </sheetViews>
  <sheetFormatPr defaultRowHeight="15" x14ac:dyDescent="0.25"/>
  <sheetData>
    <row r="1" spans="1:9" x14ac:dyDescent="0.25">
      <c r="A1" s="1115" t="s">
        <v>317</v>
      </c>
      <c r="B1" s="1115"/>
      <c r="C1" s="1115"/>
      <c r="D1" s="1115"/>
      <c r="E1" s="1115"/>
      <c r="F1" s="1115"/>
      <c r="G1" s="1115"/>
      <c r="H1" s="1115"/>
      <c r="I1" s="195"/>
    </row>
    <row r="2" spans="1:9" x14ac:dyDescent="0.25">
      <c r="A2" s="1115" t="s">
        <v>318</v>
      </c>
      <c r="B2" s="1115"/>
      <c r="C2" s="1115"/>
      <c r="D2" s="1115"/>
      <c r="E2" s="1115"/>
      <c r="F2" s="1115"/>
      <c r="G2" s="1115"/>
      <c r="H2" s="1115"/>
      <c r="I2" s="195"/>
    </row>
    <row r="3" spans="1:9" x14ac:dyDescent="0.25">
      <c r="A3" t="s">
        <v>415</v>
      </c>
    </row>
    <row r="4" spans="1:9" x14ac:dyDescent="0.25">
      <c r="A4" s="196" t="s">
        <v>319</v>
      </c>
    </row>
    <row r="5" spans="1:9" x14ac:dyDescent="0.25">
      <c r="A5" s="197" t="s">
        <v>380</v>
      </c>
    </row>
    <row r="7" spans="1:9" x14ac:dyDescent="0.25">
      <c r="A7" s="196" t="s">
        <v>321</v>
      </c>
    </row>
    <row r="8" spans="1:9" x14ac:dyDescent="0.25">
      <c r="A8" s="197" t="s">
        <v>381</v>
      </c>
      <c r="E8" s="198"/>
      <c r="F8" s="199"/>
    </row>
    <row r="9" spans="1:9" x14ac:dyDescent="0.25">
      <c r="A9" s="197" t="s">
        <v>382</v>
      </c>
      <c r="E9" s="198"/>
      <c r="F9" s="199"/>
    </row>
    <row r="10" spans="1:9" x14ac:dyDescent="0.25">
      <c r="E10" s="198"/>
      <c r="F10" s="199"/>
    </row>
    <row r="11" spans="1:9" x14ac:dyDescent="0.25">
      <c r="B11" s="198" t="s">
        <v>324</v>
      </c>
      <c r="C11" s="200" t="s">
        <v>325</v>
      </c>
      <c r="D11" s="197" t="s">
        <v>383</v>
      </c>
      <c r="E11" s="198"/>
      <c r="F11" s="199"/>
    </row>
    <row r="12" spans="1:9" x14ac:dyDescent="0.25">
      <c r="E12" s="198"/>
      <c r="F12" s="199"/>
    </row>
    <row r="13" spans="1:9" x14ac:dyDescent="0.25">
      <c r="A13" s="197" t="s">
        <v>327</v>
      </c>
      <c r="B13" s="198" t="s">
        <v>324</v>
      </c>
      <c r="C13" s="200" t="s">
        <v>325</v>
      </c>
      <c r="D13" s="197" t="s">
        <v>384</v>
      </c>
      <c r="E13" s="198"/>
      <c r="F13" s="199"/>
    </row>
    <row r="14" spans="1:9" x14ac:dyDescent="0.25">
      <c r="B14" s="198" t="s">
        <v>385</v>
      </c>
      <c r="C14" s="200" t="s">
        <v>325</v>
      </c>
      <c r="D14" s="197" t="s">
        <v>386</v>
      </c>
      <c r="E14" s="198"/>
      <c r="F14" s="199"/>
    </row>
    <row r="15" spans="1:9" x14ac:dyDescent="0.25">
      <c r="B15" s="198" t="s">
        <v>387</v>
      </c>
      <c r="C15" s="200" t="s">
        <v>325</v>
      </c>
      <c r="D15" s="197" t="s">
        <v>388</v>
      </c>
      <c r="E15" s="198"/>
      <c r="F15" s="199"/>
    </row>
    <row r="16" spans="1:9" x14ac:dyDescent="0.25">
      <c r="B16" s="198" t="s">
        <v>389</v>
      </c>
      <c r="C16" s="200" t="s">
        <v>325</v>
      </c>
      <c r="D16" s="197" t="s">
        <v>390</v>
      </c>
      <c r="E16" s="198"/>
      <c r="F16" s="199"/>
    </row>
    <row r="17" spans="1:6" x14ac:dyDescent="0.25">
      <c r="B17" s="198" t="s">
        <v>335</v>
      </c>
      <c r="C17" s="200" t="s">
        <v>325</v>
      </c>
      <c r="D17" s="197" t="s">
        <v>336</v>
      </c>
      <c r="E17" s="198"/>
      <c r="F17" s="199"/>
    </row>
    <row r="18" spans="1:6" x14ac:dyDescent="0.25">
      <c r="B18" s="198" t="s">
        <v>337</v>
      </c>
      <c r="C18" s="200" t="s">
        <v>325</v>
      </c>
      <c r="D18" s="197" t="s">
        <v>338</v>
      </c>
      <c r="E18" s="198"/>
      <c r="F18" s="199"/>
    </row>
    <row r="19" spans="1:6" x14ac:dyDescent="0.25">
      <c r="B19" s="198" t="s">
        <v>391</v>
      </c>
      <c r="C19" s="200" t="s">
        <v>325</v>
      </c>
      <c r="D19" s="197" t="s">
        <v>392</v>
      </c>
      <c r="E19" s="198"/>
      <c r="F19" s="199"/>
    </row>
    <row r="20" spans="1:6" x14ac:dyDescent="0.25">
      <c r="E20" s="198"/>
      <c r="F20" s="199"/>
    </row>
    <row r="21" spans="1:6" x14ac:dyDescent="0.25">
      <c r="A21" s="197" t="s">
        <v>393</v>
      </c>
    </row>
    <row r="23" spans="1:6" x14ac:dyDescent="0.25">
      <c r="D23" s="201" t="s">
        <v>340</v>
      </c>
      <c r="E23" s="201" t="s">
        <v>341</v>
      </c>
      <c r="F23" s="201" t="s">
        <v>164</v>
      </c>
    </row>
    <row r="24" spans="1:6" x14ac:dyDescent="0.25">
      <c r="B24" s="198" t="s">
        <v>342</v>
      </c>
      <c r="C24" s="200" t="s">
        <v>325</v>
      </c>
      <c r="D24" s="198">
        <v>2.3999999999999998E-3</v>
      </c>
      <c r="E24" s="198">
        <v>1.6E-2</v>
      </c>
      <c r="F24" s="198">
        <v>8.2000000000000003E-2</v>
      </c>
    </row>
    <row r="25" spans="1:6" x14ac:dyDescent="0.25">
      <c r="C25" s="198"/>
      <c r="D25" s="199"/>
    </row>
    <row r="26" spans="1:6" x14ac:dyDescent="0.25">
      <c r="A26" s="197" t="s">
        <v>394</v>
      </c>
      <c r="C26" s="198"/>
      <c r="D26" s="199"/>
    </row>
    <row r="27" spans="1:6" x14ac:dyDescent="0.25">
      <c r="A27" s="197" t="s">
        <v>395</v>
      </c>
      <c r="C27" s="198"/>
      <c r="D27" s="199"/>
    </row>
    <row r="28" spans="1:6" x14ac:dyDescent="0.25">
      <c r="A28" s="197" t="s">
        <v>396</v>
      </c>
      <c r="C28" s="198"/>
      <c r="D28" s="199"/>
    </row>
    <row r="29" spans="1:6" x14ac:dyDescent="0.25">
      <c r="C29" s="198"/>
      <c r="D29" s="199"/>
    </row>
    <row r="30" spans="1:6" x14ac:dyDescent="0.25">
      <c r="B30" s="198" t="s">
        <v>387</v>
      </c>
      <c r="C30" s="200" t="s">
        <v>325</v>
      </c>
      <c r="D30" s="199" t="s">
        <v>397</v>
      </c>
      <c r="E30" s="199"/>
    </row>
    <row r="31" spans="1:6" x14ac:dyDescent="0.25">
      <c r="C31" s="200" t="s">
        <v>325</v>
      </c>
      <c r="D31" s="224">
        <v>0.43333333333333346</v>
      </c>
      <c r="E31" s="199" t="s">
        <v>398</v>
      </c>
    </row>
    <row r="32" spans="1:6" x14ac:dyDescent="0.25">
      <c r="C32" s="198"/>
      <c r="D32" s="199"/>
    </row>
    <row r="33" spans="1:7" x14ac:dyDescent="0.25">
      <c r="A33" s="197" t="s">
        <v>399</v>
      </c>
      <c r="C33" s="198"/>
      <c r="D33" s="199"/>
    </row>
    <row r="34" spans="1:7" x14ac:dyDescent="0.25">
      <c r="C34" s="198"/>
      <c r="D34" s="199"/>
    </row>
    <row r="35" spans="1:7" x14ac:dyDescent="0.25">
      <c r="B35" s="198" t="s">
        <v>389</v>
      </c>
      <c r="C35" s="200" t="s">
        <v>325</v>
      </c>
      <c r="D35" s="209">
        <v>2.4</v>
      </c>
      <c r="E35" s="199" t="s">
        <v>400</v>
      </c>
    </row>
    <row r="36" spans="1:7" x14ac:dyDescent="0.25">
      <c r="E36" s="209"/>
      <c r="F36" s="199"/>
    </row>
    <row r="37" spans="1:7" x14ac:dyDescent="0.25">
      <c r="A37" s="197" t="s">
        <v>401</v>
      </c>
      <c r="E37" s="198"/>
      <c r="F37" s="199"/>
    </row>
    <row r="38" spans="1:7" x14ac:dyDescent="0.25">
      <c r="E38" s="198"/>
      <c r="F38" s="199"/>
      <c r="G38" s="198"/>
    </row>
    <row r="39" spans="1:7" x14ac:dyDescent="0.25">
      <c r="D39" s="201" t="s">
        <v>340</v>
      </c>
      <c r="E39" s="201" t="s">
        <v>341</v>
      </c>
      <c r="F39" s="201" t="s">
        <v>164</v>
      </c>
      <c r="G39" s="198"/>
    </row>
    <row r="40" spans="1:7" x14ac:dyDescent="0.25">
      <c r="B40" s="198" t="s">
        <v>353</v>
      </c>
      <c r="C40" s="200" t="s">
        <v>325</v>
      </c>
      <c r="D40" s="198">
        <v>3.6000000000000002E-4</v>
      </c>
      <c r="E40" s="198">
        <v>4.6999999999999999E-4</v>
      </c>
      <c r="F40" s="198">
        <v>4.6999999999999999E-4</v>
      </c>
    </row>
    <row r="41" spans="1:7" x14ac:dyDescent="0.25">
      <c r="C41" s="198"/>
      <c r="D41" s="199"/>
      <c r="E41" s="209"/>
      <c r="F41" s="199"/>
    </row>
    <row r="42" spans="1:7" x14ac:dyDescent="0.25">
      <c r="A42" s="197" t="s">
        <v>402</v>
      </c>
    </row>
    <row r="43" spans="1:7" x14ac:dyDescent="0.25">
      <c r="A43" s="197" t="s">
        <v>403</v>
      </c>
    </row>
    <row r="44" spans="1:7" x14ac:dyDescent="0.25">
      <c r="A44" s="197" t="s">
        <v>356</v>
      </c>
    </row>
    <row r="45" spans="1:7" x14ac:dyDescent="0.25">
      <c r="F45" s="199"/>
    </row>
    <row r="46" spans="1:7" x14ac:dyDescent="0.25">
      <c r="B46" s="198" t="s">
        <v>337</v>
      </c>
      <c r="C46" s="200" t="s">
        <v>325</v>
      </c>
      <c r="D46" s="198">
        <v>265</v>
      </c>
      <c r="E46" s="199" t="s">
        <v>357</v>
      </c>
      <c r="F46" s="199"/>
    </row>
    <row r="47" spans="1:7" x14ac:dyDescent="0.25">
      <c r="B47" s="198"/>
      <c r="C47" s="200"/>
      <c r="D47" s="198"/>
      <c r="E47" s="199"/>
      <c r="F47" s="199"/>
    </row>
    <row r="48" spans="1:7" x14ac:dyDescent="0.25">
      <c r="A48" s="197" t="s">
        <v>404</v>
      </c>
      <c r="B48" s="198"/>
      <c r="C48" s="200"/>
      <c r="D48" s="198"/>
      <c r="E48" s="199"/>
      <c r="F48" s="199"/>
    </row>
    <row r="49" spans="1:7" x14ac:dyDescent="0.25">
      <c r="B49" s="198"/>
      <c r="C49" s="200"/>
      <c r="D49" s="198"/>
      <c r="E49" s="199"/>
      <c r="F49" s="199"/>
    </row>
    <row r="50" spans="1:7" x14ac:dyDescent="0.25">
      <c r="C50" s="232" t="s">
        <v>405</v>
      </c>
      <c r="D50" s="200" t="s">
        <v>325</v>
      </c>
      <c r="E50" s="219">
        <v>10200</v>
      </c>
      <c r="F50" s="199" t="s">
        <v>406</v>
      </c>
    </row>
    <row r="51" spans="1:7" x14ac:dyDescent="0.25">
      <c r="C51" s="232" t="s">
        <v>407</v>
      </c>
      <c r="D51" s="200" t="s">
        <v>325</v>
      </c>
      <c r="E51" s="219">
        <v>2550</v>
      </c>
      <c r="F51" s="199" t="s">
        <v>406</v>
      </c>
      <c r="G51" s="195" t="s">
        <v>408</v>
      </c>
    </row>
    <row r="52" spans="1:7" x14ac:dyDescent="0.25">
      <c r="C52" s="232" t="s">
        <v>409</v>
      </c>
      <c r="D52" s="200" t="s">
        <v>325</v>
      </c>
      <c r="E52" s="219">
        <v>5100</v>
      </c>
      <c r="F52" s="199" t="s">
        <v>406</v>
      </c>
      <c r="G52" s="195" t="s">
        <v>410</v>
      </c>
    </row>
    <row r="53" spans="1:7" x14ac:dyDescent="0.25">
      <c r="C53" s="232" t="s">
        <v>411</v>
      </c>
      <c r="D53" s="200" t="s">
        <v>325</v>
      </c>
      <c r="E53" s="215">
        <v>4.5</v>
      </c>
      <c r="F53" s="199" t="s">
        <v>360</v>
      </c>
    </row>
    <row r="54" spans="1:7" x14ac:dyDescent="0.25">
      <c r="C54" s="232" t="s">
        <v>364</v>
      </c>
      <c r="D54" s="200" t="s">
        <v>325</v>
      </c>
      <c r="E54" s="221">
        <v>4188375</v>
      </c>
      <c r="F54" s="199"/>
    </row>
    <row r="55" spans="1:7" x14ac:dyDescent="0.25">
      <c r="C55" s="232" t="s">
        <v>365</v>
      </c>
      <c r="D55" s="200" t="s">
        <v>325</v>
      </c>
      <c r="E55" s="221">
        <v>8376750</v>
      </c>
      <c r="F55" s="199"/>
    </row>
    <row r="56" spans="1:7" x14ac:dyDescent="0.25">
      <c r="E56" s="221"/>
      <c r="F56" s="199"/>
    </row>
    <row r="57" spans="1:7" x14ac:dyDescent="0.25">
      <c r="A57" s="196" t="s">
        <v>366</v>
      </c>
    </row>
    <row r="58" spans="1:7" x14ac:dyDescent="0.25">
      <c r="A58" s="197" t="s">
        <v>367</v>
      </c>
      <c r="D58" s="200" t="s">
        <v>325</v>
      </c>
      <c r="E58" s="197" t="s">
        <v>383</v>
      </c>
    </row>
    <row r="59" spans="1:7" x14ac:dyDescent="0.25">
      <c r="D59" s="200" t="s">
        <v>325</v>
      </c>
      <c r="E59" s="222" t="s">
        <v>412</v>
      </c>
    </row>
    <row r="60" spans="1:7" x14ac:dyDescent="0.25">
      <c r="D60" s="200" t="s">
        <v>325</v>
      </c>
      <c r="E60" s="233">
        <v>2.254895136071385E-4</v>
      </c>
    </row>
    <row r="61" spans="1:7" x14ac:dyDescent="0.25">
      <c r="A61" s="196"/>
    </row>
    <row r="62" spans="1:7" x14ac:dyDescent="0.25">
      <c r="A62" s="197" t="s">
        <v>369</v>
      </c>
      <c r="D62" s="200" t="s">
        <v>325</v>
      </c>
      <c r="E62" s="197" t="s">
        <v>383</v>
      </c>
    </row>
    <row r="63" spans="1:7" x14ac:dyDescent="0.25">
      <c r="D63" s="200" t="s">
        <v>325</v>
      </c>
      <c r="E63" s="222" t="s">
        <v>413</v>
      </c>
    </row>
    <row r="64" spans="1:7" x14ac:dyDescent="0.25">
      <c r="D64" s="200" t="s">
        <v>325</v>
      </c>
      <c r="E64" s="233">
        <v>3.0829552048695086E-3</v>
      </c>
    </row>
    <row r="66" spans="1:5" x14ac:dyDescent="0.25">
      <c r="A66" s="197" t="s">
        <v>371</v>
      </c>
      <c r="D66" s="200" t="s">
        <v>325</v>
      </c>
      <c r="E66" s="197" t="s">
        <v>383</v>
      </c>
    </row>
    <row r="67" spans="1:5" x14ac:dyDescent="0.25">
      <c r="D67" s="200" t="s">
        <v>325</v>
      </c>
      <c r="E67" s="222" t="s">
        <v>414</v>
      </c>
    </row>
    <row r="68" spans="1:5" x14ac:dyDescent="0.25">
      <c r="D68" s="200" t="s">
        <v>325</v>
      </c>
      <c r="E68" s="233">
        <v>1.7386999020846641E-2</v>
      </c>
    </row>
    <row r="69" spans="1:5" x14ac:dyDescent="0.25">
      <c r="D69" s="200"/>
      <c r="E69" s="234"/>
    </row>
    <row r="70" spans="1:5" x14ac:dyDescent="0.25">
      <c r="A70" s="197" t="s">
        <v>373</v>
      </c>
      <c r="D70" s="200" t="s">
        <v>325</v>
      </c>
      <c r="E70" s="225" t="s">
        <v>374</v>
      </c>
    </row>
    <row r="71" spans="1:5" x14ac:dyDescent="0.25">
      <c r="C71" s="200"/>
      <c r="D71" s="226"/>
    </row>
    <row r="72" spans="1:5" x14ac:dyDescent="0.25">
      <c r="A72" s="196" t="s">
        <v>375</v>
      </c>
    </row>
    <row r="73" spans="1:5" x14ac:dyDescent="0.25">
      <c r="A73" s="1116" t="s">
        <v>376</v>
      </c>
      <c r="B73" s="227" t="s">
        <v>377</v>
      </c>
      <c r="C73" s="227" t="s">
        <v>378</v>
      </c>
    </row>
    <row r="74" spans="1:5" x14ac:dyDescent="0.25">
      <c r="A74" s="1117"/>
      <c r="B74" s="228" t="s">
        <v>379</v>
      </c>
      <c r="C74" s="228" t="s">
        <v>379</v>
      </c>
    </row>
    <row r="75" spans="1:5" x14ac:dyDescent="0.25">
      <c r="A75" s="229" t="s">
        <v>164</v>
      </c>
      <c r="B75" s="231">
        <v>36.411636011969279</v>
      </c>
      <c r="C75" s="231">
        <v>72.823272023938557</v>
      </c>
    </row>
    <row r="76" spans="1:5" x14ac:dyDescent="0.25">
      <c r="A76" s="229" t="s">
        <v>341</v>
      </c>
      <c r="B76" s="230">
        <v>6.4562862530976632</v>
      </c>
      <c r="C76" s="230">
        <v>12.912572506195326</v>
      </c>
    </row>
    <row r="77" spans="1:5" x14ac:dyDescent="0.25">
      <c r="A77" s="229" t="s">
        <v>340</v>
      </c>
      <c r="B77" s="230">
        <v>0.4722173207771494</v>
      </c>
      <c r="C77" s="230">
        <v>0.94443464155429879</v>
      </c>
    </row>
    <row r="78" spans="1:5" x14ac:dyDescent="0.25">
      <c r="B78" s="1118"/>
      <c r="C78" s="1118"/>
    </row>
  </sheetData>
  <mergeCells count="4">
    <mergeCell ref="A1:H1"/>
    <mergeCell ref="A2:H2"/>
    <mergeCell ref="A73:A74"/>
    <mergeCell ref="B78:C78"/>
  </mergeCells>
  <pageMargins left="0.7" right="0.7" top="0.75" bottom="0.75" header="0.3" footer="0.3"/>
  <pageSetup scale="59" orientation="portrait" r:id="rId1"/>
  <headerFooter>
    <oddFooter>&amp;LWorksheet: &amp;A
File Name: &amp;F&amp;RForm D1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
  <sheetViews>
    <sheetView workbookViewId="0">
      <selection activeCell="M38" sqref="M38"/>
    </sheetView>
  </sheetViews>
  <sheetFormatPr defaultRowHeight="15" x14ac:dyDescent="0.25"/>
  <cols>
    <col min="2" max="2" width="34.140625" customWidth="1"/>
    <col min="6" max="7" width="17.5703125" customWidth="1"/>
  </cols>
  <sheetData>
    <row r="1" spans="1:20" ht="30" x14ac:dyDescent="0.25">
      <c r="A1" t="s">
        <v>171</v>
      </c>
      <c r="B1" t="s">
        <v>158</v>
      </c>
      <c r="C1" t="s">
        <v>159</v>
      </c>
      <c r="D1" t="s">
        <v>118</v>
      </c>
      <c r="E1" t="s">
        <v>172</v>
      </c>
      <c r="F1" t="s">
        <v>173</v>
      </c>
      <c r="G1" s="21" t="s">
        <v>178</v>
      </c>
      <c r="K1" t="s">
        <v>170</v>
      </c>
      <c r="L1" t="s">
        <v>170</v>
      </c>
      <c r="O1" t="s">
        <v>164</v>
      </c>
      <c r="P1" t="s">
        <v>164</v>
      </c>
      <c r="S1" t="s">
        <v>176</v>
      </c>
      <c r="T1" t="s">
        <v>176</v>
      </c>
    </row>
    <row r="2" spans="1:20" x14ac:dyDescent="0.25">
      <c r="H2" s="25" t="s">
        <v>160</v>
      </c>
      <c r="I2" s="25" t="s">
        <v>163</v>
      </c>
      <c r="K2" t="s">
        <v>168</v>
      </c>
      <c r="L2" t="s">
        <v>169</v>
      </c>
      <c r="M2" s="25" t="s">
        <v>164</v>
      </c>
      <c r="O2" t="s">
        <v>168</v>
      </c>
      <c r="P2" t="s">
        <v>169</v>
      </c>
      <c r="Q2" s="25" t="s">
        <v>176</v>
      </c>
      <c r="S2" t="s">
        <v>168</v>
      </c>
      <c r="T2" t="s">
        <v>169</v>
      </c>
    </row>
    <row r="3" spans="1:20" x14ac:dyDescent="0.25">
      <c r="H3" s="25"/>
      <c r="I3" s="27" t="s">
        <v>166</v>
      </c>
      <c r="M3" s="27" t="s">
        <v>166</v>
      </c>
      <c r="Q3" s="27" t="s">
        <v>166</v>
      </c>
    </row>
    <row r="4" spans="1:20" x14ac:dyDescent="0.25">
      <c r="A4" s="2">
        <v>35</v>
      </c>
      <c r="B4" s="3" t="s">
        <v>33</v>
      </c>
      <c r="C4" s="3" t="s">
        <v>43</v>
      </c>
      <c r="D4" s="8">
        <v>240</v>
      </c>
      <c r="E4" s="8" t="s">
        <v>113</v>
      </c>
      <c r="F4" s="4">
        <v>1977</v>
      </c>
      <c r="G4" s="13">
        <v>500</v>
      </c>
    </row>
    <row r="5" spans="1:20" x14ac:dyDescent="0.25">
      <c r="A5" s="2">
        <v>36</v>
      </c>
      <c r="B5" s="3" t="s">
        <v>34</v>
      </c>
      <c r="C5" s="3" t="s">
        <v>43</v>
      </c>
      <c r="D5" s="3">
        <v>240</v>
      </c>
      <c r="E5" s="3" t="s">
        <v>113</v>
      </c>
      <c r="F5" s="4">
        <v>1977</v>
      </c>
      <c r="G5" s="13">
        <v>500</v>
      </c>
    </row>
    <row r="6" spans="1:20" x14ac:dyDescent="0.25">
      <c r="A6" s="2">
        <v>31</v>
      </c>
      <c r="B6" s="3" t="s">
        <v>12</v>
      </c>
      <c r="C6" s="3" t="s">
        <v>24</v>
      </c>
      <c r="D6" s="3">
        <v>235</v>
      </c>
      <c r="E6" s="3" t="s">
        <v>113</v>
      </c>
      <c r="F6" s="4">
        <v>1994</v>
      </c>
      <c r="G6" s="13">
        <v>500</v>
      </c>
    </row>
    <row r="7" spans="1:20" x14ac:dyDescent="0.25">
      <c r="A7" s="2">
        <v>32</v>
      </c>
      <c r="B7" s="3" t="s">
        <v>13</v>
      </c>
      <c r="C7" s="3" t="s">
        <v>24</v>
      </c>
      <c r="D7" s="3">
        <v>235</v>
      </c>
      <c r="E7" s="3" t="s">
        <v>113</v>
      </c>
      <c r="F7" s="4">
        <v>1994</v>
      </c>
      <c r="G7" s="13">
        <v>500</v>
      </c>
    </row>
    <row r="8" spans="1:20" x14ac:dyDescent="0.25">
      <c r="A8" s="2">
        <v>33</v>
      </c>
      <c r="B8" s="3" t="s">
        <v>14</v>
      </c>
      <c r="C8" s="3" t="s">
        <v>24</v>
      </c>
      <c r="D8" s="3">
        <v>235</v>
      </c>
      <c r="E8" s="3" t="s">
        <v>113</v>
      </c>
      <c r="F8" s="4">
        <v>1994</v>
      </c>
      <c r="G8" s="13">
        <v>500</v>
      </c>
    </row>
    <row r="9" spans="1:20" x14ac:dyDescent="0.25">
      <c r="A9" s="2">
        <v>34</v>
      </c>
      <c r="B9" s="3" t="s">
        <v>32</v>
      </c>
      <c r="C9" s="3" t="s">
        <v>24</v>
      </c>
      <c r="D9" s="3">
        <v>235</v>
      </c>
      <c r="E9" s="3" t="s">
        <v>113</v>
      </c>
      <c r="F9" s="4">
        <v>1994</v>
      </c>
      <c r="G9" s="13">
        <v>500</v>
      </c>
    </row>
    <row r="10" spans="1:20" x14ac:dyDescent="0.25">
      <c r="A10" s="2">
        <v>38</v>
      </c>
      <c r="B10" s="3" t="s">
        <v>36</v>
      </c>
      <c r="C10" s="3" t="s">
        <v>45</v>
      </c>
      <c r="D10" s="3">
        <v>120</v>
      </c>
      <c r="E10" s="3" t="s">
        <v>113</v>
      </c>
      <c r="F10" s="4">
        <v>1996</v>
      </c>
      <c r="G10" s="13">
        <v>500</v>
      </c>
    </row>
    <row r="11" spans="1:20" x14ac:dyDescent="0.25">
      <c r="A11" s="2">
        <v>39</v>
      </c>
      <c r="B11" s="3" t="s">
        <v>37</v>
      </c>
      <c r="C11" s="3" t="s">
        <v>45</v>
      </c>
      <c r="D11" s="3">
        <v>120</v>
      </c>
      <c r="E11" s="3" t="s">
        <v>113</v>
      </c>
      <c r="F11" s="4">
        <v>1996</v>
      </c>
      <c r="G11" s="13">
        <v>500</v>
      </c>
    </row>
    <row r="12" spans="1:20" x14ac:dyDescent="0.25">
      <c r="A12" s="2">
        <v>29</v>
      </c>
      <c r="B12" s="3" t="s">
        <v>10</v>
      </c>
      <c r="C12" s="3" t="s">
        <v>22</v>
      </c>
      <c r="D12" s="3">
        <v>47</v>
      </c>
      <c r="E12" s="3" t="s">
        <v>113</v>
      </c>
      <c r="F12" s="4">
        <v>2005</v>
      </c>
      <c r="G12" s="13">
        <v>500</v>
      </c>
    </row>
    <row r="13" spans="1:20" x14ac:dyDescent="0.25">
      <c r="A13" s="2">
        <v>37</v>
      </c>
      <c r="B13" s="3" t="s">
        <v>35</v>
      </c>
      <c r="C13" s="3" t="s">
        <v>44</v>
      </c>
      <c r="D13" s="3">
        <v>105</v>
      </c>
      <c r="E13" s="3" t="s">
        <v>116</v>
      </c>
      <c r="F13" s="4">
        <v>2005</v>
      </c>
      <c r="G13" s="13">
        <v>500</v>
      </c>
      <c r="H13" s="25" t="s">
        <v>174</v>
      </c>
      <c r="I13">
        <v>7.8</v>
      </c>
      <c r="J13" t="s">
        <v>165</v>
      </c>
      <c r="M13">
        <v>0.6</v>
      </c>
      <c r="N13" t="s">
        <v>165</v>
      </c>
    </row>
    <row r="14" spans="1:20" x14ac:dyDescent="0.25">
      <c r="A14" s="2">
        <v>30</v>
      </c>
      <c r="B14" s="3" t="s">
        <v>11</v>
      </c>
      <c r="C14" s="3" t="s">
        <v>23</v>
      </c>
      <c r="D14" s="3">
        <v>275</v>
      </c>
      <c r="E14" s="3" t="s">
        <v>113</v>
      </c>
      <c r="F14" s="4">
        <v>2007</v>
      </c>
      <c r="G14" s="13">
        <v>500</v>
      </c>
      <c r="H14" s="25"/>
      <c r="I14">
        <v>7.8</v>
      </c>
      <c r="J14" t="s">
        <v>165</v>
      </c>
      <c r="M14">
        <v>0.4</v>
      </c>
      <c r="N14" t="s">
        <v>165</v>
      </c>
    </row>
    <row r="15" spans="1:20" x14ac:dyDescent="0.25">
      <c r="A15" s="2">
        <v>28</v>
      </c>
      <c r="B15" s="3" t="s">
        <v>9</v>
      </c>
      <c r="C15" s="3" t="s">
        <v>21</v>
      </c>
      <c r="D15" s="3">
        <v>398</v>
      </c>
      <c r="E15" s="3" t="s">
        <v>113</v>
      </c>
      <c r="F15" s="4">
        <v>2007</v>
      </c>
      <c r="G15" s="13">
        <v>500</v>
      </c>
      <c r="I15">
        <v>4</v>
      </c>
      <c r="J15" t="s">
        <v>175</v>
      </c>
      <c r="M15">
        <v>0.2</v>
      </c>
      <c r="N15" t="s">
        <v>175</v>
      </c>
    </row>
    <row r="16" spans="1:20" x14ac:dyDescent="0.25">
      <c r="A16" s="2">
        <v>27</v>
      </c>
      <c r="B16" s="3" t="s">
        <v>8</v>
      </c>
      <c r="C16" s="3" t="s">
        <v>20</v>
      </c>
      <c r="D16" s="3">
        <v>67</v>
      </c>
      <c r="E16" s="3" t="s">
        <v>113</v>
      </c>
      <c r="F16" s="4">
        <v>2009</v>
      </c>
      <c r="G16" s="13">
        <v>500</v>
      </c>
      <c r="I16">
        <v>4.7</v>
      </c>
      <c r="J16" t="s">
        <v>175</v>
      </c>
      <c r="M16">
        <v>0.4</v>
      </c>
      <c r="N16" t="s">
        <v>175</v>
      </c>
    </row>
    <row r="17" spans="1:14" x14ac:dyDescent="0.25">
      <c r="A17" s="2">
        <v>26</v>
      </c>
      <c r="B17" s="3" t="s">
        <v>7</v>
      </c>
      <c r="C17" s="3" t="s">
        <v>19</v>
      </c>
      <c r="D17" s="3">
        <v>324</v>
      </c>
      <c r="E17" s="3" t="s">
        <v>113</v>
      </c>
      <c r="F17" s="4">
        <v>2012</v>
      </c>
      <c r="G17" s="13">
        <v>500</v>
      </c>
      <c r="I17">
        <v>4</v>
      </c>
      <c r="J17" t="s">
        <v>175</v>
      </c>
      <c r="M17">
        <v>0.2</v>
      </c>
      <c r="N17" t="s">
        <v>175</v>
      </c>
    </row>
    <row r="18" spans="1:14" x14ac:dyDescent="0.25">
      <c r="A18" s="2">
        <v>11</v>
      </c>
      <c r="B18" s="3" t="s">
        <v>4</v>
      </c>
      <c r="C18" s="3" t="s">
        <v>17</v>
      </c>
      <c r="D18" s="3">
        <v>1207</v>
      </c>
      <c r="E18" s="3" t="s">
        <v>113</v>
      </c>
      <c r="F18" s="4" t="s">
        <v>27</v>
      </c>
      <c r="G18" s="13">
        <v>200</v>
      </c>
    </row>
    <row r="19" spans="1:14" x14ac:dyDescent="0.25">
      <c r="A19" s="2">
        <v>12</v>
      </c>
      <c r="B19" s="3" t="s">
        <v>5</v>
      </c>
      <c r="C19" s="3" t="s">
        <v>17</v>
      </c>
      <c r="D19" s="3">
        <v>1207</v>
      </c>
      <c r="E19" s="3" t="s">
        <v>113</v>
      </c>
      <c r="F19" s="4" t="s">
        <v>28</v>
      </c>
      <c r="G19" s="29">
        <v>200</v>
      </c>
      <c r="H19" s="25" t="s">
        <v>174</v>
      </c>
      <c r="I19">
        <v>6.4</v>
      </c>
      <c r="J19" t="s">
        <v>175</v>
      </c>
      <c r="M19">
        <v>0.2</v>
      </c>
      <c r="N19" t="s">
        <v>175</v>
      </c>
    </row>
    <row r="20" spans="1:14" x14ac:dyDescent="0.25">
      <c r="A20" s="2">
        <v>13</v>
      </c>
      <c r="B20" s="3" t="s">
        <v>6</v>
      </c>
      <c r="C20" s="3" t="s">
        <v>17</v>
      </c>
      <c r="D20" s="3">
        <v>1207</v>
      </c>
      <c r="E20" s="3" t="s">
        <v>113</v>
      </c>
      <c r="F20" s="4" t="s">
        <v>29</v>
      </c>
      <c r="G20" s="29">
        <v>200</v>
      </c>
      <c r="H20" s="25" t="s">
        <v>174</v>
      </c>
      <c r="I20">
        <v>6.4</v>
      </c>
      <c r="J20" t="s">
        <v>175</v>
      </c>
      <c r="M20">
        <v>0.2</v>
      </c>
      <c r="N20" t="s">
        <v>175</v>
      </c>
    </row>
    <row r="22" spans="1:14" x14ac:dyDescent="0.25">
      <c r="B22" t="s">
        <v>177</v>
      </c>
    </row>
    <row r="23" spans="1:14" x14ac:dyDescent="0.25">
      <c r="B23" t="s">
        <v>179</v>
      </c>
    </row>
  </sheetData>
  <sortState ref="A2:F18">
    <sortCondition ref="F2:F18"/>
    <sortCondition ref="D2:D18"/>
  </sortState>
  <pageMargins left="0.7" right="0.7" top="0.75" bottom="0.75" header="0.3" footer="0.3"/>
  <pageSetup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5"/>
  <sheetViews>
    <sheetView workbookViewId="0">
      <selection activeCell="C16" sqref="C16"/>
    </sheetView>
  </sheetViews>
  <sheetFormatPr defaultRowHeight="15" x14ac:dyDescent="0.25"/>
  <cols>
    <col min="1" max="1" width="12.5703125" customWidth="1"/>
    <col min="3" max="3" width="29.7109375" customWidth="1"/>
    <col min="4" max="4" width="20.42578125" customWidth="1"/>
    <col min="5" max="5" width="8.85546875" customWidth="1"/>
    <col min="6" max="6" width="17.42578125" customWidth="1"/>
    <col min="7" max="10" width="28.5703125" customWidth="1"/>
    <col min="11" max="11" width="10.7109375" customWidth="1"/>
    <col min="12" max="12" width="14.85546875" customWidth="1"/>
    <col min="31" max="31" width="10.7109375" customWidth="1"/>
    <col min="32" max="32" width="14.85546875" customWidth="1"/>
  </cols>
  <sheetData>
    <row r="2" spans="1:50" ht="19.149999999999999" customHeight="1" x14ac:dyDescent="0.25">
      <c r="A2" s="1013" t="s">
        <v>30</v>
      </c>
      <c r="B2" s="1013"/>
      <c r="C2" s="1013"/>
      <c r="D2" s="1013"/>
      <c r="E2" s="1013"/>
      <c r="F2" s="1013"/>
      <c r="G2" s="1014"/>
      <c r="H2" s="24"/>
      <c r="I2" s="24"/>
      <c r="J2" s="24"/>
      <c r="K2" s="1015" t="s">
        <v>134</v>
      </c>
      <c r="L2" s="1015"/>
      <c r="M2" s="1015"/>
      <c r="N2" s="1015"/>
      <c r="O2" s="1015"/>
      <c r="P2" s="1015"/>
      <c r="Q2" s="1015"/>
      <c r="R2" s="1015"/>
      <c r="S2" s="1015"/>
      <c r="T2" s="1015"/>
      <c r="U2" s="1015"/>
      <c r="V2" s="1015"/>
      <c r="W2" s="1015"/>
      <c r="X2" s="1015"/>
      <c r="Y2" s="1015"/>
      <c r="Z2" s="1015"/>
      <c r="AA2" s="1015"/>
      <c r="AB2" s="1015"/>
      <c r="AC2" s="1015"/>
      <c r="AD2" s="1015"/>
      <c r="AE2" s="1016" t="s">
        <v>144</v>
      </c>
      <c r="AF2" s="1016"/>
      <c r="AG2" s="1016"/>
      <c r="AH2" s="1016"/>
      <c r="AI2" s="1016"/>
      <c r="AJ2" s="1016"/>
      <c r="AK2" s="1016"/>
      <c r="AL2" s="1016"/>
      <c r="AM2" s="1016"/>
      <c r="AN2" s="1016"/>
      <c r="AO2" s="1016"/>
      <c r="AP2" s="1016"/>
      <c r="AQ2" s="1016"/>
      <c r="AR2" s="1016"/>
      <c r="AS2" s="1016"/>
      <c r="AT2" s="1016"/>
      <c r="AU2" s="1016"/>
      <c r="AV2" s="1016"/>
      <c r="AW2" s="1016"/>
      <c r="AX2" s="1016"/>
    </row>
    <row r="3" spans="1:50" s="21" customFormat="1" ht="90" x14ac:dyDescent="0.25">
      <c r="A3" s="14" t="s">
        <v>107</v>
      </c>
      <c r="B3" s="14" t="s">
        <v>16</v>
      </c>
      <c r="C3" s="14" t="s">
        <v>15</v>
      </c>
      <c r="D3" s="15" t="s">
        <v>25</v>
      </c>
      <c r="E3" s="16" t="s">
        <v>118</v>
      </c>
      <c r="F3" s="17" t="s">
        <v>119</v>
      </c>
      <c r="G3" s="18" t="s">
        <v>26</v>
      </c>
      <c r="H3" s="22" t="s">
        <v>133</v>
      </c>
      <c r="I3" s="19" t="s">
        <v>120</v>
      </c>
      <c r="J3" s="19" t="s">
        <v>135</v>
      </c>
      <c r="K3" s="20" t="s">
        <v>140</v>
      </c>
      <c r="L3" s="20" t="s">
        <v>141</v>
      </c>
      <c r="M3" s="20" t="s">
        <v>121</v>
      </c>
      <c r="N3" s="20" t="s">
        <v>130</v>
      </c>
      <c r="O3" s="20" t="s">
        <v>122</v>
      </c>
      <c r="P3" s="20" t="s">
        <v>123</v>
      </c>
      <c r="Q3" s="20" t="s">
        <v>136</v>
      </c>
      <c r="R3" s="20" t="s">
        <v>142</v>
      </c>
      <c r="S3" s="20" t="s">
        <v>143</v>
      </c>
      <c r="T3" s="20" t="s">
        <v>124</v>
      </c>
      <c r="U3" s="20" t="s">
        <v>131</v>
      </c>
      <c r="V3" s="20" t="s">
        <v>125</v>
      </c>
      <c r="W3" s="20" t="s">
        <v>126</v>
      </c>
      <c r="X3" s="20" t="s">
        <v>137</v>
      </c>
      <c r="Y3" s="20" t="s">
        <v>138</v>
      </c>
      <c r="Z3" s="20" t="s">
        <v>139</v>
      </c>
      <c r="AA3" s="20" t="s">
        <v>127</v>
      </c>
      <c r="AB3" s="20" t="s">
        <v>132</v>
      </c>
      <c r="AC3" s="20" t="s">
        <v>128</v>
      </c>
      <c r="AD3" s="20" t="s">
        <v>129</v>
      </c>
      <c r="AE3" s="20" t="s">
        <v>140</v>
      </c>
      <c r="AF3" s="20" t="s">
        <v>141</v>
      </c>
      <c r="AG3" s="20" t="s">
        <v>121</v>
      </c>
      <c r="AH3" s="20" t="s">
        <v>130</v>
      </c>
      <c r="AI3" s="20" t="s">
        <v>122</v>
      </c>
      <c r="AJ3" s="20" t="s">
        <v>123</v>
      </c>
      <c r="AK3" s="20" t="s">
        <v>136</v>
      </c>
      <c r="AL3" s="20" t="s">
        <v>142</v>
      </c>
      <c r="AM3" s="20" t="s">
        <v>143</v>
      </c>
      <c r="AN3" s="20" t="s">
        <v>124</v>
      </c>
      <c r="AO3" s="20" t="s">
        <v>131</v>
      </c>
      <c r="AP3" s="20" t="s">
        <v>125</v>
      </c>
      <c r="AQ3" s="20" t="s">
        <v>126</v>
      </c>
      <c r="AR3" s="20" t="s">
        <v>137</v>
      </c>
      <c r="AS3" s="20" t="s">
        <v>138</v>
      </c>
      <c r="AT3" s="20" t="s">
        <v>139</v>
      </c>
      <c r="AU3" s="20" t="s">
        <v>127</v>
      </c>
      <c r="AV3" s="20" t="s">
        <v>132</v>
      </c>
      <c r="AW3" s="20" t="s">
        <v>128</v>
      </c>
      <c r="AX3" s="20" t="s">
        <v>129</v>
      </c>
    </row>
    <row r="4" spans="1:50" x14ac:dyDescent="0.25">
      <c r="A4" s="3" t="s">
        <v>106</v>
      </c>
      <c r="B4" s="2" t="s">
        <v>31</v>
      </c>
      <c r="C4" s="3" t="s">
        <v>41</v>
      </c>
      <c r="D4" s="3" t="s">
        <v>31</v>
      </c>
      <c r="E4" s="9">
        <v>8376750</v>
      </c>
      <c r="F4" s="3" t="s">
        <v>115</v>
      </c>
      <c r="G4" s="3" t="s">
        <v>51</v>
      </c>
      <c r="H4" s="12"/>
      <c r="I4" s="12"/>
      <c r="J4" s="12"/>
      <c r="K4" s="12"/>
      <c r="L4" s="12"/>
      <c r="AE4" s="12"/>
      <c r="AF4" s="12"/>
    </row>
    <row r="5" spans="1:50" x14ac:dyDescent="0.25">
      <c r="A5" s="3" t="s">
        <v>106</v>
      </c>
      <c r="B5" s="2" t="s">
        <v>31</v>
      </c>
      <c r="C5" s="3" t="s">
        <v>42</v>
      </c>
      <c r="D5" s="3" t="s">
        <v>31</v>
      </c>
      <c r="E5" s="9">
        <v>23506</v>
      </c>
      <c r="F5" s="3" t="s">
        <v>115</v>
      </c>
      <c r="G5" s="3" t="s">
        <v>51</v>
      </c>
      <c r="H5" s="12"/>
      <c r="I5" s="12"/>
      <c r="J5" s="12"/>
      <c r="K5" s="12"/>
      <c r="L5" s="12"/>
      <c r="AE5" s="12"/>
      <c r="AF5" s="12"/>
    </row>
  </sheetData>
  <mergeCells count="3">
    <mergeCell ref="A2:G2"/>
    <mergeCell ref="K2:AD2"/>
    <mergeCell ref="AE2:AX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49"/>
  <sheetViews>
    <sheetView topLeftCell="B1" zoomScaleNormal="100" workbookViewId="0">
      <selection activeCell="B10" sqref="A1:XFD1048576"/>
    </sheetView>
  </sheetViews>
  <sheetFormatPr defaultRowHeight="15" x14ac:dyDescent="0.25"/>
  <cols>
    <col min="1" max="1" width="13.140625" hidden="1" customWidth="1"/>
    <col min="3" max="3" width="29.7109375" bestFit="1" customWidth="1"/>
    <col min="4" max="4" width="31.28515625" bestFit="1" customWidth="1"/>
    <col min="5" max="5" width="10.28515625" customWidth="1"/>
    <col min="6" max="6" width="11.5703125" customWidth="1"/>
    <col min="7" max="7" width="30.7109375" bestFit="1" customWidth="1"/>
    <col min="8" max="8" width="30.7109375" customWidth="1"/>
    <col min="9" max="9" width="14.5703125" customWidth="1"/>
    <col min="10" max="10" width="14.28515625" customWidth="1"/>
    <col min="11" max="11" width="10.7109375" customWidth="1"/>
    <col min="12" max="14" width="14.85546875" customWidth="1"/>
    <col min="37" max="37" width="10.7109375" hidden="1" customWidth="1"/>
    <col min="38" max="38" width="14.85546875" hidden="1" customWidth="1"/>
    <col min="39" max="56" width="0" hidden="1" customWidth="1"/>
  </cols>
  <sheetData>
    <row r="1" spans="1:56" x14ac:dyDescent="0.25">
      <c r="I1" t="s">
        <v>149</v>
      </c>
      <c r="M1" t="s">
        <v>149</v>
      </c>
      <c r="N1" t="s">
        <v>152</v>
      </c>
      <c r="V1" t="s">
        <v>149</v>
      </c>
      <c r="W1" t="s">
        <v>152</v>
      </c>
      <c r="AE1" t="s">
        <v>152</v>
      </c>
      <c r="AF1" t="s">
        <v>152</v>
      </c>
    </row>
    <row r="2" spans="1:56" ht="19.149999999999999" customHeight="1" x14ac:dyDescent="0.25">
      <c r="A2" s="1013" t="s">
        <v>52</v>
      </c>
      <c r="B2" s="1013"/>
      <c r="C2" s="1013"/>
      <c r="D2" s="1013"/>
      <c r="E2" s="1013"/>
      <c r="F2" s="1013"/>
      <c r="G2" s="1014"/>
      <c r="H2" s="10"/>
      <c r="I2" s="10"/>
      <c r="J2" s="10"/>
      <c r="K2" s="1015" t="s">
        <v>134</v>
      </c>
      <c r="L2" s="1015"/>
      <c r="M2" s="1015"/>
      <c r="N2" s="1015"/>
      <c r="O2" s="1015"/>
      <c r="P2" s="1015"/>
      <c r="Q2" s="1015"/>
      <c r="R2" s="1015"/>
      <c r="S2" s="1015"/>
      <c r="T2" s="1015"/>
      <c r="U2" s="1015"/>
      <c r="V2" s="1015"/>
      <c r="W2" s="1015"/>
      <c r="X2" s="1015"/>
      <c r="Y2" s="1015"/>
      <c r="Z2" s="1015"/>
      <c r="AA2" s="1015"/>
      <c r="AB2" s="1015"/>
      <c r="AC2" s="1015"/>
      <c r="AD2" s="1015"/>
      <c r="AE2" s="1015"/>
      <c r="AF2" s="1015"/>
      <c r="AG2" s="1015"/>
      <c r="AH2" s="1015"/>
      <c r="AI2" s="1015"/>
      <c r="AJ2" s="1015"/>
      <c r="AK2" s="1016" t="s">
        <v>144</v>
      </c>
      <c r="AL2" s="1016"/>
      <c r="AM2" s="1016"/>
      <c r="AN2" s="1016"/>
      <c r="AO2" s="1016"/>
      <c r="AP2" s="1016"/>
      <c r="AQ2" s="1016"/>
      <c r="AR2" s="1016"/>
      <c r="AS2" s="1016"/>
      <c r="AT2" s="1016"/>
      <c r="AU2" s="1016"/>
      <c r="AV2" s="1016"/>
      <c r="AW2" s="1016"/>
      <c r="AX2" s="1016"/>
      <c r="AY2" s="1016"/>
      <c r="AZ2" s="1016"/>
      <c r="BA2" s="1016"/>
      <c r="BB2" s="1016"/>
      <c r="BC2" s="1016"/>
      <c r="BD2" s="1016"/>
    </row>
    <row r="3" spans="1:56" ht="90" x14ac:dyDescent="0.25">
      <c r="A3" s="1" t="s">
        <v>107</v>
      </c>
      <c r="B3" s="1" t="s">
        <v>16</v>
      </c>
      <c r="C3" s="1" t="s">
        <v>15</v>
      </c>
      <c r="D3" s="1" t="s">
        <v>25</v>
      </c>
      <c r="E3" s="6" t="s">
        <v>118</v>
      </c>
      <c r="F3" s="7" t="s">
        <v>119</v>
      </c>
      <c r="G3" s="1" t="s">
        <v>26</v>
      </c>
      <c r="H3" s="11" t="s">
        <v>145</v>
      </c>
      <c r="I3" s="22" t="s">
        <v>133</v>
      </c>
      <c r="J3" s="19" t="s">
        <v>120</v>
      </c>
      <c r="K3" s="20" t="s">
        <v>140</v>
      </c>
      <c r="L3" s="20" t="s">
        <v>141</v>
      </c>
      <c r="M3" s="20" t="s">
        <v>150</v>
      </c>
      <c r="N3" s="20" t="s">
        <v>154</v>
      </c>
      <c r="O3" s="20" t="s">
        <v>121</v>
      </c>
      <c r="P3" s="20" t="s">
        <v>130</v>
      </c>
      <c r="Q3" s="20" t="s">
        <v>122</v>
      </c>
      <c r="R3" s="20" t="s">
        <v>123</v>
      </c>
      <c r="S3" s="20" t="s">
        <v>136</v>
      </c>
      <c r="T3" s="20" t="s">
        <v>142</v>
      </c>
      <c r="U3" s="20" t="s">
        <v>143</v>
      </c>
      <c r="V3" s="20" t="s">
        <v>151</v>
      </c>
      <c r="W3" s="20" t="s">
        <v>154</v>
      </c>
      <c r="X3" s="20" t="s">
        <v>124</v>
      </c>
      <c r="Y3" s="20" t="s">
        <v>131</v>
      </c>
      <c r="Z3" s="20" t="s">
        <v>125</v>
      </c>
      <c r="AA3" s="20" t="s">
        <v>126</v>
      </c>
      <c r="AB3" s="20" t="s">
        <v>137</v>
      </c>
      <c r="AC3" s="20" t="s">
        <v>138</v>
      </c>
      <c r="AD3" s="20" t="s">
        <v>139</v>
      </c>
      <c r="AE3" s="20" t="s">
        <v>153</v>
      </c>
      <c r="AF3" s="20" t="s">
        <v>154</v>
      </c>
      <c r="AG3" s="20" t="s">
        <v>127</v>
      </c>
      <c r="AH3" s="20" t="s">
        <v>132</v>
      </c>
      <c r="AI3" s="20" t="s">
        <v>128</v>
      </c>
      <c r="AJ3" s="20" t="s">
        <v>129</v>
      </c>
      <c r="AK3" s="20" t="s">
        <v>140</v>
      </c>
      <c r="AL3" s="20" t="s">
        <v>141</v>
      </c>
      <c r="AM3" s="20" t="s">
        <v>121</v>
      </c>
      <c r="AN3" s="20" t="s">
        <v>130</v>
      </c>
      <c r="AO3" s="20" t="s">
        <v>122</v>
      </c>
      <c r="AP3" s="20" t="s">
        <v>123</v>
      </c>
      <c r="AQ3" s="20" t="s">
        <v>136</v>
      </c>
      <c r="AR3" s="20" t="s">
        <v>142</v>
      </c>
      <c r="AS3" s="20" t="s">
        <v>143</v>
      </c>
      <c r="AT3" s="20" t="s">
        <v>124</v>
      </c>
      <c r="AU3" s="20" t="s">
        <v>131</v>
      </c>
      <c r="AV3" s="20" t="s">
        <v>125</v>
      </c>
      <c r="AW3" s="20" t="s">
        <v>126</v>
      </c>
      <c r="AX3" s="20" t="s">
        <v>137</v>
      </c>
      <c r="AY3" s="20" t="s">
        <v>138</v>
      </c>
      <c r="AZ3" s="20" t="s">
        <v>139</v>
      </c>
      <c r="BA3" s="20" t="s">
        <v>127</v>
      </c>
      <c r="BB3" s="20" t="s">
        <v>132</v>
      </c>
      <c r="BC3" s="20" t="s">
        <v>128</v>
      </c>
      <c r="BD3" s="20" t="s">
        <v>129</v>
      </c>
    </row>
    <row r="4" spans="1:56" x14ac:dyDescent="0.25">
      <c r="A4" s="1"/>
      <c r="B4" s="1" t="s">
        <v>146</v>
      </c>
      <c r="C4" s="1"/>
      <c r="D4" s="1"/>
      <c r="E4" s="6"/>
      <c r="F4" s="7"/>
      <c r="G4" s="1"/>
      <c r="H4" s="11"/>
      <c r="I4" s="22"/>
      <c r="J4" s="19"/>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row>
    <row r="5" spans="1:56" x14ac:dyDescent="0.25">
      <c r="A5" s="3" t="s">
        <v>108</v>
      </c>
      <c r="B5" s="2">
        <v>1</v>
      </c>
      <c r="C5" s="3" t="s">
        <v>58</v>
      </c>
      <c r="D5" s="3" t="s">
        <v>73</v>
      </c>
      <c r="E5" s="3">
        <v>230</v>
      </c>
      <c r="F5" s="3" t="s">
        <v>112</v>
      </c>
      <c r="G5" s="4">
        <v>1953</v>
      </c>
      <c r="H5" s="13"/>
      <c r="I5" s="13"/>
      <c r="J5" s="13"/>
      <c r="K5" s="12"/>
      <c r="L5" s="12"/>
      <c r="M5" s="12"/>
      <c r="N5" s="12"/>
      <c r="AK5" s="12"/>
      <c r="AL5" s="12"/>
    </row>
    <row r="6" spans="1:56" x14ac:dyDescent="0.25">
      <c r="A6" s="3" t="s">
        <v>108</v>
      </c>
      <c r="B6" s="2">
        <v>2</v>
      </c>
      <c r="C6" s="3" t="s">
        <v>59</v>
      </c>
      <c r="D6" s="3" t="s">
        <v>73</v>
      </c>
      <c r="E6" s="3">
        <v>230</v>
      </c>
      <c r="F6" s="3" t="s">
        <v>112</v>
      </c>
      <c r="G6" s="4">
        <v>1953</v>
      </c>
      <c r="H6" s="13"/>
      <c r="I6" s="13"/>
      <c r="J6" s="13"/>
      <c r="K6" s="12"/>
      <c r="L6" s="12"/>
      <c r="M6" s="12"/>
      <c r="N6" s="12"/>
      <c r="AK6" s="12"/>
      <c r="AL6" s="12"/>
    </row>
    <row r="7" spans="1:56" x14ac:dyDescent="0.25">
      <c r="A7" s="3" t="s">
        <v>109</v>
      </c>
      <c r="B7" s="2">
        <v>3</v>
      </c>
      <c r="C7" s="3" t="s">
        <v>60</v>
      </c>
      <c r="D7" s="3" t="s">
        <v>73</v>
      </c>
      <c r="E7" s="3">
        <v>230</v>
      </c>
      <c r="F7" s="3" t="s">
        <v>112</v>
      </c>
      <c r="G7" s="4">
        <v>1953</v>
      </c>
      <c r="H7" s="13"/>
      <c r="I7" s="13"/>
      <c r="J7" s="13"/>
      <c r="K7" s="12"/>
      <c r="L7" s="12"/>
      <c r="M7" s="12"/>
      <c r="N7" s="12"/>
      <c r="AK7" s="12"/>
      <c r="AL7" s="12"/>
    </row>
    <row r="8" spans="1:56" x14ac:dyDescent="0.25">
      <c r="A8" s="3" t="s">
        <v>109</v>
      </c>
      <c r="B8" s="2">
        <v>4</v>
      </c>
      <c r="C8" s="3" t="s">
        <v>61</v>
      </c>
      <c r="D8" s="3" t="s">
        <v>73</v>
      </c>
      <c r="E8" s="3">
        <v>230</v>
      </c>
      <c r="F8" s="3" t="s">
        <v>112</v>
      </c>
      <c r="G8" s="4">
        <v>1953</v>
      </c>
      <c r="H8" s="13"/>
      <c r="I8" s="13"/>
      <c r="J8" s="13"/>
      <c r="K8" s="13"/>
      <c r="L8" s="13"/>
      <c r="M8" s="13"/>
      <c r="N8" s="13"/>
      <c r="AK8" s="13"/>
      <c r="AL8" s="13"/>
    </row>
    <row r="9" spans="1:56" x14ac:dyDescent="0.25">
      <c r="A9" s="3" t="s">
        <v>109</v>
      </c>
      <c r="B9" s="2">
        <v>5</v>
      </c>
      <c r="C9" s="3" t="s">
        <v>62</v>
      </c>
      <c r="D9" s="3" t="s">
        <v>73</v>
      </c>
      <c r="E9" s="3">
        <v>230</v>
      </c>
      <c r="F9" s="3" t="s">
        <v>112</v>
      </c>
      <c r="G9" s="4">
        <v>1953</v>
      </c>
      <c r="H9" s="13"/>
      <c r="I9" s="13"/>
      <c r="J9" s="13"/>
      <c r="K9" s="13"/>
      <c r="L9" s="13"/>
      <c r="M9" s="13"/>
      <c r="N9" s="13"/>
      <c r="AK9" s="13"/>
      <c r="AL9" s="13"/>
    </row>
    <row r="10" spans="1:56" x14ac:dyDescent="0.25">
      <c r="A10" s="3" t="s">
        <v>109</v>
      </c>
      <c r="B10" s="2">
        <v>6</v>
      </c>
      <c r="C10" s="3" t="s">
        <v>63</v>
      </c>
      <c r="D10" s="3" t="s">
        <v>73</v>
      </c>
      <c r="E10" s="3">
        <v>230</v>
      </c>
      <c r="F10" s="3" t="s">
        <v>112</v>
      </c>
      <c r="G10" s="4">
        <v>1953</v>
      </c>
      <c r="H10" s="13"/>
      <c r="I10" s="13"/>
      <c r="J10" s="13"/>
      <c r="K10" s="13"/>
      <c r="L10" s="13"/>
      <c r="M10" s="13"/>
      <c r="N10" s="13"/>
      <c r="AK10" s="13"/>
      <c r="AL10" s="13"/>
    </row>
    <row r="11" spans="1:56" x14ac:dyDescent="0.25">
      <c r="A11" s="3"/>
      <c r="B11" s="23" t="s">
        <v>147</v>
      </c>
      <c r="C11" s="3"/>
      <c r="D11" s="3"/>
      <c r="E11" s="3"/>
      <c r="F11" s="3"/>
      <c r="G11" s="4"/>
      <c r="H11" s="13"/>
      <c r="I11" s="13"/>
      <c r="J11" s="13"/>
      <c r="K11" s="13"/>
      <c r="L11" s="13"/>
      <c r="M11" s="13"/>
      <c r="N11" s="13"/>
      <c r="AK11" s="13"/>
      <c r="AL11" s="13"/>
    </row>
    <row r="12" spans="1:56" x14ac:dyDescent="0.25">
      <c r="A12" s="3" t="s">
        <v>109</v>
      </c>
      <c r="B12" s="2" t="s">
        <v>53</v>
      </c>
      <c r="C12" s="3" t="s">
        <v>64</v>
      </c>
      <c r="D12" s="3" t="s">
        <v>74</v>
      </c>
      <c r="E12" s="9">
        <v>13150</v>
      </c>
      <c r="F12" s="3" t="s">
        <v>117</v>
      </c>
      <c r="G12" s="4">
        <v>2001</v>
      </c>
      <c r="H12" s="13"/>
      <c r="I12" s="13"/>
      <c r="J12" s="13"/>
      <c r="K12" s="13"/>
      <c r="L12" s="13"/>
      <c r="M12" s="13"/>
      <c r="N12" s="13"/>
      <c r="AK12" s="13"/>
      <c r="AL12" s="13"/>
    </row>
    <row r="13" spans="1:56" x14ac:dyDescent="0.25">
      <c r="A13" s="3" t="s">
        <v>109</v>
      </c>
      <c r="B13" s="2" t="s">
        <v>54</v>
      </c>
      <c r="C13" s="3" t="s">
        <v>65</v>
      </c>
      <c r="D13" s="3" t="s">
        <v>75</v>
      </c>
      <c r="E13" s="3">
        <v>884</v>
      </c>
      <c r="F13" s="3" t="s">
        <v>117</v>
      </c>
      <c r="G13" s="4">
        <v>2005</v>
      </c>
      <c r="H13" s="13"/>
      <c r="I13" s="13"/>
      <c r="J13" s="13"/>
      <c r="K13" s="13"/>
      <c r="L13" s="13"/>
      <c r="M13" s="13"/>
      <c r="N13" s="13"/>
      <c r="AK13" s="13"/>
      <c r="AL13" s="13"/>
    </row>
    <row r="14" spans="1:56" x14ac:dyDescent="0.25">
      <c r="A14" s="3" t="s">
        <v>109</v>
      </c>
      <c r="B14" s="2" t="s">
        <v>55</v>
      </c>
      <c r="C14" s="3" t="s">
        <v>66</v>
      </c>
      <c r="D14" s="3" t="s">
        <v>76</v>
      </c>
      <c r="E14" s="9">
        <v>9250</v>
      </c>
      <c r="F14" s="3" t="s">
        <v>117</v>
      </c>
      <c r="G14" s="4">
        <v>2004</v>
      </c>
      <c r="H14" s="13"/>
      <c r="I14" s="13"/>
      <c r="J14" s="13"/>
      <c r="K14" s="13"/>
      <c r="L14" s="13"/>
      <c r="M14" s="13"/>
      <c r="N14" s="13"/>
      <c r="AK14" s="13"/>
      <c r="AL14" s="13"/>
    </row>
    <row r="15" spans="1:56" x14ac:dyDescent="0.25">
      <c r="A15" s="3"/>
      <c r="B15" s="23" t="s">
        <v>148</v>
      </c>
      <c r="C15" s="3"/>
      <c r="D15" s="3"/>
      <c r="E15" s="9"/>
      <c r="F15" s="3"/>
      <c r="G15" s="4"/>
      <c r="H15" s="13"/>
      <c r="I15" s="13"/>
      <c r="J15" s="13"/>
      <c r="K15" s="13"/>
      <c r="L15" s="13"/>
      <c r="M15" s="13"/>
      <c r="N15" s="13"/>
      <c r="AK15" s="13"/>
      <c r="AL15" s="13"/>
    </row>
    <row r="16" spans="1:56" x14ac:dyDescent="0.25">
      <c r="A16" s="3" t="s">
        <v>109</v>
      </c>
      <c r="B16" s="2">
        <v>8</v>
      </c>
      <c r="C16" s="3" t="s">
        <v>67</v>
      </c>
      <c r="D16" s="3" t="s">
        <v>73</v>
      </c>
      <c r="E16" s="9">
        <v>2937</v>
      </c>
      <c r="F16" s="3" t="s">
        <v>113</v>
      </c>
      <c r="G16" s="4">
        <v>2009</v>
      </c>
      <c r="H16" s="13"/>
      <c r="I16" s="13"/>
      <c r="J16" s="13"/>
      <c r="K16" s="13"/>
      <c r="L16" s="13"/>
      <c r="M16" s="13"/>
      <c r="N16" s="13"/>
      <c r="AK16" s="13"/>
      <c r="AL16" s="13"/>
    </row>
    <row r="17" spans="1:38" x14ac:dyDescent="0.25">
      <c r="A17" s="3" t="s">
        <v>109</v>
      </c>
      <c r="B17" s="2">
        <v>9</v>
      </c>
      <c r="C17" s="3" t="s">
        <v>68</v>
      </c>
      <c r="D17" s="3" t="s">
        <v>77</v>
      </c>
      <c r="E17" s="3">
        <v>353</v>
      </c>
      <c r="F17" s="3" t="s">
        <v>113</v>
      </c>
      <c r="G17" s="4">
        <v>1988</v>
      </c>
      <c r="H17" s="13"/>
      <c r="I17" s="13"/>
      <c r="J17" s="13"/>
      <c r="K17" s="13"/>
      <c r="L17" s="13"/>
      <c r="M17" s="13"/>
      <c r="N17" s="13"/>
      <c r="AK17" s="13"/>
      <c r="AL17" s="13"/>
    </row>
    <row r="18" spans="1:38" x14ac:dyDescent="0.25">
      <c r="A18" s="3" t="s">
        <v>109</v>
      </c>
      <c r="B18" s="2">
        <v>10</v>
      </c>
      <c r="C18" s="3" t="s">
        <v>68</v>
      </c>
      <c r="D18" s="3" t="s">
        <v>78</v>
      </c>
      <c r="E18" s="3">
        <v>762</v>
      </c>
      <c r="F18" s="3" t="s">
        <v>113</v>
      </c>
      <c r="G18" s="4">
        <v>2010</v>
      </c>
      <c r="H18" s="13"/>
      <c r="I18" s="13"/>
      <c r="J18" s="13"/>
      <c r="K18" s="13"/>
      <c r="L18" s="13"/>
      <c r="M18" s="13"/>
      <c r="N18" s="13"/>
      <c r="AK18" s="13"/>
      <c r="AL18" s="13"/>
    </row>
    <row r="19" spans="1:38" x14ac:dyDescent="0.25">
      <c r="A19" s="3" t="s">
        <v>109</v>
      </c>
      <c r="B19" s="2">
        <v>11</v>
      </c>
      <c r="C19" s="3" t="s">
        <v>68</v>
      </c>
      <c r="D19" s="3" t="s">
        <v>78</v>
      </c>
      <c r="E19" s="3">
        <v>762</v>
      </c>
      <c r="F19" s="3" t="s">
        <v>113</v>
      </c>
      <c r="G19" s="4">
        <v>2010</v>
      </c>
      <c r="H19" s="13"/>
      <c r="I19" s="13"/>
      <c r="J19" s="13"/>
      <c r="K19" s="13"/>
      <c r="L19" s="13"/>
      <c r="M19" s="13"/>
      <c r="N19" s="13"/>
      <c r="AK19" s="13"/>
      <c r="AL19" s="13"/>
    </row>
    <row r="20" spans="1:38" x14ac:dyDescent="0.25">
      <c r="A20" s="3" t="s">
        <v>109</v>
      </c>
      <c r="B20" s="2">
        <v>12</v>
      </c>
      <c r="C20" s="3" t="s">
        <v>68</v>
      </c>
      <c r="D20" s="3" t="s">
        <v>79</v>
      </c>
      <c r="E20" s="3">
        <v>82</v>
      </c>
      <c r="F20" s="3" t="s">
        <v>113</v>
      </c>
      <c r="G20" s="4">
        <v>2002</v>
      </c>
      <c r="H20" s="13"/>
      <c r="I20" s="13"/>
      <c r="J20" s="13"/>
      <c r="K20" s="13"/>
      <c r="L20" s="13"/>
      <c r="M20" s="13"/>
      <c r="N20" s="13"/>
      <c r="AK20" s="13"/>
      <c r="AL20" s="13"/>
    </row>
    <row r="21" spans="1:38" x14ac:dyDescent="0.25">
      <c r="A21" s="3" t="s">
        <v>109</v>
      </c>
      <c r="B21" s="2">
        <v>13</v>
      </c>
      <c r="C21" s="3" t="s">
        <v>68</v>
      </c>
      <c r="D21" s="3" t="s">
        <v>80</v>
      </c>
      <c r="E21" s="3">
        <v>587</v>
      </c>
      <c r="F21" s="3" t="s">
        <v>113</v>
      </c>
      <c r="G21" s="4">
        <v>2008</v>
      </c>
      <c r="H21" s="13"/>
      <c r="I21" s="13"/>
      <c r="J21" s="13"/>
      <c r="K21" s="13"/>
      <c r="L21" s="13"/>
      <c r="M21" s="13"/>
      <c r="N21" s="13"/>
      <c r="AK21" s="13"/>
      <c r="AL21" s="13"/>
    </row>
    <row r="22" spans="1:38" x14ac:dyDescent="0.25">
      <c r="A22" s="3" t="s">
        <v>109</v>
      </c>
      <c r="B22" s="2">
        <v>14</v>
      </c>
      <c r="C22" s="3" t="s">
        <v>68</v>
      </c>
      <c r="D22" s="3" t="s">
        <v>81</v>
      </c>
      <c r="E22" s="3">
        <v>320</v>
      </c>
      <c r="F22" s="3" t="s">
        <v>113</v>
      </c>
      <c r="G22" s="4">
        <v>2008</v>
      </c>
      <c r="H22" s="13"/>
      <c r="I22" s="13"/>
      <c r="J22" s="13"/>
      <c r="K22" s="13"/>
      <c r="L22" s="13"/>
      <c r="M22" s="13"/>
      <c r="N22" s="13"/>
      <c r="AK22" s="13"/>
      <c r="AL22" s="13"/>
    </row>
    <row r="23" spans="1:38" x14ac:dyDescent="0.25">
      <c r="A23" s="3" t="s">
        <v>109</v>
      </c>
      <c r="B23" s="2">
        <v>15</v>
      </c>
      <c r="C23" s="3" t="s">
        <v>68</v>
      </c>
      <c r="D23" s="3" t="s">
        <v>82</v>
      </c>
      <c r="E23" s="3">
        <v>1059</v>
      </c>
      <c r="F23" s="3" t="s">
        <v>113</v>
      </c>
      <c r="G23" s="4">
        <v>2005</v>
      </c>
      <c r="H23" s="13"/>
      <c r="I23" s="13"/>
      <c r="J23" s="13"/>
      <c r="K23" s="13"/>
      <c r="L23" s="13"/>
      <c r="M23" s="13"/>
      <c r="N23" s="13"/>
      <c r="AK23" s="13"/>
      <c r="AL23" s="13"/>
    </row>
    <row r="24" spans="1:38" x14ac:dyDescent="0.25">
      <c r="A24" s="3" t="s">
        <v>109</v>
      </c>
      <c r="B24" s="2">
        <v>16</v>
      </c>
      <c r="C24" s="3" t="s">
        <v>68</v>
      </c>
      <c r="D24" s="3" t="s">
        <v>82</v>
      </c>
      <c r="E24" s="3">
        <v>212</v>
      </c>
      <c r="F24" s="3" t="s">
        <v>113</v>
      </c>
      <c r="G24" s="4">
        <v>2005</v>
      </c>
      <c r="H24" s="13"/>
      <c r="I24" s="13"/>
      <c r="J24" s="13"/>
      <c r="K24" s="13"/>
      <c r="L24" s="13"/>
      <c r="M24" s="13"/>
      <c r="N24" s="13"/>
      <c r="AK24" s="13"/>
      <c r="AL24" s="13"/>
    </row>
    <row r="25" spans="1:38" x14ac:dyDescent="0.25">
      <c r="A25" s="3" t="s">
        <v>109</v>
      </c>
      <c r="B25" s="2">
        <v>17</v>
      </c>
      <c r="C25" s="3" t="s">
        <v>68</v>
      </c>
      <c r="D25" s="3" t="s">
        <v>83</v>
      </c>
      <c r="E25" s="3">
        <v>176</v>
      </c>
      <c r="F25" s="3" t="s">
        <v>113</v>
      </c>
      <c r="G25" s="4">
        <v>2007</v>
      </c>
      <c r="H25" s="13"/>
      <c r="I25" s="13"/>
      <c r="J25" s="13"/>
      <c r="K25" s="13"/>
      <c r="L25" s="13"/>
      <c r="M25" s="13"/>
      <c r="N25" s="13"/>
      <c r="AK25" s="13"/>
      <c r="AL25" s="13"/>
    </row>
    <row r="26" spans="1:38" x14ac:dyDescent="0.25">
      <c r="A26" s="3" t="s">
        <v>109</v>
      </c>
      <c r="B26" s="2">
        <v>18</v>
      </c>
      <c r="C26" s="3" t="s">
        <v>68</v>
      </c>
      <c r="D26" s="3" t="s">
        <v>84</v>
      </c>
      <c r="E26" s="3">
        <v>212</v>
      </c>
      <c r="F26" s="3" t="s">
        <v>113</v>
      </c>
      <c r="G26" s="4">
        <v>2005</v>
      </c>
      <c r="H26" s="13"/>
      <c r="I26" s="13"/>
      <c r="J26" s="13"/>
      <c r="K26" s="13"/>
      <c r="L26" s="13"/>
      <c r="M26" s="13"/>
      <c r="N26" s="13"/>
      <c r="AK26" s="13"/>
      <c r="AL26" s="13"/>
    </row>
    <row r="27" spans="1:38" x14ac:dyDescent="0.25">
      <c r="A27" s="3" t="s">
        <v>109</v>
      </c>
      <c r="B27" s="2">
        <v>19</v>
      </c>
      <c r="C27" s="3" t="s">
        <v>68</v>
      </c>
      <c r="D27" s="3" t="s">
        <v>85</v>
      </c>
      <c r="E27" s="3">
        <v>71</v>
      </c>
      <c r="F27" s="3" t="s">
        <v>113</v>
      </c>
      <c r="G27" s="4">
        <v>2007</v>
      </c>
      <c r="H27" s="13"/>
      <c r="I27" s="13"/>
      <c r="J27" s="13"/>
      <c r="K27" s="13"/>
      <c r="L27" s="13"/>
      <c r="M27" s="13"/>
      <c r="N27" s="13"/>
      <c r="AK27" s="13"/>
      <c r="AL27" s="13"/>
    </row>
    <row r="28" spans="1:38" x14ac:dyDescent="0.25">
      <c r="A28" s="3" t="s">
        <v>109</v>
      </c>
      <c r="B28" s="2">
        <v>20</v>
      </c>
      <c r="C28" s="3" t="s">
        <v>68</v>
      </c>
      <c r="D28" s="3" t="s">
        <v>86</v>
      </c>
      <c r="E28" s="3">
        <v>35</v>
      </c>
      <c r="F28" s="3" t="s">
        <v>113</v>
      </c>
      <c r="G28" s="4">
        <v>1976</v>
      </c>
      <c r="H28" s="13"/>
      <c r="I28" s="13"/>
      <c r="J28" s="13"/>
      <c r="K28" s="13"/>
      <c r="L28" s="13"/>
      <c r="M28" s="13"/>
      <c r="N28" s="13"/>
      <c r="AK28" s="13"/>
      <c r="AL28" s="13"/>
    </row>
    <row r="29" spans="1:38" x14ac:dyDescent="0.25">
      <c r="A29" s="3" t="s">
        <v>109</v>
      </c>
      <c r="B29" s="2">
        <v>21</v>
      </c>
      <c r="C29" s="3" t="s">
        <v>68</v>
      </c>
      <c r="D29" s="3" t="s">
        <v>87</v>
      </c>
      <c r="E29" s="3">
        <v>95</v>
      </c>
      <c r="F29" s="3" t="s">
        <v>113</v>
      </c>
      <c r="G29" s="4">
        <v>2001</v>
      </c>
      <c r="H29" s="13"/>
      <c r="I29" s="13"/>
      <c r="J29" s="13"/>
      <c r="K29" s="13"/>
      <c r="L29" s="13"/>
      <c r="M29" s="13"/>
      <c r="N29" s="13"/>
      <c r="AK29" s="13"/>
      <c r="AL29" s="13"/>
    </row>
    <row r="30" spans="1:38" x14ac:dyDescent="0.25">
      <c r="A30" s="3" t="s">
        <v>109</v>
      </c>
      <c r="B30" s="2">
        <v>22</v>
      </c>
      <c r="C30" s="3" t="s">
        <v>68</v>
      </c>
      <c r="D30" s="3" t="s">
        <v>88</v>
      </c>
      <c r="E30" s="3">
        <v>35</v>
      </c>
      <c r="F30" s="3" t="s">
        <v>113</v>
      </c>
      <c r="G30" s="4">
        <v>1989</v>
      </c>
      <c r="H30" s="13"/>
      <c r="I30" s="13"/>
      <c r="J30" s="13"/>
      <c r="K30" s="12"/>
      <c r="L30" s="12"/>
      <c r="M30" s="12"/>
      <c r="N30" s="12"/>
      <c r="AK30" s="12"/>
      <c r="AL30" s="12"/>
    </row>
    <row r="31" spans="1:38" x14ac:dyDescent="0.25">
      <c r="A31" s="3" t="s">
        <v>109</v>
      </c>
      <c r="B31" s="2">
        <v>23</v>
      </c>
      <c r="C31" s="3" t="s">
        <v>68</v>
      </c>
      <c r="D31" s="3" t="s">
        <v>89</v>
      </c>
      <c r="E31" s="3">
        <v>155</v>
      </c>
      <c r="F31" s="3" t="s">
        <v>113</v>
      </c>
      <c r="G31" s="4">
        <v>2003</v>
      </c>
      <c r="H31" s="13"/>
      <c r="I31" s="13"/>
      <c r="J31" s="13"/>
      <c r="K31" s="12"/>
      <c r="L31" s="12"/>
      <c r="M31" s="12"/>
      <c r="N31" s="12"/>
      <c r="AK31" s="12"/>
      <c r="AL31" s="12"/>
    </row>
    <row r="32" spans="1:38" x14ac:dyDescent="0.25">
      <c r="A32" s="3" t="s">
        <v>109</v>
      </c>
      <c r="B32" s="2">
        <v>24</v>
      </c>
      <c r="C32" s="3" t="s">
        <v>68</v>
      </c>
      <c r="D32" s="3" t="s">
        <v>90</v>
      </c>
      <c r="E32" s="3">
        <v>50</v>
      </c>
      <c r="F32" s="3" t="s">
        <v>113</v>
      </c>
      <c r="G32" s="4">
        <v>1993</v>
      </c>
      <c r="H32" s="13"/>
      <c r="I32" s="13"/>
      <c r="J32" s="13"/>
      <c r="K32" s="12"/>
      <c r="L32" s="12"/>
      <c r="M32" s="12"/>
      <c r="N32" s="12"/>
      <c r="AK32" s="12"/>
      <c r="AL32" s="12"/>
    </row>
    <row r="33" spans="1:10" x14ac:dyDescent="0.25">
      <c r="A33" s="3" t="s">
        <v>109</v>
      </c>
      <c r="B33" s="2">
        <v>25</v>
      </c>
      <c r="C33" s="3" t="s">
        <v>68</v>
      </c>
      <c r="D33" s="3" t="s">
        <v>91</v>
      </c>
      <c r="E33" s="3">
        <v>18</v>
      </c>
      <c r="F33" s="3" t="s">
        <v>113</v>
      </c>
      <c r="G33" s="4">
        <v>2011</v>
      </c>
      <c r="H33" s="13"/>
      <c r="I33" s="13"/>
      <c r="J33" s="13"/>
    </row>
    <row r="34" spans="1:10" x14ac:dyDescent="0.25">
      <c r="A34" s="3" t="s">
        <v>109</v>
      </c>
      <c r="B34" s="2">
        <v>26</v>
      </c>
      <c r="C34" s="3" t="s">
        <v>68</v>
      </c>
      <c r="D34" s="3" t="s">
        <v>92</v>
      </c>
      <c r="E34" s="3">
        <v>68</v>
      </c>
      <c r="F34" s="3" t="s">
        <v>113</v>
      </c>
      <c r="G34" s="4">
        <v>2003</v>
      </c>
      <c r="H34" s="13"/>
      <c r="I34" s="13"/>
      <c r="J34" s="13"/>
    </row>
    <row r="35" spans="1:10" x14ac:dyDescent="0.25">
      <c r="A35" s="3" t="s">
        <v>109</v>
      </c>
      <c r="B35" s="2">
        <v>27</v>
      </c>
      <c r="C35" s="3" t="s">
        <v>68</v>
      </c>
      <c r="D35" s="3" t="s">
        <v>93</v>
      </c>
      <c r="E35" s="3">
        <v>274</v>
      </c>
      <c r="F35" s="3" t="s">
        <v>113</v>
      </c>
      <c r="G35" s="4">
        <v>2010</v>
      </c>
      <c r="H35" s="13"/>
      <c r="I35" s="13"/>
      <c r="J35" s="13"/>
    </row>
    <row r="36" spans="1:10" x14ac:dyDescent="0.25">
      <c r="A36" s="3" t="s">
        <v>109</v>
      </c>
      <c r="B36" s="2">
        <v>28</v>
      </c>
      <c r="C36" s="3" t="s">
        <v>68</v>
      </c>
      <c r="D36" s="3" t="s">
        <v>94</v>
      </c>
      <c r="E36" s="3">
        <v>274</v>
      </c>
      <c r="F36" s="3" t="s">
        <v>113</v>
      </c>
      <c r="G36" s="4">
        <v>2010</v>
      </c>
      <c r="H36" s="13"/>
      <c r="I36" s="13"/>
      <c r="J36" s="13"/>
    </row>
    <row r="37" spans="1:10" x14ac:dyDescent="0.25">
      <c r="A37" s="3" t="s">
        <v>109</v>
      </c>
      <c r="B37" s="2">
        <v>35</v>
      </c>
      <c r="C37" s="3" t="s">
        <v>69</v>
      </c>
      <c r="D37" s="3" t="s">
        <v>101</v>
      </c>
      <c r="E37" s="3">
        <v>55</v>
      </c>
      <c r="F37" s="3" t="s">
        <v>113</v>
      </c>
      <c r="G37" s="4">
        <v>2009</v>
      </c>
      <c r="H37" s="13"/>
      <c r="I37" s="13"/>
      <c r="J37" s="13"/>
    </row>
    <row r="38" spans="1:10" x14ac:dyDescent="0.25">
      <c r="A38" s="3" t="s">
        <v>109</v>
      </c>
      <c r="B38" s="2">
        <v>29</v>
      </c>
      <c r="C38" s="3" t="s">
        <v>69</v>
      </c>
      <c r="D38" s="3" t="s">
        <v>95</v>
      </c>
      <c r="E38" s="3">
        <v>75</v>
      </c>
      <c r="F38" s="3" t="s">
        <v>113</v>
      </c>
      <c r="G38" s="4">
        <v>1988</v>
      </c>
      <c r="H38" s="13"/>
      <c r="I38" s="13"/>
      <c r="J38" s="13"/>
    </row>
    <row r="39" spans="1:10" x14ac:dyDescent="0.25">
      <c r="A39" s="3" t="s">
        <v>109</v>
      </c>
      <c r="B39" s="2">
        <v>30</v>
      </c>
      <c r="C39" s="3" t="s">
        <v>69</v>
      </c>
      <c r="D39" s="3" t="s">
        <v>96</v>
      </c>
      <c r="E39" s="3">
        <v>75</v>
      </c>
      <c r="F39" s="3" t="s">
        <v>113</v>
      </c>
      <c r="G39" s="4">
        <v>1952</v>
      </c>
      <c r="H39" s="13"/>
      <c r="I39" s="13"/>
      <c r="J39" s="13"/>
    </row>
    <row r="40" spans="1:10" x14ac:dyDescent="0.25">
      <c r="A40" s="3" t="s">
        <v>109</v>
      </c>
      <c r="B40" s="2">
        <v>31</v>
      </c>
      <c r="C40" s="3" t="s">
        <v>69</v>
      </c>
      <c r="D40" s="3" t="s">
        <v>97</v>
      </c>
      <c r="E40" s="3">
        <v>75</v>
      </c>
      <c r="F40" s="3" t="s">
        <v>113</v>
      </c>
      <c r="G40" s="4">
        <v>1952</v>
      </c>
      <c r="H40" s="13"/>
      <c r="I40" s="13"/>
      <c r="J40" s="13"/>
    </row>
    <row r="41" spans="1:10" x14ac:dyDescent="0.25">
      <c r="A41" s="3" t="s">
        <v>109</v>
      </c>
      <c r="B41" s="2">
        <v>32</v>
      </c>
      <c r="C41" s="3" t="s">
        <v>69</v>
      </c>
      <c r="D41" s="3" t="s">
        <v>98</v>
      </c>
      <c r="E41" s="3">
        <v>75</v>
      </c>
      <c r="F41" s="3" t="s">
        <v>113</v>
      </c>
      <c r="G41" s="4">
        <v>1955</v>
      </c>
      <c r="H41" s="13"/>
      <c r="I41" s="13"/>
      <c r="J41" s="13"/>
    </row>
    <row r="42" spans="1:10" x14ac:dyDescent="0.25">
      <c r="A42" s="3" t="s">
        <v>109</v>
      </c>
      <c r="B42" s="2">
        <v>33</v>
      </c>
      <c r="C42" s="3" t="s">
        <v>69</v>
      </c>
      <c r="D42" s="3" t="s">
        <v>99</v>
      </c>
      <c r="E42" s="3">
        <v>75</v>
      </c>
      <c r="F42" s="3" t="s">
        <v>113</v>
      </c>
      <c r="G42" s="4">
        <v>1994</v>
      </c>
      <c r="H42" s="13"/>
      <c r="I42" s="13"/>
      <c r="J42" s="13"/>
    </row>
    <row r="43" spans="1:10" x14ac:dyDescent="0.25">
      <c r="A43" s="3" t="s">
        <v>109</v>
      </c>
      <c r="B43" s="2">
        <v>34</v>
      </c>
      <c r="C43" s="3" t="s">
        <v>69</v>
      </c>
      <c r="D43" s="3" t="s">
        <v>100</v>
      </c>
      <c r="E43" s="3">
        <v>220</v>
      </c>
      <c r="F43" s="3" t="s">
        <v>113</v>
      </c>
      <c r="G43" s="4">
        <v>1995</v>
      </c>
      <c r="H43" s="13"/>
      <c r="I43" s="13"/>
      <c r="J43" s="13"/>
    </row>
    <row r="44" spans="1:10" x14ac:dyDescent="0.25">
      <c r="A44" s="3" t="s">
        <v>109</v>
      </c>
      <c r="B44" s="2">
        <v>36</v>
      </c>
      <c r="C44" s="3" t="s">
        <v>69</v>
      </c>
      <c r="D44" s="3" t="s">
        <v>102</v>
      </c>
      <c r="E44" s="3">
        <v>220</v>
      </c>
      <c r="F44" s="3" t="s">
        <v>113</v>
      </c>
      <c r="G44" s="4">
        <v>1995</v>
      </c>
      <c r="H44" s="13"/>
      <c r="I44" s="13"/>
      <c r="J44" s="13"/>
    </row>
    <row r="45" spans="1:10" x14ac:dyDescent="0.25">
      <c r="A45" s="3" t="s">
        <v>109</v>
      </c>
      <c r="B45" s="2" t="s">
        <v>56</v>
      </c>
      <c r="C45" s="3" t="s">
        <v>70</v>
      </c>
      <c r="D45" s="3" t="s">
        <v>103</v>
      </c>
      <c r="E45" s="9">
        <v>3620</v>
      </c>
      <c r="F45" s="3" t="s">
        <v>117</v>
      </c>
      <c r="G45" s="4">
        <v>1993</v>
      </c>
      <c r="H45" s="13"/>
      <c r="I45" s="13"/>
      <c r="J45" s="13"/>
    </row>
    <row r="46" spans="1:10" x14ac:dyDescent="0.25">
      <c r="A46" s="3" t="s">
        <v>109</v>
      </c>
      <c r="B46" s="2" t="s">
        <v>57</v>
      </c>
      <c r="C46" s="3" t="s">
        <v>71</v>
      </c>
      <c r="D46" s="3" t="s">
        <v>104</v>
      </c>
      <c r="E46" s="9">
        <v>3620</v>
      </c>
      <c r="F46" s="3" t="s">
        <v>117</v>
      </c>
      <c r="G46" s="4">
        <v>1994</v>
      </c>
      <c r="H46" s="13"/>
      <c r="I46" s="13"/>
      <c r="J46" s="13"/>
    </row>
    <row r="47" spans="1:10" x14ac:dyDescent="0.25">
      <c r="A47" s="3" t="s">
        <v>109</v>
      </c>
      <c r="B47" s="2">
        <v>52</v>
      </c>
      <c r="C47" s="3" t="s">
        <v>72</v>
      </c>
      <c r="D47" s="3" t="s">
        <v>73</v>
      </c>
      <c r="E47" s="3" t="s">
        <v>49</v>
      </c>
      <c r="F47" s="3" t="s">
        <v>49</v>
      </c>
      <c r="G47" s="4" t="s">
        <v>105</v>
      </c>
      <c r="H47" s="13"/>
      <c r="I47" s="13"/>
      <c r="J47" s="13"/>
    </row>
    <row r="48" spans="1:10" x14ac:dyDescent="0.25">
      <c r="A48" s="5" t="s">
        <v>110</v>
      </c>
    </row>
    <row r="49" spans="1:1" x14ac:dyDescent="0.25">
      <c r="A49" s="5" t="s">
        <v>111</v>
      </c>
    </row>
  </sheetData>
  <mergeCells count="3">
    <mergeCell ref="A2:G2"/>
    <mergeCell ref="K2:AJ2"/>
    <mergeCell ref="AK2:BD2"/>
  </mergeCells>
  <pageMargins left="0.7" right="0.7" top="0.75" bottom="0.75" header="0.3" footer="0.3"/>
  <pageSetup scale="2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69"/>
  <sheetViews>
    <sheetView view="pageLayout" zoomScaleNormal="100" zoomScaleSheetLayoutView="100" workbookViewId="0">
      <selection activeCell="G43" sqref="G43"/>
    </sheetView>
  </sheetViews>
  <sheetFormatPr defaultColWidth="9.140625" defaultRowHeight="12.75" x14ac:dyDescent="0.2"/>
  <cols>
    <col min="1" max="1" width="10" style="235" customWidth="1"/>
    <col min="2" max="2" width="43" style="235" customWidth="1"/>
    <col min="3" max="3" width="38.7109375" style="235" customWidth="1"/>
    <col min="4" max="4" width="19.7109375" style="235" customWidth="1"/>
    <col min="5" max="7" width="9.28515625" style="235" customWidth="1"/>
    <col min="8" max="10" width="12.28515625" style="235" customWidth="1"/>
    <col min="11" max="16384" width="9.140625" style="235"/>
  </cols>
  <sheetData>
    <row r="1" spans="1:15" ht="15" customHeight="1" x14ac:dyDescent="0.25">
      <c r="A1" s="1002" t="s">
        <v>963</v>
      </c>
      <c r="B1" s="1002"/>
      <c r="C1" s="1002"/>
      <c r="D1" s="1002"/>
      <c r="E1" s="1002"/>
      <c r="F1" s="1002"/>
      <c r="G1" s="1002"/>
      <c r="H1" s="1002"/>
      <c r="I1" s="1002"/>
      <c r="J1" s="1002"/>
    </row>
    <row r="2" spans="1:15" ht="15.75" x14ac:dyDescent="0.25">
      <c r="A2" s="1002" t="s">
        <v>416</v>
      </c>
      <c r="B2" s="1002"/>
      <c r="C2" s="1002"/>
      <c r="D2" s="1002"/>
      <c r="E2" s="1002"/>
      <c r="F2" s="1002"/>
      <c r="G2" s="1002"/>
      <c r="H2" s="1002"/>
      <c r="I2" s="1002"/>
      <c r="J2" s="1002"/>
    </row>
    <row r="3" spans="1:15" ht="13.5" thickBot="1" x14ac:dyDescent="0.25">
      <c r="A3" s="66"/>
      <c r="B3" s="66"/>
      <c r="C3" s="66"/>
      <c r="D3" s="66"/>
      <c r="E3" s="66"/>
      <c r="F3" s="66"/>
      <c r="G3" s="66"/>
      <c r="H3" s="66"/>
      <c r="I3" s="66"/>
      <c r="J3" s="66"/>
    </row>
    <row r="4" spans="1:15" ht="15" customHeight="1" x14ac:dyDescent="0.25">
      <c r="A4" s="1123" t="s">
        <v>417</v>
      </c>
      <c r="B4" s="1124"/>
      <c r="C4" s="1124"/>
      <c r="D4" s="236" t="s">
        <v>418</v>
      </c>
      <c r="E4" s="1125" t="s">
        <v>419</v>
      </c>
      <c r="F4" s="1126"/>
      <c r="G4" s="1129" t="s">
        <v>119</v>
      </c>
      <c r="H4" s="1130"/>
      <c r="I4" s="1133" t="s">
        <v>767</v>
      </c>
      <c r="J4" s="1134"/>
    </row>
    <row r="5" spans="1:15" ht="15" x14ac:dyDescent="0.25">
      <c r="A5" s="237" t="s">
        <v>157</v>
      </c>
      <c r="B5" s="238" t="s">
        <v>420</v>
      </c>
      <c r="C5" s="238" t="s">
        <v>25</v>
      </c>
      <c r="D5" s="239" t="s">
        <v>421</v>
      </c>
      <c r="E5" s="1127"/>
      <c r="F5" s="1128"/>
      <c r="G5" s="1131"/>
      <c r="H5" s="1132"/>
      <c r="I5" s="1135"/>
      <c r="J5" s="1136"/>
    </row>
    <row r="6" spans="1:15" ht="15.75" thickBot="1" x14ac:dyDescent="0.3">
      <c r="A6" s="1137" t="s">
        <v>422</v>
      </c>
      <c r="B6" s="1138"/>
      <c r="C6" s="1138"/>
      <c r="D6" s="1138"/>
      <c r="E6" s="1138"/>
      <c r="F6" s="1138"/>
      <c r="G6" s="1138"/>
      <c r="H6" s="1138"/>
      <c r="I6" s="1138"/>
      <c r="J6" s="1139"/>
    </row>
    <row r="7" spans="1:15" s="248" customFormat="1" ht="15" customHeight="1" thickTop="1" x14ac:dyDescent="0.25">
      <c r="A7" s="240">
        <v>1</v>
      </c>
      <c r="B7" s="241" t="s">
        <v>423</v>
      </c>
      <c r="C7" s="241" t="s">
        <v>424</v>
      </c>
      <c r="D7" s="242" t="s">
        <v>425</v>
      </c>
      <c r="E7" s="1121" t="s">
        <v>49</v>
      </c>
      <c r="F7" s="1122"/>
      <c r="G7" s="243">
        <v>230</v>
      </c>
      <c r="H7" s="244" t="s">
        <v>112</v>
      </c>
      <c r="I7" s="1140">
        <v>336000</v>
      </c>
      <c r="J7" s="1143" t="s">
        <v>957</v>
      </c>
      <c r="K7" s="247"/>
      <c r="L7" s="247"/>
      <c r="M7" s="247"/>
      <c r="N7" s="247"/>
      <c r="O7" s="247"/>
    </row>
    <row r="8" spans="1:15" s="248" customFormat="1" ht="15" x14ac:dyDescent="0.25">
      <c r="A8" s="240">
        <v>2</v>
      </c>
      <c r="B8" s="241" t="s">
        <v>427</v>
      </c>
      <c r="C8" s="241" t="s">
        <v>428</v>
      </c>
      <c r="D8" s="242" t="s">
        <v>425</v>
      </c>
      <c r="E8" s="1121" t="s">
        <v>49</v>
      </c>
      <c r="F8" s="1122"/>
      <c r="G8" s="243">
        <v>230</v>
      </c>
      <c r="H8" s="244" t="s">
        <v>112</v>
      </c>
      <c r="I8" s="1141"/>
      <c r="J8" s="1144"/>
      <c r="K8" s="247"/>
      <c r="L8" s="247"/>
      <c r="M8" s="247"/>
      <c r="N8" s="247"/>
      <c r="O8" s="247"/>
    </row>
    <row r="9" spans="1:15" s="248" customFormat="1" ht="15" x14ac:dyDescent="0.25">
      <c r="A9" s="240">
        <v>3</v>
      </c>
      <c r="B9" s="241" t="s">
        <v>429</v>
      </c>
      <c r="C9" s="241" t="s">
        <v>428</v>
      </c>
      <c r="D9" s="242" t="s">
        <v>425</v>
      </c>
      <c r="E9" s="1121" t="s">
        <v>49</v>
      </c>
      <c r="F9" s="1122"/>
      <c r="G9" s="249">
        <v>230</v>
      </c>
      <c r="H9" s="250" t="s">
        <v>112</v>
      </c>
      <c r="I9" s="1141"/>
      <c r="J9" s="1144"/>
      <c r="K9" s="247"/>
      <c r="L9" s="247"/>
      <c r="M9" s="247"/>
      <c r="N9" s="247"/>
      <c r="O9" s="247"/>
    </row>
    <row r="10" spans="1:15" s="248" customFormat="1" ht="15" x14ac:dyDescent="0.25">
      <c r="A10" s="240">
        <v>4</v>
      </c>
      <c r="B10" s="241" t="s">
        <v>430</v>
      </c>
      <c r="C10" s="241" t="s">
        <v>428</v>
      </c>
      <c r="D10" s="242" t="s">
        <v>425</v>
      </c>
      <c r="E10" s="1121" t="s">
        <v>49</v>
      </c>
      <c r="F10" s="1122"/>
      <c r="G10" s="249">
        <v>230</v>
      </c>
      <c r="H10" s="250" t="s">
        <v>112</v>
      </c>
      <c r="I10" s="1141"/>
      <c r="J10" s="1144"/>
      <c r="K10" s="247"/>
      <c r="L10" s="247"/>
      <c r="M10" s="247"/>
      <c r="N10" s="247"/>
      <c r="O10" s="247"/>
    </row>
    <row r="11" spans="1:15" s="248" customFormat="1" ht="15" x14ac:dyDescent="0.25">
      <c r="A11" s="240">
        <v>5</v>
      </c>
      <c r="B11" s="241" t="s">
        <v>431</v>
      </c>
      <c r="C11" s="241" t="s">
        <v>428</v>
      </c>
      <c r="D11" s="242" t="s">
        <v>425</v>
      </c>
      <c r="E11" s="1121" t="s">
        <v>49</v>
      </c>
      <c r="F11" s="1122"/>
      <c r="G11" s="251">
        <v>230</v>
      </c>
      <c r="H11" s="244" t="s">
        <v>112</v>
      </c>
      <c r="I11" s="1141"/>
      <c r="J11" s="1144"/>
      <c r="K11" s="247"/>
      <c r="L11" s="247"/>
      <c r="M11" s="247"/>
      <c r="N11" s="247"/>
      <c r="O11" s="247"/>
    </row>
    <row r="12" spans="1:15" s="248" customFormat="1" ht="15" x14ac:dyDescent="0.25">
      <c r="A12" s="240">
        <v>6</v>
      </c>
      <c r="B12" s="241" t="s">
        <v>432</v>
      </c>
      <c r="C12" s="241" t="s">
        <v>428</v>
      </c>
      <c r="D12" s="242" t="s">
        <v>425</v>
      </c>
      <c r="E12" s="1121" t="s">
        <v>49</v>
      </c>
      <c r="F12" s="1122"/>
      <c r="G12" s="251">
        <v>230</v>
      </c>
      <c r="H12" s="244" t="s">
        <v>112</v>
      </c>
      <c r="I12" s="1142"/>
      <c r="J12" s="1145"/>
      <c r="K12" s="247"/>
      <c r="L12" s="247"/>
      <c r="M12" s="247"/>
      <c r="N12" s="247"/>
      <c r="O12" s="247"/>
    </row>
    <row r="13" spans="1:15" s="248" customFormat="1" ht="17.25" x14ac:dyDescent="0.25">
      <c r="A13" s="240" t="s">
        <v>53</v>
      </c>
      <c r="B13" s="252" t="s">
        <v>433</v>
      </c>
      <c r="C13" s="241" t="s">
        <v>434</v>
      </c>
      <c r="D13" s="242" t="s">
        <v>49</v>
      </c>
      <c r="E13" s="1121" t="s">
        <v>49</v>
      </c>
      <c r="F13" s="1122"/>
      <c r="G13" s="253">
        <v>13150</v>
      </c>
      <c r="H13" s="254" t="s">
        <v>435</v>
      </c>
      <c r="I13" s="245">
        <v>8584.7999999999993</v>
      </c>
      <c r="J13" s="246" t="s">
        <v>958</v>
      </c>
      <c r="K13" s="247"/>
      <c r="L13" s="247"/>
      <c r="M13" s="247"/>
      <c r="N13" s="247"/>
      <c r="O13" s="247"/>
    </row>
    <row r="14" spans="1:15" s="248" customFormat="1" ht="17.25" x14ac:dyDescent="0.25">
      <c r="A14" s="240" t="s">
        <v>54</v>
      </c>
      <c r="B14" s="252" t="s">
        <v>436</v>
      </c>
      <c r="C14" s="241" t="s">
        <v>437</v>
      </c>
      <c r="D14" s="242" t="s">
        <v>49</v>
      </c>
      <c r="E14" s="1121" t="s">
        <v>49</v>
      </c>
      <c r="F14" s="1122"/>
      <c r="G14" s="253">
        <v>884</v>
      </c>
      <c r="H14" s="254" t="s">
        <v>435</v>
      </c>
      <c r="I14" s="245">
        <v>8760</v>
      </c>
      <c r="J14" s="246" t="s">
        <v>958</v>
      </c>
      <c r="K14" s="247"/>
      <c r="L14" s="247"/>
      <c r="M14" s="247"/>
      <c r="N14" s="247"/>
      <c r="O14" s="247"/>
    </row>
    <row r="15" spans="1:15" s="248" customFormat="1" ht="17.25" x14ac:dyDescent="0.25">
      <c r="A15" s="240" t="s">
        <v>55</v>
      </c>
      <c r="B15" s="255" t="s">
        <v>438</v>
      </c>
      <c r="C15" s="241" t="s">
        <v>439</v>
      </c>
      <c r="D15" s="242" t="s">
        <v>49</v>
      </c>
      <c r="E15" s="1121" t="s">
        <v>49</v>
      </c>
      <c r="F15" s="1122"/>
      <c r="G15" s="253">
        <v>9250</v>
      </c>
      <c r="H15" s="254" t="s">
        <v>435</v>
      </c>
      <c r="I15" s="245">
        <v>175.20000000000002</v>
      </c>
      <c r="J15" s="246" t="s">
        <v>958</v>
      </c>
      <c r="K15" s="247"/>
      <c r="L15" s="247"/>
      <c r="M15" s="247"/>
      <c r="N15" s="247"/>
      <c r="O15" s="247"/>
    </row>
    <row r="16" spans="1:15" s="260" customFormat="1" ht="16.5" x14ac:dyDescent="0.2">
      <c r="A16" s="256">
        <v>8</v>
      </c>
      <c r="B16" s="241" t="s">
        <v>921</v>
      </c>
      <c r="C16" s="241" t="s">
        <v>440</v>
      </c>
      <c r="D16" s="242" t="s">
        <v>441</v>
      </c>
      <c r="E16" s="257">
        <v>2000</v>
      </c>
      <c r="F16" s="258" t="s">
        <v>116</v>
      </c>
      <c r="G16" s="253">
        <v>2937</v>
      </c>
      <c r="H16" s="250" t="s">
        <v>442</v>
      </c>
      <c r="I16" s="245">
        <v>500</v>
      </c>
      <c r="J16" s="246" t="s">
        <v>959</v>
      </c>
      <c r="K16" s="259"/>
      <c r="L16" s="259"/>
      <c r="M16" s="259"/>
      <c r="N16" s="259"/>
      <c r="O16" s="259"/>
    </row>
    <row r="17" spans="1:15" s="248" customFormat="1" ht="17.25" x14ac:dyDescent="0.25">
      <c r="A17" s="240">
        <v>9</v>
      </c>
      <c r="B17" s="241" t="s">
        <v>443</v>
      </c>
      <c r="C17" s="261" t="s">
        <v>444</v>
      </c>
      <c r="D17" s="242" t="s">
        <v>441</v>
      </c>
      <c r="E17" s="262">
        <v>250</v>
      </c>
      <c r="F17" s="263" t="s">
        <v>116</v>
      </c>
      <c r="G17" s="264">
        <f>E17*$C$68/$C$69</f>
        <v>352.89473684210526</v>
      </c>
      <c r="H17" s="250" t="s">
        <v>445</v>
      </c>
      <c r="I17" s="245">
        <v>500</v>
      </c>
      <c r="J17" s="246" t="s">
        <v>960</v>
      </c>
      <c r="K17" s="265"/>
      <c r="L17" s="247"/>
      <c r="M17" s="247"/>
      <c r="N17" s="247"/>
      <c r="O17" s="247"/>
    </row>
    <row r="18" spans="1:15" s="248" customFormat="1" ht="17.25" x14ac:dyDescent="0.25">
      <c r="A18" s="240">
        <v>10</v>
      </c>
      <c r="B18" s="241" t="s">
        <v>443</v>
      </c>
      <c r="C18" s="266" t="s">
        <v>446</v>
      </c>
      <c r="D18" s="242" t="s">
        <v>441</v>
      </c>
      <c r="E18" s="262">
        <v>500</v>
      </c>
      <c r="F18" s="263" t="s">
        <v>116</v>
      </c>
      <c r="G18" s="264">
        <v>762</v>
      </c>
      <c r="H18" s="250" t="s">
        <v>442</v>
      </c>
      <c r="I18" s="245">
        <v>500</v>
      </c>
      <c r="J18" s="246" t="s">
        <v>960</v>
      </c>
      <c r="K18" s="247"/>
      <c r="L18" s="247"/>
      <c r="M18" s="247"/>
      <c r="N18" s="247"/>
      <c r="O18" s="247"/>
    </row>
    <row r="19" spans="1:15" s="248" customFormat="1" ht="17.25" x14ac:dyDescent="0.25">
      <c r="A19" s="240">
        <v>11</v>
      </c>
      <c r="B19" s="241" t="s">
        <v>443</v>
      </c>
      <c r="C19" s="266" t="s">
        <v>446</v>
      </c>
      <c r="D19" s="242" t="s">
        <v>441</v>
      </c>
      <c r="E19" s="262">
        <v>500</v>
      </c>
      <c r="F19" s="263" t="s">
        <v>116</v>
      </c>
      <c r="G19" s="264">
        <v>762</v>
      </c>
      <c r="H19" s="250" t="s">
        <v>442</v>
      </c>
      <c r="I19" s="245">
        <v>500</v>
      </c>
      <c r="J19" s="246" t="s">
        <v>960</v>
      </c>
      <c r="K19" s="247"/>
      <c r="L19" s="247"/>
      <c r="M19" s="247"/>
      <c r="N19" s="247"/>
      <c r="O19" s="247"/>
    </row>
    <row r="20" spans="1:15" ht="17.25" x14ac:dyDescent="0.25">
      <c r="A20" s="240">
        <v>12</v>
      </c>
      <c r="B20" s="241" t="s">
        <v>443</v>
      </c>
      <c r="C20" s="261" t="s">
        <v>447</v>
      </c>
      <c r="D20" s="242" t="s">
        <v>441</v>
      </c>
      <c r="E20" s="262">
        <v>50</v>
      </c>
      <c r="F20" s="263" t="s">
        <v>116</v>
      </c>
      <c r="G20" s="264">
        <v>82</v>
      </c>
      <c r="H20" s="250" t="s">
        <v>442</v>
      </c>
      <c r="I20" s="245">
        <v>500</v>
      </c>
      <c r="J20" s="246" t="s">
        <v>960</v>
      </c>
      <c r="K20" s="267"/>
      <c r="L20" s="267"/>
      <c r="M20" s="267"/>
      <c r="N20" s="267"/>
      <c r="O20" s="267"/>
    </row>
    <row r="21" spans="1:15" ht="17.25" x14ac:dyDescent="0.25">
      <c r="A21" s="240">
        <v>13</v>
      </c>
      <c r="B21" s="241" t="s">
        <v>443</v>
      </c>
      <c r="C21" s="268" t="s">
        <v>448</v>
      </c>
      <c r="D21" s="242" t="s">
        <v>441</v>
      </c>
      <c r="E21" s="262">
        <v>400</v>
      </c>
      <c r="F21" s="263" t="s">
        <v>116</v>
      </c>
      <c r="G21" s="264">
        <v>587</v>
      </c>
      <c r="H21" s="250" t="s">
        <v>442</v>
      </c>
      <c r="I21" s="245">
        <v>500</v>
      </c>
      <c r="J21" s="246" t="s">
        <v>960</v>
      </c>
      <c r="K21" s="267"/>
      <c r="L21" s="267"/>
      <c r="M21" s="267"/>
      <c r="N21" s="267"/>
      <c r="O21" s="267"/>
    </row>
    <row r="22" spans="1:15" ht="17.25" x14ac:dyDescent="0.25">
      <c r="A22" s="240">
        <v>14</v>
      </c>
      <c r="B22" s="241" t="s">
        <v>443</v>
      </c>
      <c r="C22" s="261" t="s">
        <v>449</v>
      </c>
      <c r="D22" s="242" t="s">
        <v>441</v>
      </c>
      <c r="E22" s="262">
        <v>200</v>
      </c>
      <c r="F22" s="263" t="s">
        <v>116</v>
      </c>
      <c r="G22" s="264">
        <v>320</v>
      </c>
      <c r="H22" s="250" t="s">
        <v>442</v>
      </c>
      <c r="I22" s="245">
        <v>500</v>
      </c>
      <c r="J22" s="246" t="s">
        <v>960</v>
      </c>
      <c r="K22" s="267"/>
      <c r="L22" s="267"/>
      <c r="M22" s="267"/>
      <c r="N22" s="267"/>
      <c r="O22" s="267"/>
    </row>
    <row r="23" spans="1:15" ht="16.5" x14ac:dyDescent="0.2">
      <c r="A23" s="240">
        <v>15</v>
      </c>
      <c r="B23" s="241" t="s">
        <v>443</v>
      </c>
      <c r="C23" s="261" t="s">
        <v>450</v>
      </c>
      <c r="D23" s="242" t="s">
        <v>441</v>
      </c>
      <c r="E23" s="262">
        <v>750</v>
      </c>
      <c r="F23" s="263" t="s">
        <v>116</v>
      </c>
      <c r="G23" s="264">
        <f t="shared" ref="G23:G28" si="0">E23*$C$68/$C$69</f>
        <v>1058.6842105263158</v>
      </c>
      <c r="H23" s="250" t="s">
        <v>445</v>
      </c>
      <c r="I23" s="245">
        <v>500</v>
      </c>
      <c r="J23" s="246" t="s">
        <v>960</v>
      </c>
    </row>
    <row r="24" spans="1:15" ht="16.5" x14ac:dyDescent="0.2">
      <c r="A24" s="240">
        <v>16</v>
      </c>
      <c r="B24" s="241" t="s">
        <v>443</v>
      </c>
      <c r="C24" s="266" t="s">
        <v>451</v>
      </c>
      <c r="D24" s="242" t="s">
        <v>441</v>
      </c>
      <c r="E24" s="262">
        <v>150</v>
      </c>
      <c r="F24" s="263" t="s">
        <v>116</v>
      </c>
      <c r="G24" s="264">
        <f t="shared" si="0"/>
        <v>211.73684210526318</v>
      </c>
      <c r="H24" s="250" t="s">
        <v>445</v>
      </c>
      <c r="I24" s="245">
        <v>500</v>
      </c>
      <c r="J24" s="246" t="s">
        <v>960</v>
      </c>
    </row>
    <row r="25" spans="1:15" ht="16.5" x14ac:dyDescent="0.2">
      <c r="A25" s="240">
        <v>17</v>
      </c>
      <c r="B25" s="241" t="s">
        <v>443</v>
      </c>
      <c r="C25" s="266" t="s">
        <v>451</v>
      </c>
      <c r="D25" s="242" t="s">
        <v>441</v>
      </c>
      <c r="E25" s="262">
        <v>125</v>
      </c>
      <c r="F25" s="263" t="s">
        <v>116</v>
      </c>
      <c r="G25" s="264">
        <f t="shared" si="0"/>
        <v>176.44736842105263</v>
      </c>
      <c r="H25" s="250" t="s">
        <v>445</v>
      </c>
      <c r="I25" s="245">
        <v>500</v>
      </c>
      <c r="J25" s="246" t="s">
        <v>960</v>
      </c>
    </row>
    <row r="26" spans="1:15" ht="16.5" x14ac:dyDescent="0.2">
      <c r="A26" s="240">
        <v>18</v>
      </c>
      <c r="B26" s="241" t="s">
        <v>443</v>
      </c>
      <c r="C26" s="266" t="s">
        <v>452</v>
      </c>
      <c r="D26" s="242" t="s">
        <v>441</v>
      </c>
      <c r="E26" s="262">
        <v>150</v>
      </c>
      <c r="F26" s="263" t="s">
        <v>116</v>
      </c>
      <c r="G26" s="264">
        <f t="shared" si="0"/>
        <v>211.73684210526318</v>
      </c>
      <c r="H26" s="250" t="s">
        <v>445</v>
      </c>
      <c r="I26" s="245">
        <v>500</v>
      </c>
      <c r="J26" s="246" t="s">
        <v>960</v>
      </c>
    </row>
    <row r="27" spans="1:15" ht="16.5" x14ac:dyDescent="0.2">
      <c r="A27" s="240">
        <v>19</v>
      </c>
      <c r="B27" s="241" t="s">
        <v>443</v>
      </c>
      <c r="C27" s="266" t="s">
        <v>453</v>
      </c>
      <c r="D27" s="242" t="s">
        <v>441</v>
      </c>
      <c r="E27" s="262">
        <v>50</v>
      </c>
      <c r="F27" s="263" t="s">
        <v>116</v>
      </c>
      <c r="G27" s="264">
        <f t="shared" si="0"/>
        <v>70.578947368421055</v>
      </c>
      <c r="H27" s="250" t="s">
        <v>445</v>
      </c>
      <c r="I27" s="245">
        <v>500</v>
      </c>
      <c r="J27" s="246" t="s">
        <v>960</v>
      </c>
    </row>
    <row r="28" spans="1:15" ht="16.5" x14ac:dyDescent="0.2">
      <c r="A28" s="240">
        <v>20</v>
      </c>
      <c r="B28" s="241" t="s">
        <v>443</v>
      </c>
      <c r="C28" s="266" t="s">
        <v>454</v>
      </c>
      <c r="D28" s="242" t="s">
        <v>441</v>
      </c>
      <c r="E28" s="262">
        <v>25</v>
      </c>
      <c r="F28" s="263" t="s">
        <v>116</v>
      </c>
      <c r="G28" s="264">
        <f t="shared" si="0"/>
        <v>35.289473684210527</v>
      </c>
      <c r="H28" s="250" t="s">
        <v>445</v>
      </c>
      <c r="I28" s="245">
        <v>500</v>
      </c>
      <c r="J28" s="246" t="s">
        <v>960</v>
      </c>
    </row>
    <row r="29" spans="1:15" ht="16.5" x14ac:dyDescent="0.2">
      <c r="A29" s="240">
        <v>21</v>
      </c>
      <c r="B29" s="241" t="s">
        <v>443</v>
      </c>
      <c r="C29" s="266" t="s">
        <v>455</v>
      </c>
      <c r="D29" s="242" t="s">
        <v>441</v>
      </c>
      <c r="E29" s="262">
        <v>60</v>
      </c>
      <c r="F29" s="263" t="s">
        <v>116</v>
      </c>
      <c r="G29" s="264">
        <v>95</v>
      </c>
      <c r="H29" s="250" t="s">
        <v>442</v>
      </c>
      <c r="I29" s="245">
        <v>500</v>
      </c>
      <c r="J29" s="246" t="s">
        <v>960</v>
      </c>
    </row>
    <row r="30" spans="1:15" ht="16.5" x14ac:dyDescent="0.2">
      <c r="A30" s="240">
        <v>22</v>
      </c>
      <c r="B30" s="241" t="s">
        <v>443</v>
      </c>
      <c r="C30" s="266" t="s">
        <v>222</v>
      </c>
      <c r="D30" s="242" t="s">
        <v>441</v>
      </c>
      <c r="E30" s="262">
        <v>25</v>
      </c>
      <c r="F30" s="263" t="s">
        <v>116</v>
      </c>
      <c r="G30" s="264">
        <f>E30*$C$68/$C$69</f>
        <v>35.289473684210527</v>
      </c>
      <c r="H30" s="250" t="s">
        <v>445</v>
      </c>
      <c r="I30" s="245">
        <v>500</v>
      </c>
      <c r="J30" s="246" t="s">
        <v>960</v>
      </c>
    </row>
    <row r="31" spans="1:15" ht="16.5" x14ac:dyDescent="0.2">
      <c r="A31" s="240">
        <v>23</v>
      </c>
      <c r="B31" s="241" t="s">
        <v>443</v>
      </c>
      <c r="C31" s="266" t="s">
        <v>452</v>
      </c>
      <c r="D31" s="242" t="s">
        <v>441</v>
      </c>
      <c r="E31" s="262">
        <v>110</v>
      </c>
      <c r="F31" s="263" t="s">
        <v>116</v>
      </c>
      <c r="G31" s="264">
        <f>E31*$C$68/$C$69</f>
        <v>155.27368421052631</v>
      </c>
      <c r="H31" s="250" t="s">
        <v>445</v>
      </c>
      <c r="I31" s="245">
        <v>500</v>
      </c>
      <c r="J31" s="246" t="s">
        <v>960</v>
      </c>
    </row>
    <row r="32" spans="1:15" ht="16.5" x14ac:dyDescent="0.2">
      <c r="A32" s="240">
        <v>24</v>
      </c>
      <c r="B32" s="241" t="s">
        <v>443</v>
      </c>
      <c r="C32" s="266" t="s">
        <v>456</v>
      </c>
      <c r="D32" s="242" t="s">
        <v>441</v>
      </c>
      <c r="E32" s="262">
        <v>25</v>
      </c>
      <c r="F32" s="263" t="s">
        <v>116</v>
      </c>
      <c r="G32" s="264">
        <v>50</v>
      </c>
      <c r="H32" s="250" t="s">
        <v>442</v>
      </c>
      <c r="I32" s="245">
        <v>500</v>
      </c>
      <c r="J32" s="246" t="s">
        <v>960</v>
      </c>
    </row>
    <row r="33" spans="1:10" ht="16.5" x14ac:dyDescent="0.2">
      <c r="A33" s="240">
        <v>25</v>
      </c>
      <c r="B33" s="241" t="s">
        <v>443</v>
      </c>
      <c r="C33" s="266" t="s">
        <v>457</v>
      </c>
      <c r="D33" s="242" t="s">
        <v>441</v>
      </c>
      <c r="E33" s="262">
        <v>13</v>
      </c>
      <c r="F33" s="263" t="s">
        <v>116</v>
      </c>
      <c r="G33" s="264">
        <f>E33*$C$68/$C$69</f>
        <v>18.350526315789473</v>
      </c>
      <c r="H33" s="250" t="s">
        <v>445</v>
      </c>
      <c r="I33" s="245">
        <v>500</v>
      </c>
      <c r="J33" s="246" t="s">
        <v>960</v>
      </c>
    </row>
    <row r="34" spans="1:10" ht="16.5" x14ac:dyDescent="0.2">
      <c r="A34" s="240">
        <v>26</v>
      </c>
      <c r="B34" s="241" t="s">
        <v>443</v>
      </c>
      <c r="C34" s="266" t="s">
        <v>458</v>
      </c>
      <c r="D34" s="242" t="s">
        <v>441</v>
      </c>
      <c r="E34" s="262">
        <v>35</v>
      </c>
      <c r="F34" s="263" t="s">
        <v>116</v>
      </c>
      <c r="G34" s="264">
        <v>68</v>
      </c>
      <c r="H34" s="250" t="s">
        <v>442</v>
      </c>
      <c r="I34" s="245">
        <v>500</v>
      </c>
      <c r="J34" s="246" t="s">
        <v>960</v>
      </c>
    </row>
    <row r="35" spans="1:10" ht="16.5" x14ac:dyDescent="0.2">
      <c r="A35" s="240">
        <v>27</v>
      </c>
      <c r="B35" s="241" t="s">
        <v>443</v>
      </c>
      <c r="C35" s="266" t="s">
        <v>459</v>
      </c>
      <c r="D35" s="242" t="s">
        <v>441</v>
      </c>
      <c r="E35" s="262">
        <v>175</v>
      </c>
      <c r="F35" s="263" t="s">
        <v>116</v>
      </c>
      <c r="G35" s="264">
        <v>274</v>
      </c>
      <c r="H35" s="250" t="s">
        <v>442</v>
      </c>
      <c r="I35" s="245">
        <v>500</v>
      </c>
      <c r="J35" s="246" t="s">
        <v>960</v>
      </c>
    </row>
    <row r="36" spans="1:10" ht="16.5" x14ac:dyDescent="0.2">
      <c r="A36" s="240">
        <v>28</v>
      </c>
      <c r="B36" s="241" t="s">
        <v>443</v>
      </c>
      <c r="C36" s="266" t="s">
        <v>459</v>
      </c>
      <c r="D36" s="242" t="s">
        <v>441</v>
      </c>
      <c r="E36" s="262">
        <v>125</v>
      </c>
      <c r="F36" s="263" t="s">
        <v>116</v>
      </c>
      <c r="G36" s="264">
        <v>274</v>
      </c>
      <c r="H36" s="250" t="s">
        <v>442</v>
      </c>
      <c r="I36" s="245">
        <v>500</v>
      </c>
      <c r="J36" s="246" t="s">
        <v>960</v>
      </c>
    </row>
    <row r="37" spans="1:10" ht="16.5" x14ac:dyDescent="0.2">
      <c r="A37" s="240" t="s">
        <v>748</v>
      </c>
      <c r="B37" s="269" t="s">
        <v>460</v>
      </c>
      <c r="C37" s="266" t="s">
        <v>763</v>
      </c>
      <c r="D37" s="242" t="s">
        <v>441</v>
      </c>
      <c r="E37" s="1121" t="s">
        <v>49</v>
      </c>
      <c r="F37" s="1122"/>
      <c r="G37" s="262">
        <v>74</v>
      </c>
      <c r="H37" s="270" t="s">
        <v>113</v>
      </c>
      <c r="I37" s="245">
        <v>500</v>
      </c>
      <c r="J37" s="246" t="s">
        <v>960</v>
      </c>
    </row>
    <row r="38" spans="1:10" ht="16.5" x14ac:dyDescent="0.2">
      <c r="A38" s="240">
        <v>30</v>
      </c>
      <c r="B38" s="269" t="s">
        <v>460</v>
      </c>
      <c r="C38" s="266" t="s">
        <v>461</v>
      </c>
      <c r="D38" s="242" t="s">
        <v>441</v>
      </c>
      <c r="E38" s="1121" t="s">
        <v>49</v>
      </c>
      <c r="F38" s="1122"/>
      <c r="G38" s="262">
        <v>75</v>
      </c>
      <c r="H38" s="270" t="s">
        <v>113</v>
      </c>
      <c r="I38" s="245">
        <v>500</v>
      </c>
      <c r="J38" s="246" t="s">
        <v>960</v>
      </c>
    </row>
    <row r="39" spans="1:10" ht="16.5" x14ac:dyDescent="0.2">
      <c r="A39" s="240" t="s">
        <v>749</v>
      </c>
      <c r="B39" s="269" t="s">
        <v>460</v>
      </c>
      <c r="C39" s="266" t="s">
        <v>763</v>
      </c>
      <c r="D39" s="242" t="s">
        <v>441</v>
      </c>
      <c r="E39" s="1121" t="s">
        <v>49</v>
      </c>
      <c r="F39" s="1122"/>
      <c r="G39" s="262">
        <v>74</v>
      </c>
      <c r="H39" s="270" t="s">
        <v>113</v>
      </c>
      <c r="I39" s="245">
        <v>500</v>
      </c>
      <c r="J39" s="246" t="s">
        <v>960</v>
      </c>
    </row>
    <row r="40" spans="1:10" ht="16.5" x14ac:dyDescent="0.2">
      <c r="A40" s="240">
        <v>32</v>
      </c>
      <c r="B40" s="269" t="s">
        <v>460</v>
      </c>
      <c r="C40" s="266" t="s">
        <v>462</v>
      </c>
      <c r="D40" s="242" t="s">
        <v>441</v>
      </c>
      <c r="E40" s="1121" t="s">
        <v>49</v>
      </c>
      <c r="F40" s="1122"/>
      <c r="G40" s="262">
        <v>75</v>
      </c>
      <c r="H40" s="270" t="s">
        <v>113</v>
      </c>
      <c r="I40" s="245">
        <v>500</v>
      </c>
      <c r="J40" s="246" t="s">
        <v>960</v>
      </c>
    </row>
    <row r="41" spans="1:10" ht="16.5" x14ac:dyDescent="0.2">
      <c r="A41" s="240">
        <v>33</v>
      </c>
      <c r="B41" s="269" t="s">
        <v>460</v>
      </c>
      <c r="C41" s="266" t="s">
        <v>462</v>
      </c>
      <c r="D41" s="242" t="s">
        <v>441</v>
      </c>
      <c r="E41" s="1121" t="s">
        <v>49</v>
      </c>
      <c r="F41" s="1122"/>
      <c r="G41" s="262">
        <v>75</v>
      </c>
      <c r="H41" s="270" t="s">
        <v>113</v>
      </c>
      <c r="I41" s="245">
        <v>500</v>
      </c>
      <c r="J41" s="246" t="s">
        <v>960</v>
      </c>
    </row>
    <row r="42" spans="1:10" ht="16.5" x14ac:dyDescent="0.2">
      <c r="A42" s="240">
        <v>34</v>
      </c>
      <c r="B42" s="269" t="s">
        <v>463</v>
      </c>
      <c r="C42" s="266" t="s">
        <v>464</v>
      </c>
      <c r="D42" s="242" t="s">
        <v>441</v>
      </c>
      <c r="E42" s="1121" t="s">
        <v>49</v>
      </c>
      <c r="F42" s="1122"/>
      <c r="G42" s="262">
        <v>220</v>
      </c>
      <c r="H42" s="270" t="s">
        <v>113</v>
      </c>
      <c r="I42" s="245">
        <v>500</v>
      </c>
      <c r="J42" s="246" t="s">
        <v>960</v>
      </c>
    </row>
    <row r="43" spans="1:10" ht="16.5" x14ac:dyDescent="0.2">
      <c r="A43" s="240">
        <v>35</v>
      </c>
      <c r="B43" s="269" t="s">
        <v>463</v>
      </c>
      <c r="C43" s="266" t="s">
        <v>465</v>
      </c>
      <c r="D43" s="242" t="s">
        <v>441</v>
      </c>
      <c r="E43" s="1121" t="s">
        <v>49</v>
      </c>
      <c r="F43" s="1122"/>
      <c r="G43" s="262">
        <v>55</v>
      </c>
      <c r="H43" s="250" t="s">
        <v>442</v>
      </c>
      <c r="I43" s="245">
        <v>500</v>
      </c>
      <c r="J43" s="246" t="s">
        <v>960</v>
      </c>
    </row>
    <row r="44" spans="1:10" ht="16.5" x14ac:dyDescent="0.2">
      <c r="A44" s="240">
        <v>36</v>
      </c>
      <c r="B44" s="269" t="s">
        <v>463</v>
      </c>
      <c r="C44" s="266" t="s">
        <v>466</v>
      </c>
      <c r="D44" s="269" t="s">
        <v>441</v>
      </c>
      <c r="E44" s="1121" t="s">
        <v>49</v>
      </c>
      <c r="F44" s="1122"/>
      <c r="G44" s="262">
        <v>220</v>
      </c>
      <c r="H44" s="271" t="s">
        <v>113</v>
      </c>
      <c r="I44" s="245">
        <v>500</v>
      </c>
      <c r="J44" s="246" t="s">
        <v>960</v>
      </c>
    </row>
    <row r="45" spans="1:10" ht="16.5" x14ac:dyDescent="0.2">
      <c r="A45" s="240" t="s">
        <v>56</v>
      </c>
      <c r="B45" s="252" t="s">
        <v>467</v>
      </c>
      <c r="C45" s="269" t="s">
        <v>468</v>
      </c>
      <c r="D45" s="241" t="s">
        <v>49</v>
      </c>
      <c r="E45" s="1148" t="s">
        <v>49</v>
      </c>
      <c r="F45" s="1148"/>
      <c r="G45" s="253">
        <v>3620</v>
      </c>
      <c r="H45" s="254" t="s">
        <v>435</v>
      </c>
      <c r="I45" s="245">
        <v>4380</v>
      </c>
      <c r="J45" s="246" t="s">
        <v>961</v>
      </c>
    </row>
    <row r="46" spans="1:10" ht="16.5" x14ac:dyDescent="0.2">
      <c r="A46" s="240" t="s">
        <v>57</v>
      </c>
      <c r="B46" s="252" t="s">
        <v>469</v>
      </c>
      <c r="C46" s="269" t="s">
        <v>468</v>
      </c>
      <c r="D46" s="241" t="s">
        <v>49</v>
      </c>
      <c r="E46" s="1148" t="s">
        <v>49</v>
      </c>
      <c r="F46" s="1148"/>
      <c r="G46" s="253">
        <v>3620</v>
      </c>
      <c r="H46" s="254" t="s">
        <v>435</v>
      </c>
      <c r="I46" s="245">
        <v>4380</v>
      </c>
      <c r="J46" s="246" t="s">
        <v>961</v>
      </c>
    </row>
    <row r="47" spans="1:10" ht="16.5" x14ac:dyDescent="0.2">
      <c r="A47" s="272">
        <v>52</v>
      </c>
      <c r="B47" s="273" t="s">
        <v>470</v>
      </c>
      <c r="C47" s="273" t="s">
        <v>428</v>
      </c>
      <c r="D47" s="273" t="s">
        <v>49</v>
      </c>
      <c r="E47" s="1149" t="s">
        <v>49</v>
      </c>
      <c r="F47" s="1150"/>
      <c r="G47" s="1149" t="s">
        <v>49</v>
      </c>
      <c r="H47" s="1150"/>
      <c r="I47" s="249">
        <v>82049</v>
      </c>
      <c r="J47" s="274" t="s">
        <v>962</v>
      </c>
    </row>
    <row r="48" spans="1:10" ht="15" thickBot="1" x14ac:dyDescent="0.25">
      <c r="A48" s="275"/>
      <c r="B48" s="276"/>
      <c r="C48" s="276"/>
      <c r="D48" s="276"/>
      <c r="E48" s="276"/>
      <c r="F48" s="276"/>
      <c r="G48" s="276"/>
      <c r="H48" s="276"/>
      <c r="I48" s="277"/>
      <c r="J48" s="278"/>
    </row>
    <row r="49" spans="1:10" s="279" customFormat="1" ht="15.75" thickBot="1" x14ac:dyDescent="0.3">
      <c r="A49" s="1151" t="s">
        <v>471</v>
      </c>
      <c r="B49" s="1152"/>
      <c r="C49" s="1152"/>
      <c r="D49" s="1152"/>
      <c r="E49" s="1152"/>
      <c r="F49" s="1152"/>
      <c r="G49" s="1152"/>
      <c r="H49" s="1152"/>
      <c r="I49" s="1152"/>
      <c r="J49" s="1153"/>
    </row>
    <row r="50" spans="1:10" ht="17.25" thickTop="1" x14ac:dyDescent="0.2">
      <c r="A50" s="272" t="s">
        <v>49</v>
      </c>
      <c r="B50" s="273" t="s">
        <v>472</v>
      </c>
      <c r="C50" s="273" t="s">
        <v>473</v>
      </c>
      <c r="D50" s="273" t="s">
        <v>49</v>
      </c>
      <c r="E50" s="1154" t="s">
        <v>49</v>
      </c>
      <c r="F50" s="1154"/>
      <c r="G50" s="253">
        <v>1460</v>
      </c>
      <c r="H50" s="254" t="s">
        <v>435</v>
      </c>
      <c r="I50" s="245">
        <v>4380</v>
      </c>
      <c r="J50" s="246" t="s">
        <v>961</v>
      </c>
    </row>
    <row r="51" spans="1:10" ht="16.5" x14ac:dyDescent="0.2">
      <c r="A51" s="240" t="s">
        <v>49</v>
      </c>
      <c r="B51" s="241" t="s">
        <v>474</v>
      </c>
      <c r="C51" s="241" t="s">
        <v>49</v>
      </c>
      <c r="D51" s="241" t="s">
        <v>49</v>
      </c>
      <c r="E51" s="1148" t="s">
        <v>49</v>
      </c>
      <c r="F51" s="1148"/>
      <c r="G51" s="1155" t="s">
        <v>49</v>
      </c>
      <c r="H51" s="1156"/>
      <c r="I51" s="249">
        <v>28560</v>
      </c>
      <c r="J51" s="274" t="s">
        <v>475</v>
      </c>
    </row>
    <row r="52" spans="1:10" ht="16.5" x14ac:dyDescent="0.2">
      <c r="A52" s="240" t="s">
        <v>49</v>
      </c>
      <c r="B52" s="241" t="s">
        <v>476</v>
      </c>
      <c r="C52" s="241" t="s">
        <v>477</v>
      </c>
      <c r="D52" s="280" t="s">
        <v>478</v>
      </c>
      <c r="E52" s="1148" t="s">
        <v>49</v>
      </c>
      <c r="F52" s="1148"/>
      <c r="G52" s="1148" t="s">
        <v>49</v>
      </c>
      <c r="H52" s="1148"/>
      <c r="I52" s="1148" t="s">
        <v>49</v>
      </c>
      <c r="J52" s="1157"/>
    </row>
    <row r="53" spans="1:10" ht="17.25" thickBot="1" x14ac:dyDescent="0.25">
      <c r="A53" s="281" t="s">
        <v>49</v>
      </c>
      <c r="B53" s="282" t="s">
        <v>479</v>
      </c>
      <c r="C53" s="282" t="s">
        <v>477</v>
      </c>
      <c r="D53" s="276" t="s">
        <v>478</v>
      </c>
      <c r="E53" s="1146" t="s">
        <v>49</v>
      </c>
      <c r="F53" s="1146"/>
      <c r="G53" s="1146" t="s">
        <v>49</v>
      </c>
      <c r="H53" s="1146"/>
      <c r="I53" s="1146" t="s">
        <v>49</v>
      </c>
      <c r="J53" s="1147"/>
    </row>
    <row r="55" spans="1:10" s="125" customFormat="1" ht="14.25" x14ac:dyDescent="0.2">
      <c r="A55" s="957" t="s">
        <v>239</v>
      </c>
      <c r="B55" s="957"/>
      <c r="C55" s="957"/>
      <c r="D55" s="957"/>
      <c r="E55" s="958"/>
      <c r="F55" s="958"/>
      <c r="G55" s="958"/>
      <c r="H55" s="958"/>
      <c r="I55" s="958"/>
      <c r="J55" s="958"/>
    </row>
    <row r="56" spans="1:10" s="125" customFormat="1" ht="20.100000000000001" customHeight="1" x14ac:dyDescent="0.2">
      <c r="A56" s="1158" t="s">
        <v>480</v>
      </c>
      <c r="B56" s="1158"/>
      <c r="C56" s="1158"/>
      <c r="D56" s="1158"/>
      <c r="E56" s="1158"/>
      <c r="F56" s="1158"/>
      <c r="G56" s="1158"/>
      <c r="H56" s="1158"/>
      <c r="I56" s="1158"/>
      <c r="J56" s="1158"/>
    </row>
    <row r="57" spans="1:10" s="125" customFormat="1" ht="20.100000000000001" customHeight="1" x14ac:dyDescent="0.2">
      <c r="A57" s="1159" t="s">
        <v>481</v>
      </c>
      <c r="B57" s="1159"/>
      <c r="C57" s="1159"/>
      <c r="D57" s="1159"/>
      <c r="E57" s="1159"/>
      <c r="F57" s="1159"/>
      <c r="G57" s="1159"/>
      <c r="H57" s="1159"/>
      <c r="I57" s="1159"/>
      <c r="J57" s="1159"/>
    </row>
    <row r="58" spans="1:10" s="284" customFormat="1" ht="20.100000000000001" customHeight="1" x14ac:dyDescent="0.25">
      <c r="A58" s="1160" t="s">
        <v>482</v>
      </c>
      <c r="B58" s="1160"/>
      <c r="C58" s="1160"/>
      <c r="D58" s="1160"/>
      <c r="E58" s="1160"/>
      <c r="F58" s="1160"/>
      <c r="G58" s="1160"/>
      <c r="H58" s="1160"/>
      <c r="I58" s="1160"/>
      <c r="J58" s="1160"/>
    </row>
    <row r="59" spans="1:10" s="285" customFormat="1" ht="20.100000000000001" customHeight="1" x14ac:dyDescent="0.25">
      <c r="A59" s="1160" t="s">
        <v>950</v>
      </c>
      <c r="B59" s="1160"/>
      <c r="C59" s="1160"/>
      <c r="D59" s="1160"/>
      <c r="E59" s="1160"/>
      <c r="F59" s="1160"/>
      <c r="G59" s="1160"/>
      <c r="H59" s="1160"/>
      <c r="I59" s="1160"/>
      <c r="J59" s="1160"/>
    </row>
    <row r="60" spans="1:10" s="285" customFormat="1" ht="20.100000000000001" customHeight="1" x14ac:dyDescent="0.25">
      <c r="A60" s="1160" t="s">
        <v>951</v>
      </c>
      <c r="B60" s="1160"/>
      <c r="C60" s="1160"/>
      <c r="D60" s="1160"/>
      <c r="E60" s="1160"/>
      <c r="F60" s="1160"/>
      <c r="G60" s="1160"/>
      <c r="H60" s="1160"/>
      <c r="I60" s="1160"/>
      <c r="J60" s="1160"/>
    </row>
    <row r="61" spans="1:10" s="285" customFormat="1" ht="20.100000000000001" customHeight="1" x14ac:dyDescent="0.25">
      <c r="A61" s="1119" t="s">
        <v>952</v>
      </c>
      <c r="B61" s="1119"/>
      <c r="C61" s="1119"/>
      <c r="D61" s="1119"/>
      <c r="E61" s="1119"/>
      <c r="F61" s="1119"/>
      <c r="G61" s="1119"/>
      <c r="H61" s="1119"/>
      <c r="I61" s="1119"/>
      <c r="J61" s="1119"/>
    </row>
    <row r="62" spans="1:10" s="285" customFormat="1" ht="14.25" x14ac:dyDescent="0.25">
      <c r="A62" s="1119" t="s">
        <v>953</v>
      </c>
      <c r="B62" s="1119"/>
      <c r="C62" s="1119"/>
      <c r="D62" s="1119"/>
      <c r="E62" s="1119"/>
      <c r="F62" s="1119"/>
      <c r="G62" s="1119"/>
      <c r="H62" s="1119"/>
      <c r="I62" s="1119"/>
      <c r="J62" s="1119"/>
    </row>
    <row r="63" spans="1:10" ht="14.25" x14ac:dyDescent="0.2">
      <c r="A63" s="1119" t="s">
        <v>954</v>
      </c>
      <c r="B63" s="1119"/>
      <c r="C63" s="1119"/>
      <c r="D63" s="1119"/>
      <c r="E63" s="1119"/>
      <c r="F63" s="1119"/>
      <c r="G63" s="1119"/>
      <c r="H63" s="1119"/>
      <c r="I63" s="1119"/>
      <c r="J63" s="1119"/>
    </row>
    <row r="64" spans="1:10" ht="14.25" x14ac:dyDescent="0.2">
      <c r="A64" s="1119" t="s">
        <v>955</v>
      </c>
      <c r="B64" s="1119"/>
      <c r="C64" s="1119"/>
      <c r="D64" s="1119"/>
      <c r="E64" s="1119"/>
      <c r="F64" s="1119"/>
      <c r="G64" s="1119"/>
      <c r="H64" s="1119"/>
      <c r="I64" s="1119"/>
      <c r="J64" s="1119"/>
    </row>
    <row r="65" spans="1:10" ht="14.25" x14ac:dyDescent="0.2">
      <c r="A65" s="1119" t="s">
        <v>956</v>
      </c>
      <c r="B65" s="1119"/>
      <c r="C65" s="1119"/>
      <c r="D65" s="1119"/>
      <c r="E65" s="1119"/>
      <c r="F65" s="1119"/>
      <c r="G65" s="1119"/>
      <c r="H65" s="1119"/>
      <c r="I65" s="1119"/>
      <c r="J65" s="1119"/>
    </row>
    <row r="66" spans="1:10" ht="14.25" x14ac:dyDescent="0.2">
      <c r="A66" s="959"/>
      <c r="B66" s="960"/>
      <c r="C66" s="960"/>
      <c r="D66" s="960"/>
      <c r="E66" s="960"/>
      <c r="F66" s="960"/>
      <c r="G66" s="960"/>
      <c r="H66" s="960"/>
      <c r="I66" s="960"/>
      <c r="J66" s="960"/>
    </row>
    <row r="67" spans="1:10" ht="14.25" x14ac:dyDescent="0.2">
      <c r="A67" s="961" t="s">
        <v>483</v>
      </c>
      <c r="B67" s="957"/>
      <c r="C67" s="957"/>
      <c r="D67" s="957"/>
      <c r="E67" s="957"/>
      <c r="F67" s="957"/>
      <c r="G67" s="962"/>
      <c r="H67" s="962"/>
      <c r="I67" s="962"/>
      <c r="J67" s="962"/>
    </row>
    <row r="68" spans="1:10" ht="14.25" x14ac:dyDescent="0.2">
      <c r="A68" s="963"/>
      <c r="B68" s="964" t="s">
        <v>484</v>
      </c>
      <c r="C68" s="965">
        <v>1.341</v>
      </c>
      <c r="D68" s="957" t="s">
        <v>485</v>
      </c>
      <c r="E68" s="957"/>
      <c r="F68" s="962"/>
      <c r="G68" s="962"/>
      <c r="H68" s="962"/>
      <c r="I68" s="962"/>
      <c r="J68" s="962"/>
    </row>
    <row r="69" spans="1:10" ht="14.25" x14ac:dyDescent="0.2">
      <c r="A69" s="963"/>
      <c r="B69" s="964" t="s">
        <v>486</v>
      </c>
      <c r="C69" s="966">
        <v>0.95</v>
      </c>
      <c r="D69" s="1120" t="s">
        <v>487</v>
      </c>
      <c r="E69" s="1120"/>
      <c r="F69" s="962"/>
      <c r="G69" s="962"/>
      <c r="H69" s="962"/>
      <c r="I69" s="962"/>
      <c r="J69" s="962"/>
    </row>
  </sheetData>
  <mergeCells count="51">
    <mergeCell ref="A61:J61"/>
    <mergeCell ref="A62:J62"/>
    <mergeCell ref="A63:J63"/>
    <mergeCell ref="A56:J56"/>
    <mergeCell ref="A57:J57"/>
    <mergeCell ref="A58:J58"/>
    <mergeCell ref="A59:J59"/>
    <mergeCell ref="A60:J60"/>
    <mergeCell ref="E53:F53"/>
    <mergeCell ref="G53:H53"/>
    <mergeCell ref="I53:J53"/>
    <mergeCell ref="E45:F45"/>
    <mergeCell ref="E46:F46"/>
    <mergeCell ref="E47:F47"/>
    <mergeCell ref="G47:H47"/>
    <mergeCell ref="A49:J49"/>
    <mergeCell ref="E50:F50"/>
    <mergeCell ref="E51:F51"/>
    <mergeCell ref="G51:H51"/>
    <mergeCell ref="E52:F52"/>
    <mergeCell ref="G52:H52"/>
    <mergeCell ref="I52:J52"/>
    <mergeCell ref="J7:J12"/>
    <mergeCell ref="E44:F44"/>
    <mergeCell ref="E12:F12"/>
    <mergeCell ref="E13:F13"/>
    <mergeCell ref="E14:F14"/>
    <mergeCell ref="E15:F15"/>
    <mergeCell ref="E37:F37"/>
    <mergeCell ref="E38:F38"/>
    <mergeCell ref="E39:F39"/>
    <mergeCell ref="E40:F40"/>
    <mergeCell ref="E41:F41"/>
    <mergeCell ref="E42:F42"/>
    <mergeCell ref="E43:F43"/>
    <mergeCell ref="A64:J64"/>
    <mergeCell ref="A65:J65"/>
    <mergeCell ref="D69:E69"/>
    <mergeCell ref="E11:F11"/>
    <mergeCell ref="A1:J1"/>
    <mergeCell ref="A2:J2"/>
    <mergeCell ref="A4:C4"/>
    <mergeCell ref="E4:F5"/>
    <mergeCell ref="G4:H5"/>
    <mergeCell ref="I4:J5"/>
    <mergeCell ref="A6:J6"/>
    <mergeCell ref="E7:F7"/>
    <mergeCell ref="E8:F8"/>
    <mergeCell ref="E9:F9"/>
    <mergeCell ref="E10:F10"/>
    <mergeCell ref="I7:I12"/>
  </mergeCells>
  <printOptions horizontalCentered="1"/>
  <pageMargins left="0.75" right="0.75" top="0.75" bottom="0.92" header="0.75" footer="0.63"/>
  <pageSetup scale="64" fitToHeight="2" orientation="landscape" useFirstPageNumber="1" r:id="rId1"/>
  <headerFooter alignWithMargins="0"/>
  <rowBreaks count="1" manualBreakCount="1">
    <brk id="48"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126"/>
  <sheetViews>
    <sheetView view="pageLayout" topLeftCell="A51" zoomScaleNormal="100" zoomScaleSheetLayoutView="100" workbookViewId="0">
      <selection activeCell="A64" sqref="A64"/>
    </sheetView>
  </sheetViews>
  <sheetFormatPr defaultRowHeight="14.25" x14ac:dyDescent="0.2"/>
  <cols>
    <col min="1" max="1" width="9.140625" style="751"/>
    <col min="2" max="2" width="43.7109375" style="751" customWidth="1"/>
    <col min="3" max="3" width="12.7109375" style="751" customWidth="1"/>
    <col min="4" max="4" width="19.42578125" style="751" customWidth="1"/>
    <col min="5" max="5" width="7.85546875" style="751" customWidth="1"/>
    <col min="6" max="6" width="12.85546875" style="751" customWidth="1"/>
    <col min="7" max="7" width="9.5703125" style="751" customWidth="1"/>
    <col min="8" max="8" width="12.28515625" style="751" customWidth="1"/>
    <col min="9" max="9" width="10.28515625" style="753" customWidth="1"/>
    <col min="10" max="10" width="8.85546875" style="751" customWidth="1"/>
    <col min="11" max="11" width="9.85546875" style="753" customWidth="1"/>
    <col min="12" max="12" width="7.7109375" style="751" customWidth="1"/>
    <col min="13" max="13" width="9.140625" style="751"/>
    <col min="14" max="14" width="9.28515625" style="751" bestFit="1" customWidth="1"/>
    <col min="15" max="15" width="10" style="751" bestFit="1" customWidth="1"/>
    <col min="16" max="16" width="9.140625" style="751"/>
    <col min="17" max="17" width="10" style="751" bestFit="1" customWidth="1"/>
    <col min="18" max="16384" width="9.140625" style="751"/>
  </cols>
  <sheetData>
    <row r="1" spans="1:20" ht="16.5" x14ac:dyDescent="0.3">
      <c r="A1" s="1161" t="s">
        <v>932</v>
      </c>
      <c r="B1" s="1161"/>
      <c r="C1" s="1161"/>
      <c r="D1" s="1161"/>
      <c r="E1" s="1161"/>
      <c r="F1" s="1161"/>
      <c r="G1" s="1161"/>
      <c r="H1" s="1161"/>
      <c r="I1" s="1161"/>
      <c r="J1" s="1161"/>
      <c r="K1" s="1161"/>
      <c r="L1" s="1161"/>
    </row>
    <row r="2" spans="1:20" ht="15" x14ac:dyDescent="0.25">
      <c r="A2" s="1161" t="s">
        <v>416</v>
      </c>
      <c r="B2" s="1161"/>
      <c r="C2" s="1161"/>
      <c r="D2" s="1161"/>
      <c r="E2" s="1161"/>
      <c r="F2" s="1161"/>
      <c r="G2" s="1161"/>
      <c r="H2" s="1161"/>
      <c r="I2" s="1161"/>
      <c r="J2" s="1161"/>
      <c r="K2" s="1161"/>
      <c r="L2" s="1161"/>
    </row>
    <row r="3" spans="1:20" ht="15" thickBot="1" x14ac:dyDescent="0.25"/>
    <row r="4" spans="1:20" ht="16.5" x14ac:dyDescent="0.3">
      <c r="A4" s="1162" t="s">
        <v>417</v>
      </c>
      <c r="B4" s="1163"/>
      <c r="C4" s="754" t="s">
        <v>418</v>
      </c>
      <c r="D4" s="755" t="s">
        <v>488</v>
      </c>
      <c r="E4" s="756" t="s">
        <v>489</v>
      </c>
      <c r="F4" s="756"/>
      <c r="G4" s="1164" t="s">
        <v>417</v>
      </c>
      <c r="H4" s="1164"/>
      <c r="I4" s="1165" t="s">
        <v>490</v>
      </c>
      <c r="J4" s="1165"/>
      <c r="K4" s="1166" t="s">
        <v>378</v>
      </c>
      <c r="L4" s="1167"/>
    </row>
    <row r="5" spans="1:20" ht="16.5" x14ac:dyDescent="0.3">
      <c r="A5" s="758" t="s">
        <v>157</v>
      </c>
      <c r="B5" s="759" t="s">
        <v>25</v>
      </c>
      <c r="C5" s="760" t="s">
        <v>421</v>
      </c>
      <c r="D5" s="761" t="s">
        <v>491</v>
      </c>
      <c r="E5" s="762" t="s">
        <v>492</v>
      </c>
      <c r="F5" s="762"/>
      <c r="G5" s="1171" t="s">
        <v>493</v>
      </c>
      <c r="H5" s="1171"/>
      <c r="I5" s="1172" t="s">
        <v>494</v>
      </c>
      <c r="J5" s="1172"/>
      <c r="K5" s="1173" t="s">
        <v>495</v>
      </c>
      <c r="L5" s="1174"/>
    </row>
    <row r="6" spans="1:20" ht="15.75" thickBot="1" x14ac:dyDescent="0.3">
      <c r="A6" s="1175" t="s">
        <v>422</v>
      </c>
      <c r="B6" s="1176"/>
      <c r="C6" s="1176"/>
      <c r="D6" s="1176"/>
      <c r="E6" s="1176"/>
      <c r="F6" s="1176"/>
      <c r="G6" s="1176"/>
      <c r="H6" s="1176"/>
      <c r="I6" s="1176"/>
      <c r="J6" s="1176"/>
      <c r="K6" s="1176"/>
      <c r="L6" s="1177"/>
    </row>
    <row r="7" spans="1:20" ht="15" thickTop="1" x14ac:dyDescent="0.2">
      <c r="A7" s="764">
        <v>1</v>
      </c>
      <c r="B7" s="765" t="s">
        <v>423</v>
      </c>
      <c r="C7" s="837" t="s">
        <v>425</v>
      </c>
      <c r="D7" s="766" t="s">
        <v>879</v>
      </c>
      <c r="E7" s="838">
        <v>8.8000000000000007</v>
      </c>
      <c r="F7" s="768" t="s">
        <v>496</v>
      </c>
      <c r="G7" s="767">
        <v>230</v>
      </c>
      <c r="H7" s="768" t="s">
        <v>112</v>
      </c>
      <c r="I7" s="1178">
        <v>336000</v>
      </c>
      <c r="J7" s="1180" t="s">
        <v>497</v>
      </c>
      <c r="K7" s="1178">
        <f>E7*I7/C60</f>
        <v>1478.4000000000003</v>
      </c>
      <c r="L7" s="1182" t="s">
        <v>497</v>
      </c>
    </row>
    <row r="8" spans="1:20" x14ac:dyDescent="0.2">
      <c r="A8" s="770">
        <v>2</v>
      </c>
      <c r="B8" s="771" t="s">
        <v>427</v>
      </c>
      <c r="C8" s="787" t="s">
        <v>425</v>
      </c>
      <c r="D8" s="771" t="s">
        <v>879</v>
      </c>
      <c r="E8" s="839">
        <v>8.8000000000000007</v>
      </c>
      <c r="F8" s="774" t="s">
        <v>496</v>
      </c>
      <c r="G8" s="773">
        <v>230</v>
      </c>
      <c r="H8" s="774" t="s">
        <v>112</v>
      </c>
      <c r="I8" s="1179"/>
      <c r="J8" s="1181"/>
      <c r="K8" s="1179"/>
      <c r="L8" s="1183"/>
    </row>
    <row r="9" spans="1:20" ht="14.25" customHeight="1" x14ac:dyDescent="0.2">
      <c r="A9" s="770">
        <v>3</v>
      </c>
      <c r="B9" s="771" t="s">
        <v>429</v>
      </c>
      <c r="C9" s="787" t="s">
        <v>425</v>
      </c>
      <c r="D9" s="771" t="s">
        <v>879</v>
      </c>
      <c r="E9" s="839">
        <v>8.8000000000000007</v>
      </c>
      <c r="F9" s="774" t="s">
        <v>496</v>
      </c>
      <c r="G9" s="773">
        <v>230</v>
      </c>
      <c r="H9" s="774" t="s">
        <v>112</v>
      </c>
      <c r="I9" s="1179"/>
      <c r="J9" s="1181"/>
      <c r="K9" s="1179"/>
      <c r="L9" s="1183"/>
      <c r="M9" s="775"/>
      <c r="N9" s="776"/>
      <c r="O9" s="776"/>
      <c r="P9" s="776"/>
      <c r="Q9" s="776"/>
      <c r="R9" s="776"/>
      <c r="S9" s="776"/>
      <c r="T9" s="776"/>
    </row>
    <row r="10" spans="1:20" x14ac:dyDescent="0.2">
      <c r="A10" s="770">
        <v>4</v>
      </c>
      <c r="B10" s="771" t="s">
        <v>430</v>
      </c>
      <c r="C10" s="787" t="s">
        <v>425</v>
      </c>
      <c r="D10" s="771" t="s">
        <v>879</v>
      </c>
      <c r="E10" s="839">
        <v>8.8000000000000007</v>
      </c>
      <c r="F10" s="774" t="s">
        <v>496</v>
      </c>
      <c r="G10" s="773">
        <v>230</v>
      </c>
      <c r="H10" s="774" t="s">
        <v>112</v>
      </c>
      <c r="I10" s="1179"/>
      <c r="J10" s="1181"/>
      <c r="K10" s="1179"/>
      <c r="L10" s="1183"/>
      <c r="M10" s="775"/>
      <c r="N10" s="776"/>
      <c r="O10" s="776"/>
      <c r="P10" s="776"/>
      <c r="Q10" s="776"/>
      <c r="R10" s="776"/>
      <c r="S10" s="776"/>
      <c r="T10" s="776"/>
    </row>
    <row r="11" spans="1:20" x14ac:dyDescent="0.2">
      <c r="A11" s="770">
        <v>5</v>
      </c>
      <c r="B11" s="771" t="s">
        <v>431</v>
      </c>
      <c r="C11" s="787" t="s">
        <v>425</v>
      </c>
      <c r="D11" s="771" t="s">
        <v>879</v>
      </c>
      <c r="E11" s="839">
        <v>8.8000000000000007</v>
      </c>
      <c r="F11" s="774" t="s">
        <v>496</v>
      </c>
      <c r="G11" s="773">
        <v>230</v>
      </c>
      <c r="H11" s="774" t="s">
        <v>112</v>
      </c>
      <c r="I11" s="1179"/>
      <c r="J11" s="1181"/>
      <c r="K11" s="1179"/>
      <c r="L11" s="1183"/>
      <c r="N11" s="777"/>
    </row>
    <row r="12" spans="1:20" x14ac:dyDescent="0.2">
      <c r="A12" s="770">
        <v>6</v>
      </c>
      <c r="B12" s="771" t="s">
        <v>432</v>
      </c>
      <c r="C12" s="787" t="s">
        <v>425</v>
      </c>
      <c r="D12" s="771" t="s">
        <v>879</v>
      </c>
      <c r="E12" s="839">
        <v>8.8000000000000007</v>
      </c>
      <c r="F12" s="774" t="s">
        <v>496</v>
      </c>
      <c r="G12" s="773">
        <v>230</v>
      </c>
      <c r="H12" s="774" t="s">
        <v>112</v>
      </c>
      <c r="I12" s="1179"/>
      <c r="J12" s="1181"/>
      <c r="K12" s="1179"/>
      <c r="L12" s="1183"/>
      <c r="N12" s="777"/>
    </row>
    <row r="13" spans="1:20" ht="14.25" customHeight="1" x14ac:dyDescent="0.2">
      <c r="A13" s="770" t="s">
        <v>53</v>
      </c>
      <c r="B13" s="771" t="s">
        <v>433</v>
      </c>
      <c r="C13" s="787" t="s">
        <v>49</v>
      </c>
      <c r="D13" s="771" t="s">
        <v>49</v>
      </c>
      <c r="E13" s="840" t="s">
        <v>391</v>
      </c>
      <c r="F13" s="841" t="s">
        <v>498</v>
      </c>
      <c r="G13" s="773">
        <v>13150</v>
      </c>
      <c r="H13" s="774" t="s">
        <v>117</v>
      </c>
      <c r="I13" s="298">
        <v>2195.1999999999998</v>
      </c>
      <c r="J13" s="314" t="s">
        <v>426</v>
      </c>
      <c r="K13" s="298">
        <v>0</v>
      </c>
      <c r="L13" s="842" t="s">
        <v>497</v>
      </c>
      <c r="M13" s="775"/>
      <c r="N13" s="776"/>
      <c r="O13" s="776"/>
      <c r="P13" s="776"/>
      <c r="Q13" s="776"/>
      <c r="R13" s="776"/>
      <c r="S13" s="776"/>
      <c r="T13" s="776"/>
    </row>
    <row r="14" spans="1:20" ht="14.25" customHeight="1" x14ac:dyDescent="0.2">
      <c r="A14" s="770" t="s">
        <v>54</v>
      </c>
      <c r="B14" s="771" t="s">
        <v>436</v>
      </c>
      <c r="C14" s="787" t="s">
        <v>49</v>
      </c>
      <c r="D14" s="771" t="s">
        <v>49</v>
      </c>
      <c r="E14" s="840" t="s">
        <v>391</v>
      </c>
      <c r="F14" s="841" t="s">
        <v>498</v>
      </c>
      <c r="G14" s="773">
        <v>884</v>
      </c>
      <c r="H14" s="774" t="s">
        <v>117</v>
      </c>
      <c r="I14" s="298">
        <v>100</v>
      </c>
      <c r="J14" s="314" t="s">
        <v>426</v>
      </c>
      <c r="K14" s="298">
        <v>0</v>
      </c>
      <c r="L14" s="842" t="s">
        <v>497</v>
      </c>
      <c r="M14" s="775"/>
      <c r="N14" s="776"/>
      <c r="O14" s="776"/>
      <c r="P14" s="776"/>
      <c r="Q14" s="776"/>
      <c r="R14" s="776"/>
      <c r="S14" s="776"/>
      <c r="T14" s="776"/>
    </row>
    <row r="15" spans="1:20" ht="14.25" customHeight="1" x14ac:dyDescent="0.2">
      <c r="A15" s="770" t="s">
        <v>55</v>
      </c>
      <c r="B15" s="771" t="s">
        <v>438</v>
      </c>
      <c r="C15" s="787" t="s">
        <v>49</v>
      </c>
      <c r="D15" s="771" t="s">
        <v>49</v>
      </c>
      <c r="E15" s="840" t="s">
        <v>391</v>
      </c>
      <c r="F15" s="841" t="s">
        <v>498</v>
      </c>
      <c r="G15" s="773">
        <v>9250</v>
      </c>
      <c r="H15" s="774" t="s">
        <v>117</v>
      </c>
      <c r="I15" s="298">
        <v>44.8</v>
      </c>
      <c r="J15" s="314" t="s">
        <v>426</v>
      </c>
      <c r="K15" s="298">
        <v>0</v>
      </c>
      <c r="L15" s="842" t="s">
        <v>497</v>
      </c>
      <c r="M15" s="775"/>
      <c r="N15" s="776"/>
      <c r="O15" s="776"/>
      <c r="P15" s="776"/>
      <c r="Q15" s="776"/>
      <c r="R15" s="776"/>
      <c r="S15" s="776"/>
      <c r="T15" s="776"/>
    </row>
    <row r="16" spans="1:20" x14ac:dyDescent="0.2">
      <c r="A16" s="770">
        <v>8</v>
      </c>
      <c r="B16" s="771" t="s">
        <v>921</v>
      </c>
      <c r="C16" s="787" t="s">
        <v>441</v>
      </c>
      <c r="D16" s="771" t="s">
        <v>499</v>
      </c>
      <c r="E16" s="839">
        <v>5.39</v>
      </c>
      <c r="F16" s="774" t="s">
        <v>165</v>
      </c>
      <c r="G16" s="773">
        <v>2937</v>
      </c>
      <c r="H16" s="779" t="s">
        <v>113</v>
      </c>
      <c r="I16" s="298">
        <v>500</v>
      </c>
      <c r="J16" s="314" t="s">
        <v>426</v>
      </c>
      <c r="K16" s="317">
        <f>(E16/$C$59)*G16*I16/$C$60</f>
        <v>8.7248842592592588</v>
      </c>
      <c r="L16" s="842" t="s">
        <v>497</v>
      </c>
      <c r="M16" s="775"/>
      <c r="N16" s="776"/>
      <c r="O16" s="776"/>
      <c r="P16" s="776"/>
      <c r="Q16" s="776"/>
      <c r="R16" s="776"/>
      <c r="S16" s="776"/>
      <c r="T16" s="776"/>
    </row>
    <row r="17" spans="1:20" x14ac:dyDescent="0.2">
      <c r="A17" s="770">
        <v>9</v>
      </c>
      <c r="B17" s="771" t="s">
        <v>443</v>
      </c>
      <c r="C17" s="787" t="s">
        <v>441</v>
      </c>
      <c r="D17" s="771" t="s">
        <v>500</v>
      </c>
      <c r="E17" s="839">
        <v>3.1E-2</v>
      </c>
      <c r="F17" s="774" t="s">
        <v>501</v>
      </c>
      <c r="G17" s="773">
        <v>352.89473684210526</v>
      </c>
      <c r="H17" s="779" t="s">
        <v>113</v>
      </c>
      <c r="I17" s="298">
        <v>500</v>
      </c>
      <c r="J17" s="314" t="s">
        <v>426</v>
      </c>
      <c r="K17" s="843">
        <f t="shared" ref="K17:K44" si="0">E17*G17*I17/$C$60</f>
        <v>2.7349342105263159</v>
      </c>
      <c r="L17" s="842" t="s">
        <v>497</v>
      </c>
      <c r="M17" s="775"/>
      <c r="N17" s="776"/>
      <c r="O17" s="776"/>
      <c r="P17" s="776"/>
      <c r="Q17" s="776"/>
      <c r="R17" s="776"/>
      <c r="S17" s="776"/>
      <c r="T17" s="776"/>
    </row>
    <row r="18" spans="1:20" s="789" customFormat="1" x14ac:dyDescent="0.2">
      <c r="A18" s="770">
        <v>10</v>
      </c>
      <c r="B18" s="771" t="s">
        <v>443</v>
      </c>
      <c r="C18" s="787" t="s">
        <v>441</v>
      </c>
      <c r="D18" s="771" t="s">
        <v>502</v>
      </c>
      <c r="E18" s="839">
        <v>2.4E-2</v>
      </c>
      <c r="F18" s="774" t="s">
        <v>501</v>
      </c>
      <c r="G18" s="773">
        <v>762</v>
      </c>
      <c r="H18" s="779" t="s">
        <v>113</v>
      </c>
      <c r="I18" s="298">
        <v>500</v>
      </c>
      <c r="J18" s="314" t="s">
        <v>426</v>
      </c>
      <c r="K18" s="843">
        <f t="shared" si="0"/>
        <v>4.5720000000000001</v>
      </c>
      <c r="L18" s="842" t="s">
        <v>497</v>
      </c>
      <c r="M18" s="776"/>
      <c r="N18" s="790"/>
    </row>
    <row r="19" spans="1:20" x14ac:dyDescent="0.2">
      <c r="A19" s="770">
        <v>11</v>
      </c>
      <c r="B19" s="771" t="s">
        <v>443</v>
      </c>
      <c r="C19" s="787" t="s">
        <v>441</v>
      </c>
      <c r="D19" s="771" t="s">
        <v>502</v>
      </c>
      <c r="E19" s="839">
        <v>2.4E-2</v>
      </c>
      <c r="F19" s="774" t="s">
        <v>501</v>
      </c>
      <c r="G19" s="773">
        <v>762</v>
      </c>
      <c r="H19" s="779" t="s">
        <v>113</v>
      </c>
      <c r="I19" s="298">
        <v>500</v>
      </c>
      <c r="J19" s="314" t="s">
        <v>426</v>
      </c>
      <c r="K19" s="843">
        <f t="shared" si="0"/>
        <v>4.5720000000000001</v>
      </c>
      <c r="L19" s="842" t="s">
        <v>497</v>
      </c>
      <c r="N19" s="791"/>
    </row>
    <row r="20" spans="1:20" x14ac:dyDescent="0.2">
      <c r="A20" s="770">
        <v>12</v>
      </c>
      <c r="B20" s="771" t="s">
        <v>443</v>
      </c>
      <c r="C20" s="787" t="s">
        <v>441</v>
      </c>
      <c r="D20" s="771" t="s">
        <v>500</v>
      </c>
      <c r="E20" s="839">
        <v>3.1E-2</v>
      </c>
      <c r="F20" s="774" t="s">
        <v>501</v>
      </c>
      <c r="G20" s="773">
        <v>82</v>
      </c>
      <c r="H20" s="779" t="s">
        <v>113</v>
      </c>
      <c r="I20" s="298">
        <v>500</v>
      </c>
      <c r="J20" s="314" t="s">
        <v>426</v>
      </c>
      <c r="K20" s="843">
        <f t="shared" si="0"/>
        <v>0.63549999999999995</v>
      </c>
      <c r="L20" s="842" t="s">
        <v>497</v>
      </c>
      <c r="N20" s="791"/>
    </row>
    <row r="21" spans="1:20" x14ac:dyDescent="0.2">
      <c r="A21" s="770">
        <v>13</v>
      </c>
      <c r="B21" s="771" t="s">
        <v>443</v>
      </c>
      <c r="C21" s="787" t="s">
        <v>441</v>
      </c>
      <c r="D21" s="771" t="s">
        <v>500</v>
      </c>
      <c r="E21" s="839">
        <v>3.1E-2</v>
      </c>
      <c r="F21" s="774" t="s">
        <v>501</v>
      </c>
      <c r="G21" s="773">
        <v>587</v>
      </c>
      <c r="H21" s="779" t="s">
        <v>113</v>
      </c>
      <c r="I21" s="298">
        <v>500</v>
      </c>
      <c r="J21" s="314" t="s">
        <v>426</v>
      </c>
      <c r="K21" s="843">
        <f t="shared" si="0"/>
        <v>4.5492499999999998</v>
      </c>
      <c r="L21" s="842" t="s">
        <v>497</v>
      </c>
      <c r="N21" s="791"/>
    </row>
    <row r="22" spans="1:20" x14ac:dyDescent="0.2">
      <c r="A22" s="770">
        <v>14</v>
      </c>
      <c r="B22" s="771" t="s">
        <v>443</v>
      </c>
      <c r="C22" s="787" t="s">
        <v>441</v>
      </c>
      <c r="D22" s="771" t="s">
        <v>500</v>
      </c>
      <c r="E22" s="839">
        <v>3.1E-2</v>
      </c>
      <c r="F22" s="774" t="s">
        <v>501</v>
      </c>
      <c r="G22" s="773">
        <v>320</v>
      </c>
      <c r="H22" s="779" t="s">
        <v>113</v>
      </c>
      <c r="I22" s="298">
        <v>500</v>
      </c>
      <c r="J22" s="314" t="s">
        <v>426</v>
      </c>
      <c r="K22" s="843">
        <f t="shared" si="0"/>
        <v>2.48</v>
      </c>
      <c r="L22" s="842" t="s">
        <v>497</v>
      </c>
      <c r="N22" s="791"/>
    </row>
    <row r="23" spans="1:20" x14ac:dyDescent="0.2">
      <c r="A23" s="770">
        <v>15</v>
      </c>
      <c r="B23" s="771" t="s">
        <v>443</v>
      </c>
      <c r="C23" s="787" t="s">
        <v>441</v>
      </c>
      <c r="D23" s="771" t="s">
        <v>502</v>
      </c>
      <c r="E23" s="839">
        <v>2.4E-2</v>
      </c>
      <c r="F23" s="774" t="s">
        <v>501</v>
      </c>
      <c r="G23" s="773">
        <v>1058.6842105263158</v>
      </c>
      <c r="H23" s="779" t="s">
        <v>113</v>
      </c>
      <c r="I23" s="298">
        <v>500</v>
      </c>
      <c r="J23" s="314" t="s">
        <v>426</v>
      </c>
      <c r="K23" s="843">
        <f t="shared" si="0"/>
        <v>6.3521052631578954</v>
      </c>
      <c r="L23" s="842" t="s">
        <v>497</v>
      </c>
      <c r="N23" s="791"/>
    </row>
    <row r="24" spans="1:20" x14ac:dyDescent="0.2">
      <c r="A24" s="770">
        <v>16</v>
      </c>
      <c r="B24" s="771" t="s">
        <v>443</v>
      </c>
      <c r="C24" s="787" t="s">
        <v>441</v>
      </c>
      <c r="D24" s="771" t="s">
        <v>500</v>
      </c>
      <c r="E24" s="839">
        <v>3.1E-2</v>
      </c>
      <c r="F24" s="774" t="s">
        <v>501</v>
      </c>
      <c r="G24" s="773">
        <v>211.73684210526318</v>
      </c>
      <c r="H24" s="779" t="s">
        <v>113</v>
      </c>
      <c r="I24" s="298">
        <v>500</v>
      </c>
      <c r="J24" s="314" t="s">
        <v>426</v>
      </c>
      <c r="K24" s="843">
        <f t="shared" si="0"/>
        <v>1.6409605263157896</v>
      </c>
      <c r="L24" s="842" t="s">
        <v>497</v>
      </c>
      <c r="N24" s="791"/>
    </row>
    <row r="25" spans="1:20" x14ac:dyDescent="0.2">
      <c r="A25" s="770">
        <v>17</v>
      </c>
      <c r="B25" s="771" t="s">
        <v>443</v>
      </c>
      <c r="C25" s="787" t="s">
        <v>441</v>
      </c>
      <c r="D25" s="771" t="s">
        <v>500</v>
      </c>
      <c r="E25" s="839">
        <v>3.1E-2</v>
      </c>
      <c r="F25" s="774" t="s">
        <v>501</v>
      </c>
      <c r="G25" s="773">
        <v>176.44736842105263</v>
      </c>
      <c r="H25" s="779" t="s">
        <v>113</v>
      </c>
      <c r="I25" s="298">
        <v>500</v>
      </c>
      <c r="J25" s="314" t="s">
        <v>426</v>
      </c>
      <c r="K25" s="843">
        <f t="shared" si="0"/>
        <v>1.367467105263158</v>
      </c>
      <c r="L25" s="842" t="s">
        <v>497</v>
      </c>
      <c r="N25" s="791"/>
    </row>
    <row r="26" spans="1:20" x14ac:dyDescent="0.2">
      <c r="A26" s="770">
        <v>18</v>
      </c>
      <c r="B26" s="771" t="s">
        <v>443</v>
      </c>
      <c r="C26" s="787" t="s">
        <v>441</v>
      </c>
      <c r="D26" s="771" t="s">
        <v>500</v>
      </c>
      <c r="E26" s="839">
        <v>3.1E-2</v>
      </c>
      <c r="F26" s="774" t="s">
        <v>501</v>
      </c>
      <c r="G26" s="773">
        <v>211.73684210526318</v>
      </c>
      <c r="H26" s="779" t="s">
        <v>113</v>
      </c>
      <c r="I26" s="298">
        <v>500</v>
      </c>
      <c r="J26" s="314" t="s">
        <v>426</v>
      </c>
      <c r="K26" s="843">
        <f t="shared" si="0"/>
        <v>1.6409605263157896</v>
      </c>
      <c r="L26" s="842" t="s">
        <v>497</v>
      </c>
      <c r="N26" s="791"/>
    </row>
    <row r="27" spans="1:20" x14ac:dyDescent="0.2">
      <c r="A27" s="770">
        <v>19</v>
      </c>
      <c r="B27" s="771" t="s">
        <v>443</v>
      </c>
      <c r="C27" s="787" t="s">
        <v>441</v>
      </c>
      <c r="D27" s="771" t="s">
        <v>500</v>
      </c>
      <c r="E27" s="839">
        <v>3.1E-2</v>
      </c>
      <c r="F27" s="774" t="s">
        <v>501</v>
      </c>
      <c r="G27" s="773">
        <v>70.578947368421055</v>
      </c>
      <c r="H27" s="779" t="s">
        <v>113</v>
      </c>
      <c r="I27" s="298">
        <v>500</v>
      </c>
      <c r="J27" s="314" t="s">
        <v>426</v>
      </c>
      <c r="K27" s="843">
        <f t="shared" si="0"/>
        <v>0.54698684210526316</v>
      </c>
      <c r="L27" s="842" t="s">
        <v>497</v>
      </c>
      <c r="N27" s="791"/>
    </row>
    <row r="28" spans="1:20" x14ac:dyDescent="0.2">
      <c r="A28" s="770">
        <v>20</v>
      </c>
      <c r="B28" s="771" t="s">
        <v>443</v>
      </c>
      <c r="C28" s="787" t="s">
        <v>441</v>
      </c>
      <c r="D28" s="771" t="s">
        <v>500</v>
      </c>
      <c r="E28" s="839">
        <v>3.1E-2</v>
      </c>
      <c r="F28" s="774" t="s">
        <v>501</v>
      </c>
      <c r="G28" s="773">
        <v>35.289473684210527</v>
      </c>
      <c r="H28" s="779" t="s">
        <v>113</v>
      </c>
      <c r="I28" s="298">
        <v>500</v>
      </c>
      <c r="J28" s="314" t="s">
        <v>426</v>
      </c>
      <c r="K28" s="843">
        <f t="shared" si="0"/>
        <v>0.27349342105263158</v>
      </c>
      <c r="L28" s="842" t="s">
        <v>497</v>
      </c>
      <c r="N28" s="791"/>
    </row>
    <row r="29" spans="1:20" x14ac:dyDescent="0.2">
      <c r="A29" s="770">
        <v>21</v>
      </c>
      <c r="B29" s="771" t="s">
        <v>443</v>
      </c>
      <c r="C29" s="787" t="s">
        <v>441</v>
      </c>
      <c r="D29" s="771" t="s">
        <v>500</v>
      </c>
      <c r="E29" s="839">
        <v>3.1E-2</v>
      </c>
      <c r="F29" s="774" t="s">
        <v>501</v>
      </c>
      <c r="G29" s="773">
        <v>95</v>
      </c>
      <c r="H29" s="779" t="s">
        <v>113</v>
      </c>
      <c r="I29" s="298">
        <v>500</v>
      </c>
      <c r="J29" s="314" t="s">
        <v>426</v>
      </c>
      <c r="K29" s="843">
        <f t="shared" si="0"/>
        <v>0.73624999999999996</v>
      </c>
      <c r="L29" s="842" t="s">
        <v>497</v>
      </c>
      <c r="N29" s="791"/>
    </row>
    <row r="30" spans="1:20" x14ac:dyDescent="0.2">
      <c r="A30" s="770">
        <v>22</v>
      </c>
      <c r="B30" s="771" t="s">
        <v>443</v>
      </c>
      <c r="C30" s="787" t="s">
        <v>441</v>
      </c>
      <c r="D30" s="771" t="s">
        <v>500</v>
      </c>
      <c r="E30" s="839">
        <v>3.1E-2</v>
      </c>
      <c r="F30" s="774" t="s">
        <v>501</v>
      </c>
      <c r="G30" s="773">
        <v>35.289473684210527</v>
      </c>
      <c r="H30" s="779" t="s">
        <v>113</v>
      </c>
      <c r="I30" s="298">
        <v>500</v>
      </c>
      <c r="J30" s="314" t="s">
        <v>426</v>
      </c>
      <c r="K30" s="843">
        <f t="shared" si="0"/>
        <v>0.27349342105263158</v>
      </c>
      <c r="L30" s="842" t="s">
        <v>497</v>
      </c>
      <c r="N30" s="791"/>
    </row>
    <row r="31" spans="1:20" x14ac:dyDescent="0.2">
      <c r="A31" s="770">
        <v>23</v>
      </c>
      <c r="B31" s="771" t="s">
        <v>443</v>
      </c>
      <c r="C31" s="787" t="s">
        <v>441</v>
      </c>
      <c r="D31" s="771" t="s">
        <v>500</v>
      </c>
      <c r="E31" s="839">
        <v>3.1E-2</v>
      </c>
      <c r="F31" s="774" t="s">
        <v>501</v>
      </c>
      <c r="G31" s="773">
        <v>155.27368421052631</v>
      </c>
      <c r="H31" s="779" t="s">
        <v>113</v>
      </c>
      <c r="I31" s="298">
        <v>500</v>
      </c>
      <c r="J31" s="314" t="s">
        <v>426</v>
      </c>
      <c r="K31" s="843">
        <f t="shared" si="0"/>
        <v>1.2033710526315788</v>
      </c>
      <c r="L31" s="842" t="s">
        <v>497</v>
      </c>
      <c r="N31" s="791"/>
    </row>
    <row r="32" spans="1:20" x14ac:dyDescent="0.2">
      <c r="A32" s="770">
        <v>24</v>
      </c>
      <c r="B32" s="771" t="s">
        <v>443</v>
      </c>
      <c r="C32" s="787" t="s">
        <v>441</v>
      </c>
      <c r="D32" s="771" t="s">
        <v>500</v>
      </c>
      <c r="E32" s="839">
        <v>3.1E-2</v>
      </c>
      <c r="F32" s="774" t="s">
        <v>501</v>
      </c>
      <c r="G32" s="773">
        <v>50</v>
      </c>
      <c r="H32" s="779" t="s">
        <v>113</v>
      </c>
      <c r="I32" s="298">
        <v>500</v>
      </c>
      <c r="J32" s="314" t="s">
        <v>426</v>
      </c>
      <c r="K32" s="843">
        <f t="shared" si="0"/>
        <v>0.38750000000000001</v>
      </c>
      <c r="L32" s="842" t="s">
        <v>497</v>
      </c>
      <c r="N32" s="791"/>
    </row>
    <row r="33" spans="1:14" x14ac:dyDescent="0.2">
      <c r="A33" s="770">
        <v>25</v>
      </c>
      <c r="B33" s="771" t="s">
        <v>443</v>
      </c>
      <c r="C33" s="787" t="s">
        <v>441</v>
      </c>
      <c r="D33" s="771" t="s">
        <v>500</v>
      </c>
      <c r="E33" s="839">
        <v>3.1E-2</v>
      </c>
      <c r="F33" s="774" t="s">
        <v>501</v>
      </c>
      <c r="G33" s="773">
        <v>18.350526315789473</v>
      </c>
      <c r="H33" s="779" t="s">
        <v>113</v>
      </c>
      <c r="I33" s="298">
        <v>500</v>
      </c>
      <c r="J33" s="314" t="s">
        <v>426</v>
      </c>
      <c r="K33" s="843">
        <f t="shared" si="0"/>
        <v>0.14221657894736842</v>
      </c>
      <c r="L33" s="842" t="s">
        <v>497</v>
      </c>
      <c r="N33" s="791"/>
    </row>
    <row r="34" spans="1:14" x14ac:dyDescent="0.2">
      <c r="A34" s="770">
        <v>26</v>
      </c>
      <c r="B34" s="771" t="s">
        <v>443</v>
      </c>
      <c r="C34" s="787" t="s">
        <v>441</v>
      </c>
      <c r="D34" s="771" t="s">
        <v>500</v>
      </c>
      <c r="E34" s="839">
        <v>3.1E-2</v>
      </c>
      <c r="F34" s="774" t="s">
        <v>501</v>
      </c>
      <c r="G34" s="773">
        <v>68</v>
      </c>
      <c r="H34" s="779" t="s">
        <v>113</v>
      </c>
      <c r="I34" s="298">
        <v>500</v>
      </c>
      <c r="J34" s="314" t="s">
        <v>426</v>
      </c>
      <c r="K34" s="843">
        <f t="shared" si="0"/>
        <v>0.52700000000000002</v>
      </c>
      <c r="L34" s="842" t="s">
        <v>497</v>
      </c>
      <c r="N34" s="791"/>
    </row>
    <row r="35" spans="1:14" x14ac:dyDescent="0.2">
      <c r="A35" s="770">
        <v>27</v>
      </c>
      <c r="B35" s="771" t="s">
        <v>443</v>
      </c>
      <c r="C35" s="787" t="s">
        <v>441</v>
      </c>
      <c r="D35" s="771" t="s">
        <v>500</v>
      </c>
      <c r="E35" s="839">
        <v>3.1E-2</v>
      </c>
      <c r="F35" s="774" t="s">
        <v>501</v>
      </c>
      <c r="G35" s="773">
        <v>274</v>
      </c>
      <c r="H35" s="779" t="s">
        <v>113</v>
      </c>
      <c r="I35" s="298">
        <v>500</v>
      </c>
      <c r="J35" s="314" t="s">
        <v>426</v>
      </c>
      <c r="K35" s="843">
        <f t="shared" si="0"/>
        <v>2.1234999999999999</v>
      </c>
      <c r="L35" s="842" t="s">
        <v>497</v>
      </c>
      <c r="N35" s="791"/>
    </row>
    <row r="36" spans="1:14" x14ac:dyDescent="0.2">
      <c r="A36" s="770">
        <v>28</v>
      </c>
      <c r="B36" s="771" t="s">
        <v>443</v>
      </c>
      <c r="C36" s="787" t="s">
        <v>441</v>
      </c>
      <c r="D36" s="771" t="s">
        <v>500</v>
      </c>
      <c r="E36" s="839">
        <v>3.1E-2</v>
      </c>
      <c r="F36" s="774" t="s">
        <v>501</v>
      </c>
      <c r="G36" s="773">
        <v>274</v>
      </c>
      <c r="H36" s="779" t="s">
        <v>113</v>
      </c>
      <c r="I36" s="298">
        <v>500</v>
      </c>
      <c r="J36" s="314" t="s">
        <v>426</v>
      </c>
      <c r="K36" s="843">
        <f t="shared" si="0"/>
        <v>2.1234999999999999</v>
      </c>
      <c r="L36" s="842" t="s">
        <v>497</v>
      </c>
      <c r="N36" s="791"/>
    </row>
    <row r="37" spans="1:14" x14ac:dyDescent="0.2">
      <c r="A37" s="770" t="s">
        <v>748</v>
      </c>
      <c r="B37" s="771" t="s">
        <v>460</v>
      </c>
      <c r="C37" s="787" t="s">
        <v>441</v>
      </c>
      <c r="D37" s="771" t="s">
        <v>500</v>
      </c>
      <c r="E37" s="839">
        <v>3.1E-2</v>
      </c>
      <c r="F37" s="774" t="s">
        <v>501</v>
      </c>
      <c r="G37" s="773">
        <v>74</v>
      </c>
      <c r="H37" s="779" t="s">
        <v>113</v>
      </c>
      <c r="I37" s="298">
        <v>500</v>
      </c>
      <c r="J37" s="314" t="s">
        <v>426</v>
      </c>
      <c r="K37" s="843">
        <f t="shared" si="0"/>
        <v>0.57350000000000001</v>
      </c>
      <c r="L37" s="842" t="s">
        <v>497</v>
      </c>
      <c r="N37" s="791"/>
    </row>
    <row r="38" spans="1:14" x14ac:dyDescent="0.2">
      <c r="A38" s="770">
        <v>30</v>
      </c>
      <c r="B38" s="771" t="s">
        <v>460</v>
      </c>
      <c r="C38" s="787" t="s">
        <v>441</v>
      </c>
      <c r="D38" s="771" t="s">
        <v>500</v>
      </c>
      <c r="E38" s="839">
        <v>3.1E-2</v>
      </c>
      <c r="F38" s="774" t="s">
        <v>501</v>
      </c>
      <c r="G38" s="773">
        <v>75</v>
      </c>
      <c r="H38" s="779" t="s">
        <v>113</v>
      </c>
      <c r="I38" s="298">
        <v>500</v>
      </c>
      <c r="J38" s="314" t="s">
        <v>426</v>
      </c>
      <c r="K38" s="843">
        <f t="shared" si="0"/>
        <v>0.58125000000000004</v>
      </c>
      <c r="L38" s="842" t="s">
        <v>497</v>
      </c>
      <c r="N38" s="791"/>
    </row>
    <row r="39" spans="1:14" x14ac:dyDescent="0.2">
      <c r="A39" s="770" t="s">
        <v>749</v>
      </c>
      <c r="B39" s="771" t="s">
        <v>460</v>
      </c>
      <c r="C39" s="787" t="s">
        <v>441</v>
      </c>
      <c r="D39" s="771" t="s">
        <v>500</v>
      </c>
      <c r="E39" s="839">
        <v>3.1E-2</v>
      </c>
      <c r="F39" s="774" t="s">
        <v>501</v>
      </c>
      <c r="G39" s="773">
        <v>74</v>
      </c>
      <c r="H39" s="779" t="s">
        <v>113</v>
      </c>
      <c r="I39" s="298">
        <v>500</v>
      </c>
      <c r="J39" s="314" t="s">
        <v>426</v>
      </c>
      <c r="K39" s="843">
        <f t="shared" si="0"/>
        <v>0.57350000000000001</v>
      </c>
      <c r="L39" s="842" t="s">
        <v>497</v>
      </c>
      <c r="N39" s="791"/>
    </row>
    <row r="40" spans="1:14" x14ac:dyDescent="0.2">
      <c r="A40" s="770">
        <v>32</v>
      </c>
      <c r="B40" s="771" t="s">
        <v>460</v>
      </c>
      <c r="C40" s="787" t="s">
        <v>441</v>
      </c>
      <c r="D40" s="771" t="s">
        <v>500</v>
      </c>
      <c r="E40" s="839">
        <v>3.1E-2</v>
      </c>
      <c r="F40" s="774" t="s">
        <v>501</v>
      </c>
      <c r="G40" s="773">
        <v>75</v>
      </c>
      <c r="H40" s="779" t="s">
        <v>113</v>
      </c>
      <c r="I40" s="298">
        <v>200</v>
      </c>
      <c r="J40" s="314" t="s">
        <v>426</v>
      </c>
      <c r="K40" s="843">
        <f t="shared" si="0"/>
        <v>0.23250000000000004</v>
      </c>
      <c r="L40" s="842" t="s">
        <v>497</v>
      </c>
      <c r="N40" s="791"/>
    </row>
    <row r="41" spans="1:14" x14ac:dyDescent="0.2">
      <c r="A41" s="770">
        <v>33</v>
      </c>
      <c r="B41" s="771" t="s">
        <v>460</v>
      </c>
      <c r="C41" s="787" t="s">
        <v>441</v>
      </c>
      <c r="D41" s="771" t="s">
        <v>500</v>
      </c>
      <c r="E41" s="839">
        <v>3.1E-2</v>
      </c>
      <c r="F41" s="774" t="s">
        <v>501</v>
      </c>
      <c r="G41" s="773">
        <v>75</v>
      </c>
      <c r="H41" s="779" t="s">
        <v>113</v>
      </c>
      <c r="I41" s="298">
        <v>500</v>
      </c>
      <c r="J41" s="314" t="s">
        <v>426</v>
      </c>
      <c r="K41" s="843">
        <f t="shared" si="0"/>
        <v>0.58125000000000004</v>
      </c>
      <c r="L41" s="842" t="s">
        <v>497</v>
      </c>
      <c r="N41" s="791"/>
    </row>
    <row r="42" spans="1:14" x14ac:dyDescent="0.2">
      <c r="A42" s="770">
        <v>34</v>
      </c>
      <c r="B42" s="771" t="s">
        <v>463</v>
      </c>
      <c r="C42" s="787" t="s">
        <v>441</v>
      </c>
      <c r="D42" s="771" t="s">
        <v>500</v>
      </c>
      <c r="E42" s="839">
        <v>3.1E-2</v>
      </c>
      <c r="F42" s="774" t="s">
        <v>501</v>
      </c>
      <c r="G42" s="773">
        <v>220</v>
      </c>
      <c r="H42" s="779" t="s">
        <v>113</v>
      </c>
      <c r="I42" s="298">
        <v>500</v>
      </c>
      <c r="J42" s="314" t="s">
        <v>426</v>
      </c>
      <c r="K42" s="843">
        <f t="shared" si="0"/>
        <v>1.7050000000000001</v>
      </c>
      <c r="L42" s="842" t="s">
        <v>497</v>
      </c>
      <c r="N42" s="791"/>
    </row>
    <row r="43" spans="1:14" x14ac:dyDescent="0.2">
      <c r="A43" s="770">
        <v>35</v>
      </c>
      <c r="B43" s="771" t="s">
        <v>463</v>
      </c>
      <c r="C43" s="787" t="s">
        <v>441</v>
      </c>
      <c r="D43" s="771" t="s">
        <v>500</v>
      </c>
      <c r="E43" s="839">
        <v>3.1E-2</v>
      </c>
      <c r="F43" s="774" t="s">
        <v>501</v>
      </c>
      <c r="G43" s="773">
        <v>55</v>
      </c>
      <c r="H43" s="779" t="s">
        <v>113</v>
      </c>
      <c r="I43" s="298">
        <v>500</v>
      </c>
      <c r="J43" s="314" t="s">
        <v>426</v>
      </c>
      <c r="K43" s="843">
        <f t="shared" si="0"/>
        <v>0.42625000000000002</v>
      </c>
      <c r="L43" s="842" t="s">
        <v>497</v>
      </c>
      <c r="N43" s="791"/>
    </row>
    <row r="44" spans="1:14" x14ac:dyDescent="0.2">
      <c r="A44" s="770">
        <v>36</v>
      </c>
      <c r="B44" s="771" t="s">
        <v>463</v>
      </c>
      <c r="C44" s="787" t="s">
        <v>441</v>
      </c>
      <c r="D44" s="771" t="s">
        <v>500</v>
      </c>
      <c r="E44" s="839">
        <v>3.1E-2</v>
      </c>
      <c r="F44" s="774" t="s">
        <v>501</v>
      </c>
      <c r="G44" s="773">
        <v>220</v>
      </c>
      <c r="H44" s="779" t="s">
        <v>113</v>
      </c>
      <c r="I44" s="298">
        <v>500</v>
      </c>
      <c r="J44" s="314" t="s">
        <v>426</v>
      </c>
      <c r="K44" s="843">
        <f t="shared" si="0"/>
        <v>1.7050000000000001</v>
      </c>
      <c r="L44" s="842" t="s">
        <v>497</v>
      </c>
    </row>
    <row r="45" spans="1:14" x14ac:dyDescent="0.2">
      <c r="A45" s="770" t="s">
        <v>56</v>
      </c>
      <c r="B45" s="771" t="s">
        <v>467</v>
      </c>
      <c r="C45" s="787" t="s">
        <v>49</v>
      </c>
      <c r="D45" s="787" t="s">
        <v>49</v>
      </c>
      <c r="E45" s="1184" t="s">
        <v>49</v>
      </c>
      <c r="F45" s="1185"/>
      <c r="G45" s="773">
        <v>3620</v>
      </c>
      <c r="H45" s="774" t="s">
        <v>117</v>
      </c>
      <c r="I45" s="298">
        <v>4380</v>
      </c>
      <c r="J45" s="314" t="s">
        <v>426</v>
      </c>
      <c r="K45" s="844">
        <v>0</v>
      </c>
      <c r="L45" s="842" t="s">
        <v>497</v>
      </c>
    </row>
    <row r="46" spans="1:14" x14ac:dyDescent="0.2">
      <c r="A46" s="770" t="s">
        <v>57</v>
      </c>
      <c r="B46" s="771" t="s">
        <v>469</v>
      </c>
      <c r="C46" s="787" t="s">
        <v>49</v>
      </c>
      <c r="D46" s="787" t="s">
        <v>49</v>
      </c>
      <c r="E46" s="1184" t="s">
        <v>49</v>
      </c>
      <c r="F46" s="1185"/>
      <c r="G46" s="773">
        <v>3620</v>
      </c>
      <c r="H46" s="774" t="s">
        <v>117</v>
      </c>
      <c r="I46" s="298">
        <v>4380</v>
      </c>
      <c r="J46" s="314" t="s">
        <v>426</v>
      </c>
      <c r="K46" s="844">
        <v>0</v>
      </c>
      <c r="L46" s="842" t="s">
        <v>497</v>
      </c>
    </row>
    <row r="47" spans="1:14" x14ac:dyDescent="0.2">
      <c r="A47" s="770">
        <v>52</v>
      </c>
      <c r="B47" s="771" t="s">
        <v>470</v>
      </c>
      <c r="C47" s="787" t="s">
        <v>49</v>
      </c>
      <c r="D47" s="787" t="s">
        <v>49</v>
      </c>
      <c r="E47" s="1184" t="s">
        <v>49</v>
      </c>
      <c r="F47" s="1185"/>
      <c r="G47" s="1186" t="s">
        <v>49</v>
      </c>
      <c r="H47" s="1187"/>
      <c r="I47" s="298">
        <v>82049</v>
      </c>
      <c r="J47" s="845" t="s">
        <v>497</v>
      </c>
      <c r="K47" s="844">
        <v>0</v>
      </c>
      <c r="L47" s="842" t="s">
        <v>497</v>
      </c>
    </row>
    <row r="48" spans="1:14" ht="17.25" thickBot="1" x14ac:dyDescent="0.35">
      <c r="A48" s="1188" t="s">
        <v>880</v>
      </c>
      <c r="B48" s="1189"/>
      <c r="C48" s="1189"/>
      <c r="D48" s="1189"/>
      <c r="E48" s="1189"/>
      <c r="F48" s="1189"/>
      <c r="G48" s="1189"/>
      <c r="H48" s="1189"/>
      <c r="I48" s="1189"/>
      <c r="J48" s="1189"/>
      <c r="K48" s="792">
        <f>SUM(K7:K47)</f>
        <v>1532.3856232066275</v>
      </c>
      <c r="L48" s="793" t="s">
        <v>497</v>
      </c>
    </row>
    <row r="49" spans="1:12" ht="15.75" thickBot="1" x14ac:dyDescent="0.3">
      <c r="A49" s="1168" t="s">
        <v>471</v>
      </c>
      <c r="B49" s="1169"/>
      <c r="C49" s="1169"/>
      <c r="D49" s="1169"/>
      <c r="E49" s="1169"/>
      <c r="F49" s="1169"/>
      <c r="G49" s="1169"/>
      <c r="H49" s="1169"/>
      <c r="I49" s="1169"/>
      <c r="J49" s="1169"/>
      <c r="K49" s="1169"/>
      <c r="L49" s="1170"/>
    </row>
    <row r="50" spans="1:12" ht="15" thickTop="1" x14ac:dyDescent="0.2">
      <c r="A50" s="794" t="s">
        <v>49</v>
      </c>
      <c r="B50" s="766" t="s">
        <v>472</v>
      </c>
      <c r="C50" s="766" t="s">
        <v>49</v>
      </c>
      <c r="D50" s="837" t="s">
        <v>49</v>
      </c>
      <c r="E50" s="1190" t="s">
        <v>49</v>
      </c>
      <c r="F50" s="1190"/>
      <c r="G50" s="767">
        <v>1460</v>
      </c>
      <c r="H50" s="795" t="s">
        <v>117</v>
      </c>
      <c r="I50" s="767">
        <v>4380</v>
      </c>
      <c r="J50" s="795" t="s">
        <v>426</v>
      </c>
      <c r="K50" s="846">
        <v>0</v>
      </c>
      <c r="L50" s="797" t="s">
        <v>497</v>
      </c>
    </row>
    <row r="51" spans="1:12" x14ac:dyDescent="0.2">
      <c r="A51" s="798" t="s">
        <v>49</v>
      </c>
      <c r="B51" s="772" t="s">
        <v>474</v>
      </c>
      <c r="C51" s="772" t="s">
        <v>49</v>
      </c>
      <c r="D51" s="787" t="s">
        <v>49</v>
      </c>
      <c r="E51" s="1191" t="s">
        <v>49</v>
      </c>
      <c r="F51" s="1191"/>
      <c r="G51" s="1192" t="s">
        <v>49</v>
      </c>
      <c r="H51" s="1192"/>
      <c r="I51" s="773">
        <v>28560.000000000004</v>
      </c>
      <c r="J51" s="779" t="s">
        <v>497</v>
      </c>
      <c r="K51" s="801">
        <v>0</v>
      </c>
      <c r="L51" s="800" t="s">
        <v>497</v>
      </c>
    </row>
    <row r="52" spans="1:12" x14ac:dyDescent="0.2">
      <c r="A52" s="798" t="s">
        <v>49</v>
      </c>
      <c r="B52" s="772" t="s">
        <v>476</v>
      </c>
      <c r="C52" s="772" t="s">
        <v>478</v>
      </c>
      <c r="D52" s="787" t="s">
        <v>49</v>
      </c>
      <c r="E52" s="1191" t="s">
        <v>49</v>
      </c>
      <c r="F52" s="1191"/>
      <c r="G52" s="1192" t="s">
        <v>49</v>
      </c>
      <c r="H52" s="1192"/>
      <c r="I52" s="1186" t="s">
        <v>49</v>
      </c>
      <c r="J52" s="1187"/>
      <c r="K52" s="801">
        <v>0</v>
      </c>
      <c r="L52" s="800" t="s">
        <v>497</v>
      </c>
    </row>
    <row r="53" spans="1:12" x14ac:dyDescent="0.2">
      <c r="A53" s="798" t="s">
        <v>49</v>
      </c>
      <c r="B53" s="772" t="s">
        <v>479</v>
      </c>
      <c r="C53" s="772" t="s">
        <v>478</v>
      </c>
      <c r="D53" s="787" t="s">
        <v>49</v>
      </c>
      <c r="E53" s="1191" t="s">
        <v>49</v>
      </c>
      <c r="F53" s="1191"/>
      <c r="G53" s="1192" t="s">
        <v>49</v>
      </c>
      <c r="H53" s="1192"/>
      <c r="I53" s="1192" t="s">
        <v>49</v>
      </c>
      <c r="J53" s="1192"/>
      <c r="K53" s="801">
        <v>0</v>
      </c>
      <c r="L53" s="800" t="s">
        <v>497</v>
      </c>
    </row>
    <row r="54" spans="1:12" ht="16.5" x14ac:dyDescent="0.3">
      <c r="A54" s="1193" t="s">
        <v>881</v>
      </c>
      <c r="B54" s="1194"/>
      <c r="C54" s="1194"/>
      <c r="D54" s="1194"/>
      <c r="E54" s="1194"/>
      <c r="F54" s="1194"/>
      <c r="G54" s="1194"/>
      <c r="H54" s="1194"/>
      <c r="I54" s="1194"/>
      <c r="J54" s="1194"/>
      <c r="K54" s="847">
        <f>SUM(K50:K53)</f>
        <v>0</v>
      </c>
      <c r="L54" s="803" t="s">
        <v>497</v>
      </c>
    </row>
    <row r="55" spans="1:12" x14ac:dyDescent="0.2">
      <c r="A55" s="1195"/>
      <c r="B55" s="1191"/>
      <c r="C55" s="1191"/>
      <c r="D55" s="1191"/>
      <c r="E55" s="1191"/>
      <c r="F55" s="1191"/>
      <c r="G55" s="1191"/>
      <c r="H55" s="1191"/>
      <c r="I55" s="1191"/>
      <c r="J55" s="1191"/>
      <c r="K55" s="1191"/>
      <c r="L55" s="1196"/>
    </row>
    <row r="56" spans="1:12" ht="17.25" thickBot="1" x14ac:dyDescent="0.35">
      <c r="A56" s="1188" t="s">
        <v>882</v>
      </c>
      <c r="B56" s="1189"/>
      <c r="C56" s="1189"/>
      <c r="D56" s="1189"/>
      <c r="E56" s="1189"/>
      <c r="F56" s="1189"/>
      <c r="G56" s="1189"/>
      <c r="H56" s="1189"/>
      <c r="I56" s="1189"/>
      <c r="J56" s="1189"/>
      <c r="K56" s="792">
        <f>SUM(K48,K54)</f>
        <v>1532.3856232066275</v>
      </c>
      <c r="L56" s="793" t="s">
        <v>497</v>
      </c>
    </row>
    <row r="57" spans="1:12" ht="15" x14ac:dyDescent="0.25">
      <c r="A57" s="813"/>
      <c r="B57" s="814"/>
      <c r="C57" s="814"/>
      <c r="D57" s="814"/>
      <c r="E57" s="814"/>
      <c r="F57" s="814"/>
      <c r="G57" s="814"/>
      <c r="H57" s="814"/>
      <c r="I57" s="848"/>
      <c r="J57" s="815"/>
      <c r="K57" s="816"/>
      <c r="L57" s="817"/>
    </row>
    <row r="58" spans="1:12" x14ac:dyDescent="0.2">
      <c r="A58" s="751" t="s">
        <v>483</v>
      </c>
    </row>
    <row r="59" spans="1:12" x14ac:dyDescent="0.2">
      <c r="B59" s="820" t="s">
        <v>503</v>
      </c>
      <c r="C59" s="751">
        <v>453.6</v>
      </c>
      <c r="D59" s="751" t="s">
        <v>504</v>
      </c>
    </row>
    <row r="60" spans="1:12" x14ac:dyDescent="0.2">
      <c r="B60" s="820" t="s">
        <v>503</v>
      </c>
      <c r="C60" s="339">
        <v>2000</v>
      </c>
      <c r="D60" s="751" t="s">
        <v>496</v>
      </c>
    </row>
    <row r="61" spans="1:12" x14ac:dyDescent="0.2">
      <c r="A61" s="769"/>
      <c r="D61" s="821"/>
    </row>
    <row r="62" spans="1:12" x14ac:dyDescent="0.2">
      <c r="D62" s="821"/>
    </row>
    <row r="63" spans="1:12" x14ac:dyDescent="0.2">
      <c r="A63" s="751" t="s">
        <v>998</v>
      </c>
      <c r="D63" s="821"/>
    </row>
    <row r="64" spans="1:12" x14ac:dyDescent="0.2">
      <c r="D64" s="821"/>
    </row>
    <row r="65" spans="4:4" x14ac:dyDescent="0.2">
      <c r="D65" s="821"/>
    </row>
    <row r="66" spans="4:4" x14ac:dyDescent="0.2">
      <c r="D66" s="821"/>
    </row>
    <row r="67" spans="4:4" x14ac:dyDescent="0.2">
      <c r="D67" s="821"/>
    </row>
    <row r="68" spans="4:4" x14ac:dyDescent="0.2">
      <c r="D68" s="821"/>
    </row>
    <row r="69" spans="4:4" x14ac:dyDescent="0.2">
      <c r="D69" s="821"/>
    </row>
    <row r="70" spans="4:4" x14ac:dyDescent="0.2">
      <c r="D70" s="821"/>
    </row>
    <row r="71" spans="4:4" x14ac:dyDescent="0.2">
      <c r="D71" s="821"/>
    </row>
    <row r="72" spans="4:4" x14ac:dyDescent="0.2">
      <c r="D72" s="821"/>
    </row>
    <row r="73" spans="4:4" x14ac:dyDescent="0.2">
      <c r="D73" s="821"/>
    </row>
    <row r="74" spans="4:4" x14ac:dyDescent="0.2">
      <c r="D74" s="821"/>
    </row>
    <row r="75" spans="4:4" x14ac:dyDescent="0.2">
      <c r="D75" s="821"/>
    </row>
    <row r="76" spans="4:4" x14ac:dyDescent="0.2">
      <c r="D76" s="821"/>
    </row>
    <row r="77" spans="4:4" x14ac:dyDescent="0.2">
      <c r="D77" s="821"/>
    </row>
    <row r="78" spans="4:4" x14ac:dyDescent="0.2">
      <c r="D78" s="821"/>
    </row>
    <row r="79" spans="4:4" x14ac:dyDescent="0.2">
      <c r="D79" s="821"/>
    </row>
    <row r="80" spans="4:4" x14ac:dyDescent="0.2">
      <c r="D80" s="821"/>
    </row>
    <row r="81" spans="4:4" x14ac:dyDescent="0.2">
      <c r="D81" s="821"/>
    </row>
    <row r="82" spans="4:4" x14ac:dyDescent="0.2">
      <c r="D82" s="821"/>
    </row>
    <row r="83" spans="4:4" x14ac:dyDescent="0.2">
      <c r="D83" s="821"/>
    </row>
    <row r="84" spans="4:4" x14ac:dyDescent="0.2">
      <c r="D84" s="821"/>
    </row>
    <row r="85" spans="4:4" x14ac:dyDescent="0.2">
      <c r="D85" s="821"/>
    </row>
    <row r="86" spans="4:4" x14ac:dyDescent="0.2">
      <c r="D86" s="821"/>
    </row>
    <row r="87" spans="4:4" x14ac:dyDescent="0.2">
      <c r="D87" s="821"/>
    </row>
    <row r="88" spans="4:4" x14ac:dyDescent="0.2">
      <c r="D88" s="821"/>
    </row>
    <row r="89" spans="4:4" x14ac:dyDescent="0.2">
      <c r="D89" s="821"/>
    </row>
    <row r="90" spans="4:4" x14ac:dyDescent="0.2">
      <c r="D90" s="821"/>
    </row>
    <row r="91" spans="4:4" x14ac:dyDescent="0.2">
      <c r="D91" s="821"/>
    </row>
    <row r="92" spans="4:4" x14ac:dyDescent="0.2">
      <c r="D92" s="821"/>
    </row>
    <row r="93" spans="4:4" x14ac:dyDescent="0.2">
      <c r="D93" s="821"/>
    </row>
    <row r="94" spans="4:4" x14ac:dyDescent="0.2">
      <c r="D94" s="821"/>
    </row>
    <row r="95" spans="4:4" x14ac:dyDescent="0.2">
      <c r="D95" s="821"/>
    </row>
    <row r="96" spans="4:4" x14ac:dyDescent="0.2">
      <c r="D96" s="821"/>
    </row>
    <row r="97" spans="4:4" x14ac:dyDescent="0.2">
      <c r="D97" s="821"/>
    </row>
    <row r="98" spans="4:4" x14ac:dyDescent="0.2">
      <c r="D98" s="821"/>
    </row>
    <row r="99" spans="4:4" x14ac:dyDescent="0.2">
      <c r="D99" s="821"/>
    </row>
    <row r="100" spans="4:4" x14ac:dyDescent="0.2">
      <c r="D100" s="821"/>
    </row>
    <row r="101" spans="4:4" x14ac:dyDescent="0.2">
      <c r="D101" s="821"/>
    </row>
    <row r="102" spans="4:4" x14ac:dyDescent="0.2">
      <c r="D102" s="821"/>
    </row>
    <row r="103" spans="4:4" x14ac:dyDescent="0.2">
      <c r="D103" s="821"/>
    </row>
    <row r="104" spans="4:4" x14ac:dyDescent="0.2">
      <c r="D104" s="821"/>
    </row>
    <row r="105" spans="4:4" x14ac:dyDescent="0.2">
      <c r="D105" s="821"/>
    </row>
    <row r="106" spans="4:4" x14ac:dyDescent="0.2">
      <c r="D106" s="821"/>
    </row>
    <row r="107" spans="4:4" x14ac:dyDescent="0.2">
      <c r="D107" s="821"/>
    </row>
    <row r="108" spans="4:4" x14ac:dyDescent="0.2">
      <c r="D108" s="821"/>
    </row>
    <row r="109" spans="4:4" x14ac:dyDescent="0.2">
      <c r="D109" s="821"/>
    </row>
    <row r="110" spans="4:4" x14ac:dyDescent="0.2">
      <c r="D110" s="821"/>
    </row>
    <row r="111" spans="4:4" x14ac:dyDescent="0.2">
      <c r="D111" s="821"/>
    </row>
    <row r="112" spans="4:4" x14ac:dyDescent="0.2">
      <c r="D112" s="821"/>
    </row>
    <row r="113" spans="4:4" x14ac:dyDescent="0.2">
      <c r="D113" s="821"/>
    </row>
    <row r="114" spans="4:4" x14ac:dyDescent="0.2">
      <c r="D114" s="821"/>
    </row>
    <row r="115" spans="4:4" x14ac:dyDescent="0.2">
      <c r="D115" s="821"/>
    </row>
    <row r="116" spans="4:4" x14ac:dyDescent="0.2">
      <c r="D116" s="821"/>
    </row>
    <row r="117" spans="4:4" x14ac:dyDescent="0.2">
      <c r="D117" s="821"/>
    </row>
    <row r="118" spans="4:4" x14ac:dyDescent="0.2">
      <c r="D118" s="821"/>
    </row>
    <row r="119" spans="4:4" x14ac:dyDescent="0.2">
      <c r="D119" s="821"/>
    </row>
    <row r="120" spans="4:4" x14ac:dyDescent="0.2">
      <c r="D120" s="821"/>
    </row>
    <row r="121" spans="4:4" x14ac:dyDescent="0.2">
      <c r="D121" s="821"/>
    </row>
    <row r="122" spans="4:4" x14ac:dyDescent="0.2">
      <c r="D122" s="821"/>
    </row>
    <row r="123" spans="4:4" x14ac:dyDescent="0.2">
      <c r="D123" s="821"/>
    </row>
    <row r="124" spans="4:4" x14ac:dyDescent="0.2">
      <c r="D124" s="821"/>
    </row>
    <row r="125" spans="4:4" x14ac:dyDescent="0.2">
      <c r="D125" s="821"/>
    </row>
    <row r="126" spans="4:4" x14ac:dyDescent="0.2">
      <c r="D126" s="821"/>
    </row>
  </sheetData>
  <mergeCells count="32">
    <mergeCell ref="A56:J56"/>
    <mergeCell ref="E50:F50"/>
    <mergeCell ref="E51:F51"/>
    <mergeCell ref="G51:H51"/>
    <mergeCell ref="E52:F52"/>
    <mergeCell ref="G52:H52"/>
    <mergeCell ref="I52:J52"/>
    <mergeCell ref="E53:F53"/>
    <mergeCell ref="G53:H53"/>
    <mergeCell ref="I53:J53"/>
    <mergeCell ref="A54:J54"/>
    <mergeCell ref="A55:L55"/>
    <mergeCell ref="A49:L49"/>
    <mergeCell ref="G5:H5"/>
    <mergeCell ref="I5:J5"/>
    <mergeCell ref="K5:L5"/>
    <mergeCell ref="A6:L6"/>
    <mergeCell ref="I7:I12"/>
    <mergeCell ref="J7:J12"/>
    <mergeCell ref="K7:K12"/>
    <mergeCell ref="L7:L12"/>
    <mergeCell ref="E45:F45"/>
    <mergeCell ref="E46:F46"/>
    <mergeCell ref="E47:F47"/>
    <mergeCell ref="G47:H47"/>
    <mergeCell ref="A48:J48"/>
    <mergeCell ref="A1:L1"/>
    <mergeCell ref="A2:L2"/>
    <mergeCell ref="A4:B4"/>
    <mergeCell ref="G4:H4"/>
    <mergeCell ref="I4:J4"/>
    <mergeCell ref="K4:L4"/>
  </mergeCells>
  <printOptions horizontalCentered="1"/>
  <pageMargins left="0.75" right="0.75" top="0.75" bottom="0.92" header="0.75" footer="0.63"/>
  <pageSetup scale="69" fitToHeight="2" orientation="landscape" cellComments="asDisplayed" useFirstPageNumber="1" r:id="rId1"/>
  <headerFooter alignWithMargins="0">
    <oddHeader>&amp;R&amp;A</oddHeader>
  </headerFooter>
  <rowBreaks count="1" manualBreakCount="1">
    <brk id="48"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V123"/>
  <sheetViews>
    <sheetView view="pageLayout" topLeftCell="C42" zoomScaleNormal="110" zoomScaleSheetLayoutView="100" workbookViewId="0">
      <selection activeCell="E16" sqref="E16"/>
    </sheetView>
  </sheetViews>
  <sheetFormatPr defaultColWidth="9.140625" defaultRowHeight="14.25" x14ac:dyDescent="0.2"/>
  <cols>
    <col min="1" max="1" width="9.140625" style="125"/>
    <col min="2" max="2" width="43" style="125" customWidth="1"/>
    <col min="3" max="3" width="26.140625" style="125" customWidth="1"/>
    <col min="4" max="4" width="15.85546875" style="125" customWidth="1"/>
    <col min="5" max="5" width="12.7109375" style="125" customWidth="1"/>
    <col min="6" max="6" width="21.42578125" style="125" customWidth="1"/>
    <col min="7" max="7" width="7.85546875" style="125" customWidth="1"/>
    <col min="8" max="8" width="12.85546875" style="125" customWidth="1"/>
    <col min="9" max="9" width="9.5703125" style="125" customWidth="1"/>
    <col min="10" max="10" width="12.28515625" style="125" customWidth="1"/>
    <col min="11" max="11" width="10.28515625" style="287" customWidth="1"/>
    <col min="12" max="12" width="8.85546875" style="125" customWidth="1"/>
    <col min="13" max="13" width="9.85546875" style="287" customWidth="1"/>
    <col min="14" max="14" width="7.7109375" style="125" customWidth="1"/>
    <col min="15" max="15" width="9.140625" style="125"/>
    <col min="16" max="16" width="15.140625" style="125" customWidth="1"/>
    <col min="17" max="17" width="10" style="125" customWidth="1"/>
    <col min="18" max="18" width="9.140625" style="125"/>
    <col min="19" max="19" width="10" style="125" customWidth="1"/>
    <col min="20" max="16384" width="9.140625" style="125"/>
  </cols>
  <sheetData>
    <row r="1" spans="1:22" ht="16.5" x14ac:dyDescent="0.3">
      <c r="A1" s="1197" t="s">
        <v>933</v>
      </c>
      <c r="B1" s="1197"/>
      <c r="C1" s="1197"/>
      <c r="D1" s="1197"/>
      <c r="E1" s="1197"/>
      <c r="F1" s="1197"/>
      <c r="G1" s="1197"/>
      <c r="H1" s="1197"/>
      <c r="I1" s="1197"/>
      <c r="J1" s="1197"/>
      <c r="K1" s="1197"/>
      <c r="L1" s="1197"/>
      <c r="M1" s="1197"/>
      <c r="N1" s="1197"/>
    </row>
    <row r="2" spans="1:22" ht="15" x14ac:dyDescent="0.25">
      <c r="A2" s="1197" t="s">
        <v>416</v>
      </c>
      <c r="B2" s="1197"/>
      <c r="C2" s="1197"/>
      <c r="D2" s="1197"/>
      <c r="E2" s="1197"/>
      <c r="F2" s="1197"/>
      <c r="G2" s="1197"/>
      <c r="H2" s="1197"/>
      <c r="I2" s="1197"/>
      <c r="J2" s="1197"/>
      <c r="K2" s="1197"/>
      <c r="L2" s="1197"/>
      <c r="M2" s="1197"/>
      <c r="N2" s="1197"/>
    </row>
    <row r="3" spans="1:22" ht="15" thickBot="1" x14ac:dyDescent="0.25"/>
    <row r="4" spans="1:22" ht="16.5" customHeight="1" x14ac:dyDescent="0.3">
      <c r="A4" s="1198" t="s">
        <v>417</v>
      </c>
      <c r="B4" s="1011"/>
      <c r="C4" s="673"/>
      <c r="D4" s="673"/>
      <c r="E4" s="236" t="s">
        <v>418</v>
      </c>
      <c r="F4" s="288" t="s">
        <v>488</v>
      </c>
      <c r="G4" s="289" t="s">
        <v>489</v>
      </c>
      <c r="H4" s="289"/>
      <c r="I4" s="1199" t="s">
        <v>417</v>
      </c>
      <c r="J4" s="1199"/>
      <c r="K4" s="1200" t="s">
        <v>490</v>
      </c>
      <c r="L4" s="1201"/>
      <c r="M4" s="1202" t="s">
        <v>378</v>
      </c>
      <c r="N4" s="1203"/>
    </row>
    <row r="5" spans="1:22" ht="42" customHeight="1" x14ac:dyDescent="0.3">
      <c r="A5" s="290" t="s">
        <v>157</v>
      </c>
      <c r="B5" s="238" t="s">
        <v>25</v>
      </c>
      <c r="C5" s="670" t="s">
        <v>762</v>
      </c>
      <c r="D5" s="747" t="s">
        <v>760</v>
      </c>
      <c r="E5" s="239" t="s">
        <v>421</v>
      </c>
      <c r="F5" s="291" t="s">
        <v>491</v>
      </c>
      <c r="G5" s="292" t="s">
        <v>492</v>
      </c>
      <c r="H5" s="292"/>
      <c r="I5" s="1230" t="s">
        <v>710</v>
      </c>
      <c r="J5" s="1230"/>
      <c r="K5" s="1231" t="s">
        <v>494</v>
      </c>
      <c r="L5" s="1232"/>
      <c r="M5" s="1204" t="s">
        <v>495</v>
      </c>
      <c r="N5" s="1205"/>
    </row>
    <row r="6" spans="1:22" ht="15.75" thickBot="1" x14ac:dyDescent="0.3">
      <c r="A6" s="1206" t="s">
        <v>422</v>
      </c>
      <c r="B6" s="1207"/>
      <c r="C6" s="1207"/>
      <c r="D6" s="1207"/>
      <c r="E6" s="1207"/>
      <c r="F6" s="1207"/>
      <c r="G6" s="1207"/>
      <c r="H6" s="1207"/>
      <c r="I6" s="1207"/>
      <c r="J6" s="1207"/>
      <c r="K6" s="1207"/>
      <c r="L6" s="1207"/>
      <c r="M6" s="1207"/>
      <c r="N6" s="1208"/>
    </row>
    <row r="7" spans="1:22" ht="57.75" customHeight="1" thickTop="1" x14ac:dyDescent="0.2">
      <c r="A7" s="293">
        <v>1</v>
      </c>
      <c r="B7" s="294" t="s">
        <v>423</v>
      </c>
      <c r="C7" s="671"/>
      <c r="D7" s="671">
        <v>1953</v>
      </c>
      <c r="E7" s="295" t="s">
        <v>425</v>
      </c>
      <c r="F7" s="1312" t="s">
        <v>893</v>
      </c>
      <c r="G7" s="571">
        <f>8.8*0.75</f>
        <v>6.6000000000000005</v>
      </c>
      <c r="H7" s="347" t="s">
        <v>496</v>
      </c>
      <c r="I7" s="297">
        <v>230</v>
      </c>
      <c r="J7" s="296" t="s">
        <v>112</v>
      </c>
      <c r="K7" s="1221">
        <v>300000</v>
      </c>
      <c r="L7" s="1224" t="s">
        <v>747</v>
      </c>
      <c r="M7" s="1227">
        <f>G7*K7/2000</f>
        <v>990.00000000000011</v>
      </c>
      <c r="N7" s="1210" t="s">
        <v>497</v>
      </c>
    </row>
    <row r="8" spans="1:22" ht="28.5" customHeight="1" x14ac:dyDescent="0.2">
      <c r="A8" s="293">
        <v>2</v>
      </c>
      <c r="B8" s="294" t="s">
        <v>427</v>
      </c>
      <c r="C8" s="671"/>
      <c r="D8" s="671">
        <v>1953</v>
      </c>
      <c r="E8" s="295" t="s">
        <v>425</v>
      </c>
      <c r="F8" s="1313"/>
      <c r="G8" s="571">
        <f t="shared" ref="G8:G12" si="0">8.8*0.75</f>
        <v>6.6000000000000005</v>
      </c>
      <c r="H8" s="347" t="s">
        <v>496</v>
      </c>
      <c r="I8" s="297">
        <v>230</v>
      </c>
      <c r="J8" s="302" t="s">
        <v>112</v>
      </c>
      <c r="K8" s="1222"/>
      <c r="L8" s="1225"/>
      <c r="M8" s="1228"/>
      <c r="N8" s="1211"/>
    </row>
    <row r="9" spans="1:22" ht="14.25" customHeight="1" x14ac:dyDescent="0.2">
      <c r="A9" s="293">
        <v>3</v>
      </c>
      <c r="B9" s="294" t="s">
        <v>429</v>
      </c>
      <c r="C9" s="671"/>
      <c r="D9" s="671">
        <v>1953</v>
      </c>
      <c r="E9" s="295" t="s">
        <v>425</v>
      </c>
      <c r="F9" s="1313"/>
      <c r="G9" s="571">
        <f t="shared" si="0"/>
        <v>6.6000000000000005</v>
      </c>
      <c r="H9" s="347" t="s">
        <v>496</v>
      </c>
      <c r="I9" s="297">
        <v>230</v>
      </c>
      <c r="J9" s="302" t="s">
        <v>112</v>
      </c>
      <c r="K9" s="1222"/>
      <c r="L9" s="1225"/>
      <c r="M9" s="1228"/>
      <c r="N9" s="1211"/>
      <c r="O9" s="306"/>
      <c r="P9" s="307"/>
      <c r="Q9" s="307"/>
      <c r="R9" s="307"/>
      <c r="S9" s="307"/>
      <c r="T9" s="307"/>
      <c r="U9" s="307"/>
      <c r="V9" s="307"/>
    </row>
    <row r="10" spans="1:22" ht="28.5" customHeight="1" x14ac:dyDescent="0.2">
      <c r="A10" s="293">
        <v>4</v>
      </c>
      <c r="B10" s="294" t="s">
        <v>430</v>
      </c>
      <c r="C10" s="671"/>
      <c r="D10" s="671">
        <v>1953</v>
      </c>
      <c r="E10" s="295" t="s">
        <v>425</v>
      </c>
      <c r="F10" s="1313"/>
      <c r="G10" s="571">
        <f t="shared" si="0"/>
        <v>6.6000000000000005</v>
      </c>
      <c r="H10" s="347" t="s">
        <v>496</v>
      </c>
      <c r="I10" s="297">
        <v>230</v>
      </c>
      <c r="J10" s="302" t="s">
        <v>112</v>
      </c>
      <c r="K10" s="1222"/>
      <c r="L10" s="1225"/>
      <c r="M10" s="1228"/>
      <c r="N10" s="1211"/>
      <c r="O10" s="306"/>
      <c r="P10" s="307"/>
      <c r="Q10" s="307"/>
      <c r="R10" s="307"/>
      <c r="S10" s="307"/>
      <c r="T10" s="307"/>
      <c r="U10" s="307"/>
      <c r="V10" s="307"/>
    </row>
    <row r="11" spans="1:22" ht="28.5" customHeight="1" x14ac:dyDescent="0.2">
      <c r="A11" s="293">
        <v>5</v>
      </c>
      <c r="B11" s="294" t="s">
        <v>431</v>
      </c>
      <c r="C11" s="671"/>
      <c r="D11" s="671">
        <v>1953</v>
      </c>
      <c r="E11" s="295" t="s">
        <v>425</v>
      </c>
      <c r="F11" s="1313"/>
      <c r="G11" s="571">
        <f t="shared" si="0"/>
        <v>6.6000000000000005</v>
      </c>
      <c r="H11" s="347" t="s">
        <v>496</v>
      </c>
      <c r="I11" s="297">
        <v>230</v>
      </c>
      <c r="J11" s="302" t="s">
        <v>112</v>
      </c>
      <c r="K11" s="1222"/>
      <c r="L11" s="1225"/>
      <c r="M11" s="1228"/>
      <c r="N11" s="1211"/>
      <c r="P11" s="308"/>
    </row>
    <row r="12" spans="1:22" ht="28.5" customHeight="1" x14ac:dyDescent="0.2">
      <c r="A12" s="293">
        <v>6</v>
      </c>
      <c r="B12" s="294" t="s">
        <v>432</v>
      </c>
      <c r="C12" s="671"/>
      <c r="D12" s="671">
        <v>1953</v>
      </c>
      <c r="E12" s="295" t="s">
        <v>425</v>
      </c>
      <c r="F12" s="1314"/>
      <c r="G12" s="571">
        <f t="shared" si="0"/>
        <v>6.6000000000000005</v>
      </c>
      <c r="H12" s="347" t="s">
        <v>496</v>
      </c>
      <c r="I12" s="297">
        <v>230</v>
      </c>
      <c r="J12" s="302" t="s">
        <v>112</v>
      </c>
      <c r="K12" s="1223"/>
      <c r="L12" s="1226"/>
      <c r="M12" s="1229"/>
      <c r="N12" s="1212"/>
      <c r="P12" s="308"/>
    </row>
    <row r="13" spans="1:22" ht="14.25" customHeight="1" x14ac:dyDescent="0.2">
      <c r="A13" s="309" t="s">
        <v>53</v>
      </c>
      <c r="B13" s="294" t="s">
        <v>433</v>
      </c>
      <c r="C13" s="671"/>
      <c r="D13" s="671">
        <v>2001</v>
      </c>
      <c r="E13" s="295" t="s">
        <v>49</v>
      </c>
      <c r="F13" s="310" t="s">
        <v>49</v>
      </c>
      <c r="G13" s="311" t="s">
        <v>391</v>
      </c>
      <c r="H13" s="312" t="s">
        <v>498</v>
      </c>
      <c r="I13" s="297">
        <v>13150</v>
      </c>
      <c r="J13" s="313" t="s">
        <v>117</v>
      </c>
      <c r="K13" s="298">
        <v>2195</v>
      </c>
      <c r="L13" s="314" t="s">
        <v>426</v>
      </c>
      <c r="M13" s="298">
        <v>0</v>
      </c>
      <c r="N13" s="305" t="s">
        <v>497</v>
      </c>
      <c r="O13" s="306"/>
      <c r="P13" s="307"/>
      <c r="Q13" s="307"/>
      <c r="R13" s="307"/>
      <c r="S13" s="307"/>
      <c r="T13" s="307"/>
      <c r="U13" s="307"/>
      <c r="V13" s="307"/>
    </row>
    <row r="14" spans="1:22" ht="14.25" customHeight="1" x14ac:dyDescent="0.2">
      <c r="A14" s="309" t="s">
        <v>54</v>
      </c>
      <c r="B14" s="294" t="s">
        <v>436</v>
      </c>
      <c r="C14" s="671"/>
      <c r="D14" s="671">
        <v>2005</v>
      </c>
      <c r="E14" s="295" t="s">
        <v>49</v>
      </c>
      <c r="F14" s="310" t="s">
        <v>49</v>
      </c>
      <c r="G14" s="311" t="s">
        <v>391</v>
      </c>
      <c r="H14" s="312" t="s">
        <v>498</v>
      </c>
      <c r="I14" s="297">
        <v>884</v>
      </c>
      <c r="J14" s="313" t="s">
        <v>117</v>
      </c>
      <c r="K14" s="298">
        <v>100</v>
      </c>
      <c r="L14" s="314" t="s">
        <v>426</v>
      </c>
      <c r="M14" s="298">
        <v>0</v>
      </c>
      <c r="N14" s="305" t="s">
        <v>497</v>
      </c>
      <c r="O14" s="306"/>
      <c r="P14" s="307"/>
      <c r="Q14" s="307"/>
      <c r="R14" s="307"/>
      <c r="S14" s="307"/>
      <c r="T14" s="307"/>
      <c r="U14" s="307"/>
      <c r="V14" s="307"/>
    </row>
    <row r="15" spans="1:22" ht="14.25" customHeight="1" x14ac:dyDescent="0.2">
      <c r="A15" s="309" t="s">
        <v>55</v>
      </c>
      <c r="B15" s="746" t="s">
        <v>438</v>
      </c>
      <c r="C15" s="671"/>
      <c r="D15" s="671">
        <v>2004</v>
      </c>
      <c r="E15" s="295" t="s">
        <v>49</v>
      </c>
      <c r="F15" s="310" t="s">
        <v>49</v>
      </c>
      <c r="G15" s="311" t="s">
        <v>391</v>
      </c>
      <c r="H15" s="312" t="s">
        <v>498</v>
      </c>
      <c r="I15" s="297">
        <v>9250</v>
      </c>
      <c r="J15" s="313" t="s">
        <v>117</v>
      </c>
      <c r="K15" s="298">
        <v>45</v>
      </c>
      <c r="L15" s="314" t="s">
        <v>426</v>
      </c>
      <c r="M15" s="298">
        <v>0</v>
      </c>
      <c r="N15" s="305" t="s">
        <v>497</v>
      </c>
      <c r="O15" s="306"/>
      <c r="P15" s="307"/>
      <c r="Q15" s="307"/>
      <c r="R15" s="307"/>
      <c r="S15" s="307"/>
      <c r="T15" s="307"/>
      <c r="U15" s="307"/>
      <c r="V15" s="307"/>
    </row>
    <row r="16" spans="1:22" x14ac:dyDescent="0.2">
      <c r="A16" s="293">
        <v>8</v>
      </c>
      <c r="B16" s="745" t="s">
        <v>440</v>
      </c>
      <c r="C16" s="687" t="s">
        <v>921</v>
      </c>
      <c r="D16" s="671">
        <v>2009</v>
      </c>
      <c r="E16" s="295" t="s">
        <v>441</v>
      </c>
      <c r="F16" s="269" t="s">
        <v>499</v>
      </c>
      <c r="G16" s="315">
        <v>5.39</v>
      </c>
      <c r="H16" s="302" t="s">
        <v>175</v>
      </c>
      <c r="I16" s="297">
        <v>2937</v>
      </c>
      <c r="J16" s="316" t="s">
        <v>113</v>
      </c>
      <c r="K16" s="298">
        <v>500</v>
      </c>
      <c r="L16" s="314" t="s">
        <v>426</v>
      </c>
      <c r="M16" s="317">
        <f>(G16/$E$59)*I16*K16/$E$60</f>
        <v>8.7248842592592588</v>
      </c>
      <c r="N16" s="305" t="s">
        <v>497</v>
      </c>
      <c r="O16" s="306"/>
      <c r="P16" s="307"/>
      <c r="Q16" s="307"/>
      <c r="R16" s="307"/>
      <c r="S16" s="307"/>
      <c r="T16" s="307"/>
      <c r="U16" s="307"/>
      <c r="V16" s="307"/>
    </row>
    <row r="17" spans="1:22" x14ac:dyDescent="0.2">
      <c r="A17" s="293">
        <v>9</v>
      </c>
      <c r="B17" s="261" t="s">
        <v>444</v>
      </c>
      <c r="C17" s="510" t="s">
        <v>443</v>
      </c>
      <c r="D17" s="671">
        <v>1988</v>
      </c>
      <c r="E17" s="295" t="s">
        <v>441</v>
      </c>
      <c r="F17" s="863" t="s">
        <v>500</v>
      </c>
      <c r="G17" s="839">
        <v>3.1E-2</v>
      </c>
      <c r="H17" s="774" t="s">
        <v>501</v>
      </c>
      <c r="I17" s="773">
        <v>353</v>
      </c>
      <c r="J17" s="779" t="s">
        <v>113</v>
      </c>
      <c r="K17" s="298">
        <v>500</v>
      </c>
      <c r="L17" s="314" t="s">
        <v>426</v>
      </c>
      <c r="M17" s="317">
        <f>(G17/$E$59)*I17*K17/$E$60</f>
        <v>6.0311948853615516E-3</v>
      </c>
      <c r="N17" s="865" t="s">
        <v>497</v>
      </c>
      <c r="O17" s="306"/>
      <c r="P17" s="307"/>
      <c r="Q17" s="307"/>
      <c r="R17" s="307"/>
      <c r="S17" s="307"/>
      <c r="T17" s="307"/>
      <c r="U17" s="307"/>
      <c r="V17" s="307"/>
    </row>
    <row r="18" spans="1:22" s="284" customFormat="1" x14ac:dyDescent="0.2">
      <c r="A18" s="293">
        <v>10</v>
      </c>
      <c r="B18" s="686" t="s">
        <v>446</v>
      </c>
      <c r="C18" s="510" t="s">
        <v>443</v>
      </c>
      <c r="D18" s="671">
        <v>2010</v>
      </c>
      <c r="E18" s="295" t="s">
        <v>441</v>
      </c>
      <c r="F18" s="294" t="s">
        <v>708</v>
      </c>
      <c r="G18" s="315">
        <v>6.4</v>
      </c>
      <c r="H18" s="302" t="s">
        <v>175</v>
      </c>
      <c r="I18" s="297">
        <v>762</v>
      </c>
      <c r="J18" s="316" t="s">
        <v>113</v>
      </c>
      <c r="K18" s="298">
        <v>500</v>
      </c>
      <c r="L18" s="314" t="s">
        <v>426</v>
      </c>
      <c r="M18" s="317">
        <f>I18*G18*K18*E$58/1000*2.2/E$60</f>
        <v>2.0001463680000002</v>
      </c>
      <c r="N18" s="305" t="s">
        <v>497</v>
      </c>
      <c r="O18" s="307"/>
      <c r="P18" s="319"/>
    </row>
    <row r="19" spans="1:22" x14ac:dyDescent="0.2">
      <c r="A19" s="293">
        <v>11</v>
      </c>
      <c r="B19" s="686" t="s">
        <v>446</v>
      </c>
      <c r="C19" s="510" t="s">
        <v>443</v>
      </c>
      <c r="D19" s="671">
        <v>2010</v>
      </c>
      <c r="E19" s="295" t="s">
        <v>441</v>
      </c>
      <c r="F19" s="294" t="s">
        <v>708</v>
      </c>
      <c r="G19" s="315">
        <v>6.4</v>
      </c>
      <c r="H19" s="302" t="s">
        <v>175</v>
      </c>
      <c r="I19" s="297">
        <v>762</v>
      </c>
      <c r="J19" s="316" t="s">
        <v>113</v>
      </c>
      <c r="K19" s="298">
        <v>500</v>
      </c>
      <c r="L19" s="314" t="s">
        <v>426</v>
      </c>
      <c r="M19" s="317">
        <f>I19*G19*K19*E$58/1000*2.2/E$60</f>
        <v>2.0001463680000002</v>
      </c>
      <c r="N19" s="305" t="s">
        <v>497</v>
      </c>
      <c r="P19" s="320"/>
    </row>
    <row r="20" spans="1:22" x14ac:dyDescent="0.2">
      <c r="A20" s="293">
        <v>12</v>
      </c>
      <c r="B20" s="261" t="s">
        <v>805</v>
      </c>
      <c r="C20" s="510" t="s">
        <v>443</v>
      </c>
      <c r="D20" s="671">
        <v>2002</v>
      </c>
      <c r="E20" s="295" t="s">
        <v>441</v>
      </c>
      <c r="F20" s="294" t="s">
        <v>500</v>
      </c>
      <c r="G20" s="315">
        <v>3.1E-2</v>
      </c>
      <c r="H20" s="302" t="s">
        <v>501</v>
      </c>
      <c r="I20" s="297">
        <v>82</v>
      </c>
      <c r="J20" s="316" t="s">
        <v>113</v>
      </c>
      <c r="K20" s="298">
        <v>500</v>
      </c>
      <c r="L20" s="314" t="s">
        <v>426</v>
      </c>
      <c r="M20" s="318">
        <f>G20*I20*K20/$E$60</f>
        <v>0.63549999999999995</v>
      </c>
      <c r="N20" s="305" t="s">
        <v>497</v>
      </c>
      <c r="P20" s="320"/>
    </row>
    <row r="21" spans="1:22" x14ac:dyDescent="0.2">
      <c r="A21" s="293">
        <v>13</v>
      </c>
      <c r="B21" s="268" t="s">
        <v>806</v>
      </c>
      <c r="C21" s="510" t="s">
        <v>443</v>
      </c>
      <c r="D21" s="671">
        <v>2008</v>
      </c>
      <c r="E21" s="295" t="s">
        <v>441</v>
      </c>
      <c r="F21" s="746" t="s">
        <v>708</v>
      </c>
      <c r="G21" s="315">
        <v>4</v>
      </c>
      <c r="H21" s="302" t="s">
        <v>175</v>
      </c>
      <c r="I21" s="297">
        <v>587</v>
      </c>
      <c r="J21" s="316" t="s">
        <v>113</v>
      </c>
      <c r="K21" s="298">
        <v>500</v>
      </c>
      <c r="L21" s="314" t="s">
        <v>426</v>
      </c>
      <c r="M21" s="317">
        <f>I21*G21*K21*E$58/1000*2.2/E$60</f>
        <v>0.96299698000000011</v>
      </c>
      <c r="N21" s="305" t="s">
        <v>497</v>
      </c>
      <c r="P21" s="320"/>
    </row>
    <row r="22" spans="1:22" x14ac:dyDescent="0.2">
      <c r="A22" s="293">
        <v>14</v>
      </c>
      <c r="B22" s="261" t="s">
        <v>449</v>
      </c>
      <c r="C22" s="510" t="s">
        <v>443</v>
      </c>
      <c r="D22" s="671">
        <v>2008</v>
      </c>
      <c r="E22" s="295" t="s">
        <v>441</v>
      </c>
      <c r="F22" s="294" t="s">
        <v>708</v>
      </c>
      <c r="G22" s="315">
        <v>4</v>
      </c>
      <c r="H22" s="302" t="s">
        <v>175</v>
      </c>
      <c r="I22" s="297">
        <v>320</v>
      </c>
      <c r="J22" s="316" t="s">
        <v>113</v>
      </c>
      <c r="K22" s="298">
        <v>500</v>
      </c>
      <c r="L22" s="314" t="s">
        <v>426</v>
      </c>
      <c r="M22" s="317">
        <f>I22*G22*K22*E$58/1000*2.2/E$60</f>
        <v>0.52497280000000002</v>
      </c>
      <c r="N22" s="305" t="s">
        <v>497</v>
      </c>
      <c r="P22" s="320"/>
    </row>
    <row r="23" spans="1:22" x14ac:dyDescent="0.2">
      <c r="A23" s="293">
        <v>15</v>
      </c>
      <c r="B23" s="261" t="s">
        <v>807</v>
      </c>
      <c r="C23" s="510" t="s">
        <v>443</v>
      </c>
      <c r="D23" s="671">
        <v>2005</v>
      </c>
      <c r="E23" s="295" t="s">
        <v>441</v>
      </c>
      <c r="F23" s="294" t="s">
        <v>792</v>
      </c>
      <c r="G23" s="315">
        <v>5.75</v>
      </c>
      <c r="H23" s="302" t="s">
        <v>165</v>
      </c>
      <c r="I23" s="297">
        <v>1058.6842105263158</v>
      </c>
      <c r="J23" s="316" t="s">
        <v>113</v>
      </c>
      <c r="K23" s="298">
        <v>500</v>
      </c>
      <c r="L23" s="314" t="s">
        <v>426</v>
      </c>
      <c r="M23" s="318">
        <f>G23*I23*K23/1000*2.2/2000</f>
        <v>3.3480888157894739</v>
      </c>
      <c r="N23" s="305" t="s">
        <v>497</v>
      </c>
      <c r="P23" s="320"/>
    </row>
    <row r="24" spans="1:22" ht="28.5" x14ac:dyDescent="0.2">
      <c r="A24" s="293">
        <v>16</v>
      </c>
      <c r="B24" s="686" t="s">
        <v>808</v>
      </c>
      <c r="C24" s="510" t="s">
        <v>443</v>
      </c>
      <c r="D24" s="671">
        <v>2005</v>
      </c>
      <c r="E24" s="295" t="s">
        <v>441</v>
      </c>
      <c r="F24" s="294" t="s">
        <v>500</v>
      </c>
      <c r="G24" s="315">
        <v>3.1E-2</v>
      </c>
      <c r="H24" s="302" t="s">
        <v>501</v>
      </c>
      <c r="I24" s="297">
        <v>211.73684210526318</v>
      </c>
      <c r="J24" s="316" t="s">
        <v>113</v>
      </c>
      <c r="K24" s="298">
        <v>500</v>
      </c>
      <c r="L24" s="314" t="s">
        <v>426</v>
      </c>
      <c r="M24" s="318">
        <f>G24*I24*K24/$E$60</f>
        <v>1.6409605263157896</v>
      </c>
      <c r="N24" s="305" t="s">
        <v>497</v>
      </c>
      <c r="P24" s="320"/>
    </row>
    <row r="25" spans="1:22" x14ac:dyDescent="0.2">
      <c r="A25" s="293">
        <v>17</v>
      </c>
      <c r="B25" s="686" t="s">
        <v>451</v>
      </c>
      <c r="C25" s="510" t="s">
        <v>443</v>
      </c>
      <c r="D25" s="671">
        <v>2007</v>
      </c>
      <c r="E25" s="295" t="s">
        <v>441</v>
      </c>
      <c r="F25" s="294" t="s">
        <v>711</v>
      </c>
      <c r="G25" s="315">
        <v>6.9</v>
      </c>
      <c r="H25" s="302" t="s">
        <v>165</v>
      </c>
      <c r="I25" s="297">
        <v>176.44736842105263</v>
      </c>
      <c r="J25" s="316" t="s">
        <v>113</v>
      </c>
      <c r="K25" s="298">
        <v>500</v>
      </c>
      <c r="L25" s="314" t="s">
        <v>426</v>
      </c>
      <c r="M25" s="318">
        <f>I25*G25*K25/1000*2.2/E$60</f>
        <v>0.66961776315789467</v>
      </c>
      <c r="N25" s="305" t="s">
        <v>497</v>
      </c>
      <c r="P25" s="320"/>
    </row>
    <row r="26" spans="1:22" ht="28.5" x14ac:dyDescent="0.2">
      <c r="A26" s="293">
        <v>18</v>
      </c>
      <c r="B26" s="686" t="s">
        <v>809</v>
      </c>
      <c r="C26" s="510" t="s">
        <v>443</v>
      </c>
      <c r="D26" s="671">
        <v>2005</v>
      </c>
      <c r="E26" s="295" t="s">
        <v>441</v>
      </c>
      <c r="F26" s="294" t="s">
        <v>500</v>
      </c>
      <c r="G26" s="315">
        <v>3.1E-2</v>
      </c>
      <c r="H26" s="302" t="s">
        <v>501</v>
      </c>
      <c r="I26" s="297">
        <v>211.73684210526318</v>
      </c>
      <c r="J26" s="316" t="s">
        <v>113</v>
      </c>
      <c r="K26" s="298">
        <v>500</v>
      </c>
      <c r="L26" s="314" t="s">
        <v>426</v>
      </c>
      <c r="M26" s="318">
        <f>G26*I26*K26/$E$60</f>
        <v>1.6409605263157896</v>
      </c>
      <c r="N26" s="305" t="s">
        <v>497</v>
      </c>
      <c r="P26" s="320"/>
    </row>
    <row r="27" spans="1:22" x14ac:dyDescent="0.2">
      <c r="A27" s="293">
        <v>19</v>
      </c>
      <c r="B27" s="686" t="s">
        <v>453</v>
      </c>
      <c r="C27" s="510" t="s">
        <v>443</v>
      </c>
      <c r="D27" s="671">
        <v>2007</v>
      </c>
      <c r="E27" s="295" t="s">
        <v>441</v>
      </c>
      <c r="F27" s="294" t="s">
        <v>708</v>
      </c>
      <c r="G27" s="315">
        <v>7.5</v>
      </c>
      <c r="H27" s="302" t="s">
        <v>175</v>
      </c>
      <c r="I27" s="297">
        <v>70.578947368421055</v>
      </c>
      <c r="J27" s="316" t="s">
        <v>113</v>
      </c>
      <c r="K27" s="298">
        <v>500</v>
      </c>
      <c r="L27" s="314" t="s">
        <v>426</v>
      </c>
      <c r="M27" s="317">
        <f>I27*G27*K27*E$58/1000*2.2/E$60</f>
        <v>0.21710172434210528</v>
      </c>
      <c r="N27" s="305" t="s">
        <v>497</v>
      </c>
      <c r="P27" s="320"/>
    </row>
    <row r="28" spans="1:22" x14ac:dyDescent="0.2">
      <c r="A28" s="293">
        <v>20</v>
      </c>
      <c r="B28" s="686" t="s">
        <v>810</v>
      </c>
      <c r="C28" s="510" t="s">
        <v>443</v>
      </c>
      <c r="D28" s="671">
        <v>1976</v>
      </c>
      <c r="E28" s="295" t="s">
        <v>441</v>
      </c>
      <c r="F28" s="294" t="s">
        <v>500</v>
      </c>
      <c r="G28" s="315">
        <v>3.1E-2</v>
      </c>
      <c r="H28" s="302" t="s">
        <v>501</v>
      </c>
      <c r="I28" s="297">
        <v>35.289473684210527</v>
      </c>
      <c r="J28" s="316" t="s">
        <v>113</v>
      </c>
      <c r="K28" s="298">
        <v>500</v>
      </c>
      <c r="L28" s="314" t="s">
        <v>426</v>
      </c>
      <c r="M28" s="318">
        <f>G28*I28*K28/$E$60</f>
        <v>0.27349342105263158</v>
      </c>
      <c r="N28" s="305" t="s">
        <v>497</v>
      </c>
      <c r="P28" s="320"/>
    </row>
    <row r="29" spans="1:22" x14ac:dyDescent="0.2">
      <c r="A29" s="293">
        <v>21</v>
      </c>
      <c r="B29" s="686" t="s">
        <v>811</v>
      </c>
      <c r="C29" s="510" t="s">
        <v>443</v>
      </c>
      <c r="D29" s="671">
        <v>2001</v>
      </c>
      <c r="E29" s="295" t="s">
        <v>441</v>
      </c>
      <c r="F29" s="294" t="s">
        <v>500</v>
      </c>
      <c r="G29" s="315">
        <v>3.1E-2</v>
      </c>
      <c r="H29" s="302" t="s">
        <v>501</v>
      </c>
      <c r="I29" s="297">
        <v>95</v>
      </c>
      <c r="J29" s="316" t="s">
        <v>113</v>
      </c>
      <c r="K29" s="298">
        <v>500</v>
      </c>
      <c r="L29" s="314" t="s">
        <v>426</v>
      </c>
      <c r="M29" s="318">
        <f>G29*I29*K29/$E$60</f>
        <v>0.73624999999999996</v>
      </c>
      <c r="N29" s="305" t="s">
        <v>497</v>
      </c>
      <c r="P29" s="320"/>
    </row>
    <row r="30" spans="1:22" x14ac:dyDescent="0.2">
      <c r="A30" s="293">
        <v>22</v>
      </c>
      <c r="B30" s="686" t="s">
        <v>222</v>
      </c>
      <c r="C30" s="510" t="s">
        <v>443</v>
      </c>
      <c r="D30" s="671">
        <v>1989</v>
      </c>
      <c r="E30" s="295" t="s">
        <v>441</v>
      </c>
      <c r="F30" s="294" t="s">
        <v>500</v>
      </c>
      <c r="G30" s="315">
        <v>3.1E-2</v>
      </c>
      <c r="H30" s="302" t="s">
        <v>501</v>
      </c>
      <c r="I30" s="297">
        <v>35.289473684210527</v>
      </c>
      <c r="J30" s="316" t="s">
        <v>113</v>
      </c>
      <c r="K30" s="298">
        <v>500</v>
      </c>
      <c r="L30" s="314" t="s">
        <v>426</v>
      </c>
      <c r="M30" s="318">
        <f>G30*I30*K30/$E$60</f>
        <v>0.27349342105263158</v>
      </c>
      <c r="N30" s="305" t="s">
        <v>497</v>
      </c>
      <c r="P30" s="320"/>
    </row>
    <row r="31" spans="1:22" ht="28.5" x14ac:dyDescent="0.2">
      <c r="A31" s="293">
        <v>23</v>
      </c>
      <c r="B31" s="686" t="s">
        <v>812</v>
      </c>
      <c r="C31" s="510" t="s">
        <v>443</v>
      </c>
      <c r="D31" s="671">
        <v>2003</v>
      </c>
      <c r="E31" s="295" t="s">
        <v>441</v>
      </c>
      <c r="F31" s="294" t="s">
        <v>500</v>
      </c>
      <c r="G31" s="315">
        <v>3.1E-2</v>
      </c>
      <c r="H31" s="302" t="s">
        <v>501</v>
      </c>
      <c r="I31" s="297">
        <v>155.27368421052631</v>
      </c>
      <c r="J31" s="316" t="s">
        <v>113</v>
      </c>
      <c r="K31" s="298">
        <v>500</v>
      </c>
      <c r="L31" s="314" t="s">
        <v>426</v>
      </c>
      <c r="M31" s="318">
        <f>G31*I31*K31/$E$60</f>
        <v>1.2033710526315788</v>
      </c>
      <c r="N31" s="305" t="s">
        <v>497</v>
      </c>
      <c r="P31" s="320"/>
    </row>
    <row r="32" spans="1:22" x14ac:dyDescent="0.2">
      <c r="A32" s="293">
        <v>24</v>
      </c>
      <c r="B32" s="686" t="s">
        <v>813</v>
      </c>
      <c r="C32" s="510" t="s">
        <v>443</v>
      </c>
      <c r="D32" s="671">
        <v>1993</v>
      </c>
      <c r="E32" s="295" t="s">
        <v>441</v>
      </c>
      <c r="F32" s="294" t="s">
        <v>500</v>
      </c>
      <c r="G32" s="315">
        <v>3.1E-2</v>
      </c>
      <c r="H32" s="302" t="s">
        <v>501</v>
      </c>
      <c r="I32" s="297">
        <v>50</v>
      </c>
      <c r="J32" s="316" t="s">
        <v>113</v>
      </c>
      <c r="K32" s="298">
        <v>500</v>
      </c>
      <c r="L32" s="314" t="s">
        <v>426</v>
      </c>
      <c r="M32" s="318">
        <f>G32*I32*K32/$E$60</f>
        <v>0.38750000000000001</v>
      </c>
      <c r="N32" s="305" t="s">
        <v>497</v>
      </c>
      <c r="P32" s="320"/>
    </row>
    <row r="33" spans="1:16" x14ac:dyDescent="0.2">
      <c r="A33" s="293">
        <v>25</v>
      </c>
      <c r="B33" s="686" t="s">
        <v>457</v>
      </c>
      <c r="C33" s="510" t="s">
        <v>443</v>
      </c>
      <c r="D33" s="671">
        <v>2011</v>
      </c>
      <c r="E33" s="295" t="s">
        <v>441</v>
      </c>
      <c r="F33" s="294" t="s">
        <v>708</v>
      </c>
      <c r="G33" s="315">
        <v>7.5</v>
      </c>
      <c r="H33" s="302" t="s">
        <v>175</v>
      </c>
      <c r="I33" s="297">
        <v>18.350526315789473</v>
      </c>
      <c r="J33" s="316" t="s">
        <v>113</v>
      </c>
      <c r="K33" s="298">
        <v>500</v>
      </c>
      <c r="L33" s="314" t="s">
        <v>426</v>
      </c>
      <c r="M33" s="317">
        <f>I33*G33*K33*E$58/1000*2.2/E$60</f>
        <v>5.6446448328947366E-2</v>
      </c>
      <c r="N33" s="305" t="s">
        <v>497</v>
      </c>
      <c r="P33" s="320"/>
    </row>
    <row r="34" spans="1:16" x14ac:dyDescent="0.2">
      <c r="A34" s="293">
        <v>26</v>
      </c>
      <c r="B34" s="686" t="s">
        <v>814</v>
      </c>
      <c r="C34" s="510" t="s">
        <v>443</v>
      </c>
      <c r="D34" s="671">
        <v>2003</v>
      </c>
      <c r="E34" s="295" t="s">
        <v>441</v>
      </c>
      <c r="F34" s="294" t="s">
        <v>500</v>
      </c>
      <c r="G34" s="315">
        <v>3.1E-2</v>
      </c>
      <c r="H34" s="302" t="s">
        <v>501</v>
      </c>
      <c r="I34" s="297">
        <v>68</v>
      </c>
      <c r="J34" s="316" t="s">
        <v>113</v>
      </c>
      <c r="K34" s="298">
        <v>500</v>
      </c>
      <c r="L34" s="314" t="s">
        <v>426</v>
      </c>
      <c r="M34" s="318">
        <f>G34*I34*K34/$E$60</f>
        <v>0.52700000000000002</v>
      </c>
      <c r="N34" s="305" t="s">
        <v>497</v>
      </c>
      <c r="P34" s="320"/>
    </row>
    <row r="35" spans="1:16" x14ac:dyDescent="0.2">
      <c r="A35" s="293">
        <v>27</v>
      </c>
      <c r="B35" s="686" t="s">
        <v>459</v>
      </c>
      <c r="C35" s="510" t="s">
        <v>443</v>
      </c>
      <c r="D35" s="671">
        <v>2010</v>
      </c>
      <c r="E35" s="295" t="s">
        <v>441</v>
      </c>
      <c r="F35" s="294" t="s">
        <v>708</v>
      </c>
      <c r="G35" s="315">
        <v>4</v>
      </c>
      <c r="H35" s="302" t="s">
        <v>175</v>
      </c>
      <c r="I35" s="297">
        <v>274</v>
      </c>
      <c r="J35" s="316" t="s">
        <v>113</v>
      </c>
      <c r="K35" s="298">
        <v>500</v>
      </c>
      <c r="L35" s="314" t="s">
        <v>426</v>
      </c>
      <c r="M35" s="317">
        <f>I35*G35*K35*E$58/1000*2.2/E$60</f>
        <v>0.4495079600000001</v>
      </c>
      <c r="N35" s="305" t="s">
        <v>497</v>
      </c>
      <c r="P35" s="320"/>
    </row>
    <row r="36" spans="1:16" x14ac:dyDescent="0.2">
      <c r="A36" s="293">
        <v>28</v>
      </c>
      <c r="B36" s="686" t="s">
        <v>459</v>
      </c>
      <c r="C36" s="510" t="s">
        <v>443</v>
      </c>
      <c r="D36" s="671">
        <v>2010</v>
      </c>
      <c r="E36" s="295" t="s">
        <v>441</v>
      </c>
      <c r="F36" s="294" t="s">
        <v>708</v>
      </c>
      <c r="G36" s="315">
        <v>4</v>
      </c>
      <c r="H36" s="302" t="s">
        <v>175</v>
      </c>
      <c r="I36" s="297">
        <v>274</v>
      </c>
      <c r="J36" s="316" t="s">
        <v>113</v>
      </c>
      <c r="K36" s="298">
        <v>500</v>
      </c>
      <c r="L36" s="314" t="s">
        <v>426</v>
      </c>
      <c r="M36" s="317">
        <f>I36*G36*K36*E$58/1000*2.2/E$60</f>
        <v>0.4495079600000001</v>
      </c>
      <c r="N36" s="305" t="s">
        <v>497</v>
      </c>
      <c r="P36" s="320"/>
    </row>
    <row r="37" spans="1:16" x14ac:dyDescent="0.2">
      <c r="A37" s="293" t="s">
        <v>748</v>
      </c>
      <c r="B37" s="266" t="s">
        <v>763</v>
      </c>
      <c r="C37" s="510" t="s">
        <v>460</v>
      </c>
      <c r="D37" s="671">
        <v>2014</v>
      </c>
      <c r="E37" s="295" t="s">
        <v>441</v>
      </c>
      <c r="F37" s="294" t="s">
        <v>708</v>
      </c>
      <c r="G37" s="315">
        <v>4.7</v>
      </c>
      <c r="H37" s="302" t="s">
        <v>712</v>
      </c>
      <c r="I37" s="297">
        <v>74</v>
      </c>
      <c r="J37" s="321" t="s">
        <v>113</v>
      </c>
      <c r="K37" s="298">
        <v>500</v>
      </c>
      <c r="L37" s="314" t="s">
        <v>426</v>
      </c>
      <c r="M37" s="317">
        <f>I37*G37*K37*E$58/1000*2.2/E$60</f>
        <v>0.14264495300000002</v>
      </c>
      <c r="N37" s="305" t="s">
        <v>497</v>
      </c>
      <c r="P37" s="320"/>
    </row>
    <row r="38" spans="1:16" x14ac:dyDescent="0.2">
      <c r="A38" s="293">
        <v>30</v>
      </c>
      <c r="B38" s="266" t="s">
        <v>461</v>
      </c>
      <c r="C38" s="510" t="s">
        <v>460</v>
      </c>
      <c r="D38" s="671">
        <v>1952</v>
      </c>
      <c r="E38" s="295" t="s">
        <v>441</v>
      </c>
      <c r="F38" s="294" t="s">
        <v>500</v>
      </c>
      <c r="G38" s="315">
        <v>3.1E-2</v>
      </c>
      <c r="H38" s="302" t="s">
        <v>501</v>
      </c>
      <c r="I38" s="297">
        <v>75</v>
      </c>
      <c r="J38" s="321" t="s">
        <v>113</v>
      </c>
      <c r="K38" s="298">
        <v>500</v>
      </c>
      <c r="L38" s="314" t="s">
        <v>426</v>
      </c>
      <c r="M38" s="318">
        <f>G38*I38*K38/$E$60</f>
        <v>0.58125000000000004</v>
      </c>
      <c r="N38" s="305" t="s">
        <v>497</v>
      </c>
      <c r="P38" s="320"/>
    </row>
    <row r="39" spans="1:16" x14ac:dyDescent="0.2">
      <c r="A39" s="293" t="s">
        <v>749</v>
      </c>
      <c r="B39" s="266" t="s">
        <v>763</v>
      </c>
      <c r="C39" s="510" t="s">
        <v>460</v>
      </c>
      <c r="D39" s="671">
        <v>2014</v>
      </c>
      <c r="E39" s="295" t="s">
        <v>441</v>
      </c>
      <c r="F39" s="294" t="s">
        <v>708</v>
      </c>
      <c r="G39" s="315">
        <v>4.7</v>
      </c>
      <c r="H39" s="302" t="s">
        <v>712</v>
      </c>
      <c r="I39" s="297">
        <v>74</v>
      </c>
      <c r="J39" s="321" t="s">
        <v>113</v>
      </c>
      <c r="K39" s="298">
        <v>500</v>
      </c>
      <c r="L39" s="314" t="s">
        <v>426</v>
      </c>
      <c r="M39" s="317">
        <f>I39*G39*K39*E$58/1000*2.2/E$60</f>
        <v>0.14264495300000002</v>
      </c>
      <c r="N39" s="305" t="s">
        <v>497</v>
      </c>
      <c r="P39" s="320"/>
    </row>
    <row r="40" spans="1:16" x14ac:dyDescent="0.2">
      <c r="A40" s="293">
        <v>32</v>
      </c>
      <c r="B40" s="266" t="s">
        <v>462</v>
      </c>
      <c r="C40" s="510" t="s">
        <v>460</v>
      </c>
      <c r="D40" s="671">
        <v>1955</v>
      </c>
      <c r="E40" s="295" t="s">
        <v>441</v>
      </c>
      <c r="F40" s="294" t="s">
        <v>500</v>
      </c>
      <c r="G40" s="315">
        <v>3.1E-2</v>
      </c>
      <c r="H40" s="302" t="s">
        <v>501</v>
      </c>
      <c r="I40" s="297">
        <v>75</v>
      </c>
      <c r="J40" s="321" t="s">
        <v>113</v>
      </c>
      <c r="K40" s="298">
        <v>500</v>
      </c>
      <c r="L40" s="314" t="s">
        <v>426</v>
      </c>
      <c r="M40" s="318">
        <f>G40*I40*K40/$E$60</f>
        <v>0.58125000000000004</v>
      </c>
      <c r="N40" s="305" t="s">
        <v>497</v>
      </c>
      <c r="P40" s="320"/>
    </row>
    <row r="41" spans="1:16" x14ac:dyDescent="0.2">
      <c r="A41" s="293">
        <v>33</v>
      </c>
      <c r="B41" s="266" t="s">
        <v>462</v>
      </c>
      <c r="C41" s="510" t="s">
        <v>460</v>
      </c>
      <c r="D41" s="671">
        <v>1994</v>
      </c>
      <c r="E41" s="295" t="s">
        <v>441</v>
      </c>
      <c r="F41" s="294" t="s">
        <v>500</v>
      </c>
      <c r="G41" s="315">
        <v>3.1E-2</v>
      </c>
      <c r="H41" s="302" t="s">
        <v>501</v>
      </c>
      <c r="I41" s="297">
        <v>75</v>
      </c>
      <c r="J41" s="321" t="s">
        <v>113</v>
      </c>
      <c r="K41" s="298">
        <v>500</v>
      </c>
      <c r="L41" s="314" t="s">
        <v>426</v>
      </c>
      <c r="M41" s="318">
        <f>G41*I41*K41/$E$60</f>
        <v>0.58125000000000004</v>
      </c>
      <c r="N41" s="305" t="s">
        <v>497</v>
      </c>
      <c r="P41" s="320"/>
    </row>
    <row r="42" spans="1:16" x14ac:dyDescent="0.2">
      <c r="A42" s="293">
        <v>34</v>
      </c>
      <c r="B42" s="266" t="s">
        <v>464</v>
      </c>
      <c r="C42" s="510" t="s">
        <v>463</v>
      </c>
      <c r="D42" s="671">
        <v>1995</v>
      </c>
      <c r="E42" s="295" t="s">
        <v>441</v>
      </c>
      <c r="F42" s="294" t="s">
        <v>500</v>
      </c>
      <c r="G42" s="315">
        <v>3.1E-2</v>
      </c>
      <c r="H42" s="302" t="s">
        <v>501</v>
      </c>
      <c r="I42" s="297">
        <v>220</v>
      </c>
      <c r="J42" s="321" t="s">
        <v>113</v>
      </c>
      <c r="K42" s="298">
        <v>500</v>
      </c>
      <c r="L42" s="314" t="s">
        <v>426</v>
      </c>
      <c r="M42" s="318">
        <f>G42*I42*K42/$E$60</f>
        <v>1.7050000000000001</v>
      </c>
      <c r="N42" s="305" t="s">
        <v>497</v>
      </c>
      <c r="P42" s="320"/>
    </row>
    <row r="43" spans="1:16" x14ac:dyDescent="0.2">
      <c r="A43" s="293">
        <v>35</v>
      </c>
      <c r="B43" s="266" t="s">
        <v>465</v>
      </c>
      <c r="C43" s="510" t="s">
        <v>463</v>
      </c>
      <c r="D43" s="671">
        <v>2009</v>
      </c>
      <c r="E43" s="295" t="s">
        <v>441</v>
      </c>
      <c r="F43" s="294" t="s">
        <v>708</v>
      </c>
      <c r="G43" s="315">
        <v>7.8</v>
      </c>
      <c r="H43" s="302" t="s">
        <v>165</v>
      </c>
      <c r="I43" s="297">
        <v>55</v>
      </c>
      <c r="J43" s="321" t="s">
        <v>113</v>
      </c>
      <c r="K43" s="298">
        <v>500</v>
      </c>
      <c r="L43" s="314" t="s">
        <v>426</v>
      </c>
      <c r="M43" s="318">
        <f>I43*G43*K43/1000*2.2/E$60</f>
        <v>0.23595000000000002</v>
      </c>
      <c r="N43" s="305" t="s">
        <v>497</v>
      </c>
      <c r="P43" s="320"/>
    </row>
    <row r="44" spans="1:16" x14ac:dyDescent="0.2">
      <c r="A44" s="293">
        <v>36</v>
      </c>
      <c r="B44" s="266" t="s">
        <v>466</v>
      </c>
      <c r="C44" s="510" t="s">
        <v>463</v>
      </c>
      <c r="D44" s="671">
        <v>1995</v>
      </c>
      <c r="E44" s="295" t="s">
        <v>441</v>
      </c>
      <c r="F44" s="294" t="s">
        <v>500</v>
      </c>
      <c r="G44" s="315">
        <v>3.1E-2</v>
      </c>
      <c r="H44" s="302" t="s">
        <v>501</v>
      </c>
      <c r="I44" s="297">
        <v>220</v>
      </c>
      <c r="J44" s="321" t="s">
        <v>113</v>
      </c>
      <c r="K44" s="298">
        <v>500</v>
      </c>
      <c r="L44" s="314" t="s">
        <v>426</v>
      </c>
      <c r="M44" s="318">
        <f>G44*I44*K44/$E$60</f>
        <v>1.7050000000000001</v>
      </c>
      <c r="N44" s="305" t="s">
        <v>497</v>
      </c>
    </row>
    <row r="45" spans="1:16" x14ac:dyDescent="0.2">
      <c r="A45" s="309" t="s">
        <v>56</v>
      </c>
      <c r="B45" s="294" t="s">
        <v>467</v>
      </c>
      <c r="C45" s="671"/>
      <c r="D45" s="671">
        <v>1993</v>
      </c>
      <c r="E45" s="295" t="s">
        <v>49</v>
      </c>
      <c r="F45" s="322" t="s">
        <v>49</v>
      </c>
      <c r="G45" s="1209" t="s">
        <v>49</v>
      </c>
      <c r="H45" s="1209"/>
      <c r="I45" s="297">
        <v>3620</v>
      </c>
      <c r="J45" s="313" t="s">
        <v>117</v>
      </c>
      <c r="K45" s="298">
        <v>4380</v>
      </c>
      <c r="L45" s="314" t="s">
        <v>426</v>
      </c>
      <c r="M45" s="323">
        <v>0</v>
      </c>
      <c r="N45" s="305" t="s">
        <v>497</v>
      </c>
    </row>
    <row r="46" spans="1:16" x14ac:dyDescent="0.2">
      <c r="A46" s="309" t="s">
        <v>57</v>
      </c>
      <c r="B46" s="294" t="s">
        <v>469</v>
      </c>
      <c r="C46" s="671"/>
      <c r="D46" s="671">
        <v>1994</v>
      </c>
      <c r="E46" s="295" t="s">
        <v>49</v>
      </c>
      <c r="F46" s="322" t="s">
        <v>49</v>
      </c>
      <c r="G46" s="1209" t="s">
        <v>49</v>
      </c>
      <c r="H46" s="1209"/>
      <c r="I46" s="297">
        <v>3620</v>
      </c>
      <c r="J46" s="313" t="s">
        <v>117</v>
      </c>
      <c r="K46" s="298">
        <v>4380</v>
      </c>
      <c r="L46" s="314" t="s">
        <v>426</v>
      </c>
      <c r="M46" s="323">
        <v>0</v>
      </c>
      <c r="N46" s="305" t="s">
        <v>497</v>
      </c>
    </row>
    <row r="47" spans="1:16" x14ac:dyDescent="0.2">
      <c r="A47" s="309">
        <v>52</v>
      </c>
      <c r="B47" s="294" t="s">
        <v>470</v>
      </c>
      <c r="C47" s="671"/>
      <c r="D47" s="671" t="s">
        <v>761</v>
      </c>
      <c r="E47" s="295" t="s">
        <v>49</v>
      </c>
      <c r="F47" s="322" t="s">
        <v>49</v>
      </c>
      <c r="G47" s="1209" t="s">
        <v>49</v>
      </c>
      <c r="H47" s="1209"/>
      <c r="I47" s="1216" t="s">
        <v>49</v>
      </c>
      <c r="J47" s="1217"/>
      <c r="K47" s="298">
        <v>82049</v>
      </c>
      <c r="L47" s="324" t="s">
        <v>497</v>
      </c>
      <c r="M47" s="323">
        <v>0</v>
      </c>
      <c r="N47" s="305" t="s">
        <v>497</v>
      </c>
    </row>
    <row r="48" spans="1:16" ht="17.25" thickBot="1" x14ac:dyDescent="0.35">
      <c r="A48" s="1218" t="s">
        <v>770</v>
      </c>
      <c r="B48" s="1219"/>
      <c r="C48" s="1219"/>
      <c r="D48" s="1219"/>
      <c r="E48" s="1219"/>
      <c r="F48" s="1219"/>
      <c r="G48" s="1219"/>
      <c r="H48" s="1219"/>
      <c r="I48" s="1219"/>
      <c r="J48" s="1219"/>
      <c r="K48" s="1219"/>
      <c r="L48" s="1220"/>
      <c r="M48" s="325">
        <f>SUM(M7:M47)</f>
        <v>1022.4029674951315</v>
      </c>
      <c r="N48" s="326" t="s">
        <v>497</v>
      </c>
    </row>
    <row r="49" spans="1:14" ht="15.75" thickBot="1" x14ac:dyDescent="0.3">
      <c r="A49" s="1213" t="s">
        <v>471</v>
      </c>
      <c r="B49" s="1214"/>
      <c r="C49" s="1214"/>
      <c r="D49" s="1214"/>
      <c r="E49" s="1214"/>
      <c r="F49" s="1214"/>
      <c r="G49" s="1214"/>
      <c r="H49" s="1214"/>
      <c r="I49" s="1214"/>
      <c r="J49" s="1214"/>
      <c r="K49" s="1214"/>
      <c r="L49" s="1214"/>
      <c r="M49" s="1214"/>
      <c r="N49" s="1215"/>
    </row>
    <row r="50" spans="1:14" ht="15" thickTop="1" x14ac:dyDescent="0.2">
      <c r="A50" s="309">
        <v>52</v>
      </c>
      <c r="B50" s="294" t="s">
        <v>472</v>
      </c>
      <c r="C50" s="671"/>
      <c r="D50" s="671"/>
      <c r="E50" s="295" t="s">
        <v>49</v>
      </c>
      <c r="F50" s="295" t="s">
        <v>49</v>
      </c>
      <c r="G50" s="1233" t="s">
        <v>49</v>
      </c>
      <c r="H50" s="1233"/>
      <c r="I50" s="297">
        <v>1460</v>
      </c>
      <c r="J50" s="327" t="s">
        <v>117</v>
      </c>
      <c r="K50" s="298">
        <v>4380</v>
      </c>
      <c r="L50" s="327" t="s">
        <v>426</v>
      </c>
      <c r="M50" s="323">
        <v>0</v>
      </c>
      <c r="N50" s="328" t="s">
        <v>497</v>
      </c>
    </row>
    <row r="51" spans="1:14" x14ac:dyDescent="0.2">
      <c r="A51" s="309">
        <v>52</v>
      </c>
      <c r="B51" s="294" t="s">
        <v>474</v>
      </c>
      <c r="C51" s="671"/>
      <c r="D51" s="671"/>
      <c r="E51" s="295" t="s">
        <v>49</v>
      </c>
      <c r="F51" s="295" t="s">
        <v>49</v>
      </c>
      <c r="G51" s="1233" t="s">
        <v>49</v>
      </c>
      <c r="H51" s="1233"/>
      <c r="I51" s="1240" t="s">
        <v>49</v>
      </c>
      <c r="J51" s="1241"/>
      <c r="K51" s="298">
        <v>28560</v>
      </c>
      <c r="L51" s="321" t="s">
        <v>497</v>
      </c>
      <c r="M51" s="323">
        <v>0</v>
      </c>
      <c r="N51" s="329" t="s">
        <v>497</v>
      </c>
    </row>
    <row r="52" spans="1:14" x14ac:dyDescent="0.2">
      <c r="A52" s="309">
        <v>52</v>
      </c>
      <c r="B52" s="294" t="s">
        <v>476</v>
      </c>
      <c r="C52" s="671"/>
      <c r="D52" s="671"/>
      <c r="E52" s="295" t="s">
        <v>478</v>
      </c>
      <c r="F52" s="295" t="s">
        <v>49</v>
      </c>
      <c r="G52" s="1233" t="s">
        <v>49</v>
      </c>
      <c r="H52" s="1233"/>
      <c r="I52" s="1240" t="s">
        <v>49</v>
      </c>
      <c r="J52" s="1241"/>
      <c r="K52" s="1242" t="s">
        <v>49</v>
      </c>
      <c r="L52" s="1243"/>
      <c r="M52" s="323">
        <v>0</v>
      </c>
      <c r="N52" s="330" t="s">
        <v>497</v>
      </c>
    </row>
    <row r="53" spans="1:14" x14ac:dyDescent="0.2">
      <c r="A53" s="309">
        <v>52</v>
      </c>
      <c r="B53" s="294" t="s">
        <v>479</v>
      </c>
      <c r="C53" s="671"/>
      <c r="D53" s="671"/>
      <c r="E53" s="295" t="s">
        <v>478</v>
      </c>
      <c r="F53" s="295" t="s">
        <v>49</v>
      </c>
      <c r="G53" s="1233" t="s">
        <v>49</v>
      </c>
      <c r="H53" s="1233"/>
      <c r="I53" s="1240" t="s">
        <v>49</v>
      </c>
      <c r="J53" s="1241"/>
      <c r="K53" s="1242" t="s">
        <v>49</v>
      </c>
      <c r="L53" s="1243"/>
      <c r="M53" s="323">
        <v>0</v>
      </c>
      <c r="N53" s="330" t="s">
        <v>497</v>
      </c>
    </row>
    <row r="54" spans="1:14" ht="16.5" x14ac:dyDescent="0.3">
      <c r="A54" s="1234" t="s">
        <v>772</v>
      </c>
      <c r="B54" s="1235"/>
      <c r="C54" s="1235"/>
      <c r="D54" s="1235"/>
      <c r="E54" s="1235"/>
      <c r="F54" s="1235"/>
      <c r="G54" s="1235"/>
      <c r="H54" s="1235"/>
      <c r="I54" s="1235"/>
      <c r="J54" s="1235"/>
      <c r="K54" s="1235"/>
      <c r="L54" s="1236"/>
      <c r="M54" s="331">
        <f>SUM(M50:M53)</f>
        <v>0</v>
      </c>
      <c r="N54" s="332" t="s">
        <v>497</v>
      </c>
    </row>
    <row r="55" spans="1:14" x14ac:dyDescent="0.2">
      <c r="A55" s="1237"/>
      <c r="B55" s="1238"/>
      <c r="C55" s="1238"/>
      <c r="D55" s="1238"/>
      <c r="E55" s="1238"/>
      <c r="F55" s="1238"/>
      <c r="G55" s="1238"/>
      <c r="H55" s="1238"/>
      <c r="I55" s="1238"/>
      <c r="J55" s="1238"/>
      <c r="K55" s="1238"/>
      <c r="L55" s="1238"/>
      <c r="M55" s="1238"/>
      <c r="N55" s="1239"/>
    </row>
    <row r="56" spans="1:14" ht="17.25" thickBot="1" x14ac:dyDescent="0.35">
      <c r="A56" s="1218" t="s">
        <v>771</v>
      </c>
      <c r="B56" s="1219"/>
      <c r="C56" s="1219"/>
      <c r="D56" s="1219"/>
      <c r="E56" s="1219"/>
      <c r="F56" s="1219"/>
      <c r="G56" s="1219"/>
      <c r="H56" s="1219"/>
      <c r="I56" s="1219"/>
      <c r="J56" s="1219"/>
      <c r="K56" s="1219"/>
      <c r="L56" s="1220"/>
      <c r="M56" s="333">
        <f>SUM(M48,M54)</f>
        <v>1022.4029674951315</v>
      </c>
      <c r="N56" s="326" t="s">
        <v>497</v>
      </c>
    </row>
    <row r="57" spans="1:14" ht="15" x14ac:dyDescent="0.25">
      <c r="A57" s="122"/>
      <c r="B57" s="283"/>
      <c r="C57" s="283"/>
      <c r="D57" s="283"/>
      <c r="E57" s="283"/>
      <c r="F57" s="283"/>
      <c r="G57" s="283"/>
      <c r="H57" s="283"/>
      <c r="I57" s="283"/>
      <c r="J57" s="283"/>
      <c r="K57" s="334"/>
      <c r="L57" s="335"/>
      <c r="M57" s="336"/>
      <c r="N57" s="337"/>
    </row>
    <row r="58" spans="1:14" x14ac:dyDescent="0.2">
      <c r="A58" s="125" t="s">
        <v>483</v>
      </c>
      <c r="B58" s="125" t="s">
        <v>709</v>
      </c>
      <c r="C58" s="751" t="s">
        <v>483</v>
      </c>
      <c r="E58" s="125">
        <v>0.74570000000000003</v>
      </c>
      <c r="F58" s="125" t="s">
        <v>116</v>
      </c>
    </row>
    <row r="59" spans="1:14" x14ac:dyDescent="0.2">
      <c r="B59" s="338" t="s">
        <v>503</v>
      </c>
      <c r="C59" s="338"/>
      <c r="D59" s="338"/>
      <c r="E59" s="125">
        <v>453.6</v>
      </c>
      <c r="F59" s="125" t="s">
        <v>504</v>
      </c>
    </row>
    <row r="60" spans="1:14" x14ac:dyDescent="0.2">
      <c r="B60" s="338" t="s">
        <v>503</v>
      </c>
      <c r="C60" s="338"/>
      <c r="D60" s="338"/>
      <c r="E60" s="339">
        <v>2000</v>
      </c>
      <c r="F60" s="125" t="s">
        <v>496</v>
      </c>
    </row>
    <row r="61" spans="1:14" x14ac:dyDescent="0.2">
      <c r="A61" s="340"/>
      <c r="B61" s="338" t="s">
        <v>505</v>
      </c>
      <c r="C61" s="338"/>
      <c r="D61" s="338"/>
      <c r="E61" s="341">
        <f>7560*E60/1000000</f>
        <v>15.12</v>
      </c>
      <c r="F61" s="66" t="s">
        <v>506</v>
      </c>
      <c r="G61" s="342" t="s">
        <v>507</v>
      </c>
    </row>
    <row r="62" spans="1:14" x14ac:dyDescent="0.2">
      <c r="F62" s="66"/>
    </row>
    <row r="63" spans="1:14" x14ac:dyDescent="0.2">
      <c r="D63" s="751"/>
      <c r="E63" s="751"/>
      <c r="F63" s="66"/>
    </row>
    <row r="64" spans="1:14" x14ac:dyDescent="0.2">
      <c r="A64" s="751" t="s">
        <v>989</v>
      </c>
      <c r="C64" s="751"/>
      <c r="D64" s="751"/>
      <c r="E64" s="751"/>
      <c r="F64" s="66"/>
    </row>
    <row r="65" spans="4:6" x14ac:dyDescent="0.2">
      <c r="D65" s="751"/>
      <c r="E65" s="751"/>
      <c r="F65" s="66"/>
    </row>
    <row r="66" spans="4:6" x14ac:dyDescent="0.2">
      <c r="F66" s="66"/>
    </row>
    <row r="67" spans="4:6" x14ac:dyDescent="0.2">
      <c r="F67" s="66"/>
    </row>
    <row r="68" spans="4:6" x14ac:dyDescent="0.2">
      <c r="F68" s="66"/>
    </row>
    <row r="69" spans="4:6" x14ac:dyDescent="0.2">
      <c r="F69" s="66"/>
    </row>
    <row r="70" spans="4:6" x14ac:dyDescent="0.2">
      <c r="F70" s="66"/>
    </row>
    <row r="71" spans="4:6" x14ac:dyDescent="0.2">
      <c r="F71" s="66"/>
    </row>
    <row r="72" spans="4:6" x14ac:dyDescent="0.2">
      <c r="F72" s="66"/>
    </row>
    <row r="73" spans="4:6" x14ac:dyDescent="0.2">
      <c r="F73" s="66"/>
    </row>
    <row r="74" spans="4:6" x14ac:dyDescent="0.2">
      <c r="F74" s="66"/>
    </row>
    <row r="75" spans="4:6" x14ac:dyDescent="0.2">
      <c r="F75" s="66"/>
    </row>
    <row r="76" spans="4:6" x14ac:dyDescent="0.2">
      <c r="F76" s="66"/>
    </row>
    <row r="77" spans="4:6" x14ac:dyDescent="0.2">
      <c r="F77" s="66"/>
    </row>
    <row r="78" spans="4:6" x14ac:dyDescent="0.2">
      <c r="F78" s="66"/>
    </row>
    <row r="79" spans="4:6" x14ac:dyDescent="0.2">
      <c r="F79" s="66"/>
    </row>
    <row r="80" spans="4:6" x14ac:dyDescent="0.2">
      <c r="F80" s="66"/>
    </row>
    <row r="81" spans="6:6" x14ac:dyDescent="0.2">
      <c r="F81" s="66"/>
    </row>
    <row r="82" spans="6:6" x14ac:dyDescent="0.2">
      <c r="F82" s="66"/>
    </row>
    <row r="83" spans="6:6" x14ac:dyDescent="0.2">
      <c r="F83" s="66"/>
    </row>
    <row r="84" spans="6:6" x14ac:dyDescent="0.2">
      <c r="F84" s="66"/>
    </row>
    <row r="85" spans="6:6" x14ac:dyDescent="0.2">
      <c r="F85" s="66"/>
    </row>
    <row r="86" spans="6:6" x14ac:dyDescent="0.2">
      <c r="F86" s="66"/>
    </row>
    <row r="87" spans="6:6" x14ac:dyDescent="0.2">
      <c r="F87" s="66"/>
    </row>
    <row r="88" spans="6:6" x14ac:dyDescent="0.2">
      <c r="F88" s="66"/>
    </row>
    <row r="89" spans="6:6" x14ac:dyDescent="0.2">
      <c r="F89" s="66"/>
    </row>
    <row r="90" spans="6:6" x14ac:dyDescent="0.2">
      <c r="F90" s="66"/>
    </row>
    <row r="91" spans="6:6" x14ac:dyDescent="0.2">
      <c r="F91" s="66"/>
    </row>
    <row r="92" spans="6:6" x14ac:dyDescent="0.2">
      <c r="F92" s="66"/>
    </row>
    <row r="93" spans="6:6" x14ac:dyDescent="0.2">
      <c r="F93" s="66"/>
    </row>
    <row r="94" spans="6:6" x14ac:dyDescent="0.2">
      <c r="F94" s="66"/>
    </row>
    <row r="95" spans="6:6" x14ac:dyDescent="0.2">
      <c r="F95" s="66"/>
    </row>
    <row r="96" spans="6:6" x14ac:dyDescent="0.2">
      <c r="F96" s="66"/>
    </row>
    <row r="97" spans="6:6" x14ac:dyDescent="0.2">
      <c r="F97" s="66"/>
    </row>
    <row r="98" spans="6:6" x14ac:dyDescent="0.2">
      <c r="F98" s="66"/>
    </row>
    <row r="99" spans="6:6" x14ac:dyDescent="0.2">
      <c r="F99" s="66"/>
    </row>
    <row r="100" spans="6:6" x14ac:dyDescent="0.2">
      <c r="F100" s="66"/>
    </row>
    <row r="101" spans="6:6" x14ac:dyDescent="0.2">
      <c r="F101" s="66"/>
    </row>
    <row r="102" spans="6:6" x14ac:dyDescent="0.2">
      <c r="F102" s="66"/>
    </row>
    <row r="103" spans="6:6" x14ac:dyDescent="0.2">
      <c r="F103" s="66"/>
    </row>
    <row r="104" spans="6:6" x14ac:dyDescent="0.2">
      <c r="F104" s="66"/>
    </row>
    <row r="105" spans="6:6" x14ac:dyDescent="0.2">
      <c r="F105" s="66"/>
    </row>
    <row r="106" spans="6:6" x14ac:dyDescent="0.2">
      <c r="F106" s="66"/>
    </row>
    <row r="107" spans="6:6" x14ac:dyDescent="0.2">
      <c r="F107" s="66"/>
    </row>
    <row r="108" spans="6:6" x14ac:dyDescent="0.2">
      <c r="F108" s="66"/>
    </row>
    <row r="109" spans="6:6" x14ac:dyDescent="0.2">
      <c r="F109" s="66"/>
    </row>
    <row r="110" spans="6:6" x14ac:dyDescent="0.2">
      <c r="F110" s="66"/>
    </row>
    <row r="111" spans="6:6" x14ac:dyDescent="0.2">
      <c r="F111" s="66"/>
    </row>
    <row r="112" spans="6:6" x14ac:dyDescent="0.2">
      <c r="F112" s="66"/>
    </row>
    <row r="113" spans="6:6" x14ac:dyDescent="0.2">
      <c r="F113" s="66"/>
    </row>
    <row r="114" spans="6:6" x14ac:dyDescent="0.2">
      <c r="F114" s="66"/>
    </row>
    <row r="115" spans="6:6" x14ac:dyDescent="0.2">
      <c r="F115" s="66"/>
    </row>
    <row r="116" spans="6:6" x14ac:dyDescent="0.2">
      <c r="F116" s="66"/>
    </row>
    <row r="117" spans="6:6" x14ac:dyDescent="0.2">
      <c r="F117" s="66"/>
    </row>
    <row r="118" spans="6:6" x14ac:dyDescent="0.2">
      <c r="F118" s="66"/>
    </row>
    <row r="119" spans="6:6" x14ac:dyDescent="0.2">
      <c r="F119" s="66"/>
    </row>
    <row r="120" spans="6:6" x14ac:dyDescent="0.2">
      <c r="F120" s="66"/>
    </row>
    <row r="121" spans="6:6" x14ac:dyDescent="0.2">
      <c r="F121" s="66"/>
    </row>
    <row r="122" spans="6:6" x14ac:dyDescent="0.2">
      <c r="F122" s="66"/>
    </row>
    <row r="123" spans="6:6" x14ac:dyDescent="0.2">
      <c r="F123" s="66"/>
    </row>
  </sheetData>
  <mergeCells count="33">
    <mergeCell ref="G50:H50"/>
    <mergeCell ref="A54:L54"/>
    <mergeCell ref="A55:N55"/>
    <mergeCell ref="A56:L56"/>
    <mergeCell ref="G52:H52"/>
    <mergeCell ref="I52:J52"/>
    <mergeCell ref="K52:L52"/>
    <mergeCell ref="G53:H53"/>
    <mergeCell ref="I53:J53"/>
    <mergeCell ref="K53:L53"/>
    <mergeCell ref="G51:H51"/>
    <mergeCell ref="I51:J51"/>
    <mergeCell ref="M5:N5"/>
    <mergeCell ref="A6:N6"/>
    <mergeCell ref="G45:H45"/>
    <mergeCell ref="N7:N12"/>
    <mergeCell ref="A49:N49"/>
    <mergeCell ref="G47:H47"/>
    <mergeCell ref="I47:J47"/>
    <mergeCell ref="A48:L48"/>
    <mergeCell ref="G46:H46"/>
    <mergeCell ref="F7:F12"/>
    <mergeCell ref="K7:K12"/>
    <mergeCell ref="L7:L12"/>
    <mergeCell ref="M7:M12"/>
    <mergeCell ref="I5:J5"/>
    <mergeCell ref="K5:L5"/>
    <mergeCell ref="A1:N1"/>
    <mergeCell ref="A2:N2"/>
    <mergeCell ref="A4:B4"/>
    <mergeCell ref="I4:J4"/>
    <mergeCell ref="K4:L4"/>
    <mergeCell ref="M4:N4"/>
  </mergeCells>
  <printOptions horizontalCentered="1"/>
  <pageMargins left="0.25" right="0.25" top="0.75" bottom="0.75" header="0.3" footer="0.3"/>
  <pageSetup scale="64" fitToHeight="2" orientation="landscape" useFirstPageNumber="1" r:id="rId1"/>
  <headerFooter alignWithMargins="0"/>
  <rowBreaks count="1" manualBreakCount="1">
    <brk id="48"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R47"/>
  <sheetViews>
    <sheetView view="pageLayout" topLeftCell="C1" zoomScaleNormal="100" workbookViewId="0">
      <selection activeCell="K21" sqref="K21"/>
    </sheetView>
  </sheetViews>
  <sheetFormatPr defaultRowHeight="15" x14ac:dyDescent="0.25"/>
  <cols>
    <col min="1" max="1" width="8.7109375" style="832"/>
    <col min="2" max="2" width="9.140625" style="832"/>
    <col min="3" max="3" width="26.140625" style="832" customWidth="1"/>
    <col min="4" max="4" width="23" style="832" customWidth="1"/>
    <col min="5" max="5" width="9.140625" style="832"/>
    <col min="6" max="6" width="22.42578125" style="832" customWidth="1"/>
    <col min="7" max="8" width="9.140625" style="832" customWidth="1"/>
    <col min="9" max="9" width="9.140625" style="832"/>
    <col min="10" max="10" width="13.140625" style="832" customWidth="1"/>
    <col min="11" max="11" width="38.42578125" style="834" customWidth="1"/>
    <col min="12" max="12" width="9.140625" style="832"/>
    <col min="13" max="13" width="87.5703125" style="832" customWidth="1"/>
    <col min="14" max="16384" width="9.140625" style="832"/>
  </cols>
  <sheetData>
    <row r="1" spans="1:18" s="831" customFormat="1" ht="60" x14ac:dyDescent="0.25">
      <c r="A1" s="831" t="s">
        <v>800</v>
      </c>
      <c r="B1" s="831" t="s">
        <v>288</v>
      </c>
      <c r="C1" s="831" t="s">
        <v>793</v>
      </c>
      <c r="D1" s="831" t="s">
        <v>25</v>
      </c>
      <c r="E1" s="831" t="s">
        <v>794</v>
      </c>
      <c r="F1" s="831" t="s">
        <v>795</v>
      </c>
      <c r="I1" s="831" t="s">
        <v>797</v>
      </c>
      <c r="J1" s="831" t="s">
        <v>796</v>
      </c>
      <c r="K1" s="833" t="s">
        <v>801</v>
      </c>
      <c r="M1" s="836"/>
    </row>
    <row r="2" spans="1:18" ht="45" customHeight="1" x14ac:dyDescent="0.25">
      <c r="A2" s="938" t="s">
        <v>799</v>
      </c>
      <c r="B2" s="934">
        <v>11</v>
      </c>
      <c r="C2" s="945" t="s">
        <v>273</v>
      </c>
      <c r="D2" s="945">
        <v>3512</v>
      </c>
      <c r="E2" s="946">
        <v>2003</v>
      </c>
      <c r="F2" s="938"/>
      <c r="G2" s="938"/>
      <c r="H2" s="938"/>
      <c r="I2" s="945">
        <v>1454</v>
      </c>
      <c r="J2" s="945">
        <v>200</v>
      </c>
      <c r="K2" s="1244" t="s">
        <v>931</v>
      </c>
    </row>
    <row r="3" spans="1:18" ht="15" customHeight="1" x14ac:dyDescent="0.25">
      <c r="A3" s="938" t="s">
        <v>799</v>
      </c>
      <c r="B3" s="934">
        <v>12</v>
      </c>
      <c r="C3" s="945" t="s">
        <v>273</v>
      </c>
      <c r="D3" s="945">
        <v>3512</v>
      </c>
      <c r="E3" s="946">
        <v>2003</v>
      </c>
      <c r="F3" s="938"/>
      <c r="G3" s="938"/>
      <c r="H3" s="938"/>
      <c r="I3" s="945">
        <v>1454</v>
      </c>
      <c r="J3" s="945">
        <v>200</v>
      </c>
      <c r="K3" s="1245"/>
    </row>
    <row r="4" spans="1:18" x14ac:dyDescent="0.25">
      <c r="A4" s="938" t="s">
        <v>799</v>
      </c>
      <c r="B4" s="934">
        <v>13</v>
      </c>
      <c r="C4" s="945" t="s">
        <v>273</v>
      </c>
      <c r="D4" s="945">
        <v>3512</v>
      </c>
      <c r="E4" s="946">
        <v>2003</v>
      </c>
      <c r="F4" s="938"/>
      <c r="G4" s="938"/>
      <c r="H4" s="938"/>
      <c r="I4" s="945">
        <v>1454</v>
      </c>
      <c r="J4" s="945">
        <v>200</v>
      </c>
      <c r="K4" s="1246"/>
    </row>
    <row r="5" spans="1:18" x14ac:dyDescent="0.25">
      <c r="A5" s="938" t="s">
        <v>799</v>
      </c>
      <c r="B5" s="934">
        <v>26</v>
      </c>
      <c r="C5" s="945" t="s">
        <v>222</v>
      </c>
      <c r="D5" s="945" t="s">
        <v>270</v>
      </c>
      <c r="E5" s="946">
        <v>2012</v>
      </c>
      <c r="F5" s="938" t="s">
        <v>708</v>
      </c>
      <c r="G5" s="938"/>
      <c r="H5" s="938"/>
      <c r="I5" s="945">
        <v>295</v>
      </c>
      <c r="J5" s="945">
        <v>500</v>
      </c>
      <c r="K5" s="943" t="s">
        <v>802</v>
      </c>
    </row>
    <row r="6" spans="1:18" x14ac:dyDescent="0.25">
      <c r="A6" s="938" t="s">
        <v>799</v>
      </c>
      <c r="B6" s="934">
        <v>27</v>
      </c>
      <c r="C6" s="947" t="s">
        <v>271</v>
      </c>
      <c r="D6" s="947" t="s">
        <v>272</v>
      </c>
      <c r="E6" s="949">
        <v>2009</v>
      </c>
      <c r="F6" s="937" t="s">
        <v>708</v>
      </c>
      <c r="G6" s="937"/>
      <c r="H6" s="937"/>
      <c r="I6" s="947">
        <v>67</v>
      </c>
      <c r="J6" s="947">
        <v>500</v>
      </c>
      <c r="K6" s="943" t="s">
        <v>802</v>
      </c>
      <c r="R6" s="830"/>
    </row>
    <row r="7" spans="1:18" x14ac:dyDescent="0.25">
      <c r="A7" s="938" t="s">
        <v>799</v>
      </c>
      <c r="B7" s="934">
        <v>28</v>
      </c>
      <c r="C7" s="945" t="s">
        <v>273</v>
      </c>
      <c r="D7" s="945" t="s">
        <v>274</v>
      </c>
      <c r="E7" s="946">
        <v>2007</v>
      </c>
      <c r="F7" s="938" t="s">
        <v>708</v>
      </c>
      <c r="G7" s="938"/>
      <c r="H7" s="938"/>
      <c r="I7" s="945">
        <v>398</v>
      </c>
      <c r="J7" s="945">
        <v>500</v>
      </c>
      <c r="K7" s="943" t="s">
        <v>802</v>
      </c>
    </row>
    <row r="8" spans="1:18" x14ac:dyDescent="0.25">
      <c r="A8" s="938" t="s">
        <v>799</v>
      </c>
      <c r="B8" s="934">
        <v>29</v>
      </c>
      <c r="C8" s="947" t="s">
        <v>275</v>
      </c>
      <c r="D8" s="947" t="s">
        <v>277</v>
      </c>
      <c r="E8" s="949" t="s">
        <v>276</v>
      </c>
      <c r="F8" s="937"/>
      <c r="G8" s="937"/>
      <c r="H8" s="937"/>
      <c r="I8" s="947">
        <v>47</v>
      </c>
      <c r="J8" s="947">
        <v>500</v>
      </c>
      <c r="K8" s="944" t="s">
        <v>804</v>
      </c>
      <c r="R8" s="830"/>
    </row>
    <row r="9" spans="1:18" x14ac:dyDescent="0.25">
      <c r="A9" s="938" t="s">
        <v>799</v>
      </c>
      <c r="B9" s="934">
        <v>30</v>
      </c>
      <c r="C9" s="945" t="s">
        <v>271</v>
      </c>
      <c r="D9" s="945" t="s">
        <v>224</v>
      </c>
      <c r="E9" s="946">
        <v>2007</v>
      </c>
      <c r="F9" s="938" t="s">
        <v>708</v>
      </c>
      <c r="G9" s="938"/>
      <c r="H9" s="938"/>
      <c r="I9" s="945">
        <v>275</v>
      </c>
      <c r="J9" s="947">
        <v>500</v>
      </c>
      <c r="K9" s="943" t="s">
        <v>802</v>
      </c>
    </row>
    <row r="10" spans="1:18" x14ac:dyDescent="0.25">
      <c r="A10" s="938" t="s">
        <v>799</v>
      </c>
      <c r="B10" s="934">
        <v>31</v>
      </c>
      <c r="C10" s="945" t="s">
        <v>220</v>
      </c>
      <c r="D10" s="945" t="s">
        <v>221</v>
      </c>
      <c r="E10" s="946">
        <v>1994</v>
      </c>
      <c r="F10" s="938"/>
      <c r="G10" s="938"/>
      <c r="H10" s="938"/>
      <c r="I10" s="945">
        <v>235</v>
      </c>
      <c r="J10" s="947">
        <v>500</v>
      </c>
      <c r="K10" s="944" t="s">
        <v>804</v>
      </c>
    </row>
    <row r="11" spans="1:18" x14ac:dyDescent="0.25">
      <c r="A11" s="938" t="s">
        <v>799</v>
      </c>
      <c r="B11" s="934">
        <v>32</v>
      </c>
      <c r="C11" s="945" t="s">
        <v>220</v>
      </c>
      <c r="D11" s="945" t="s">
        <v>221</v>
      </c>
      <c r="E11" s="946">
        <v>1994</v>
      </c>
      <c r="F11" s="938"/>
      <c r="G11" s="938"/>
      <c r="H11" s="938"/>
      <c r="I11" s="945">
        <v>235</v>
      </c>
      <c r="J11" s="947">
        <v>500</v>
      </c>
      <c r="K11" s="944" t="s">
        <v>804</v>
      </c>
    </row>
    <row r="12" spans="1:18" x14ac:dyDescent="0.25">
      <c r="A12" s="938" t="s">
        <v>799</v>
      </c>
      <c r="B12" s="934">
        <v>33</v>
      </c>
      <c r="C12" s="945" t="s">
        <v>220</v>
      </c>
      <c r="D12" s="945" t="s">
        <v>221</v>
      </c>
      <c r="E12" s="946">
        <v>1994</v>
      </c>
      <c r="F12" s="938"/>
      <c r="G12" s="938"/>
      <c r="H12" s="938"/>
      <c r="I12" s="945">
        <v>235</v>
      </c>
      <c r="J12" s="947">
        <v>500</v>
      </c>
      <c r="K12" s="944" t="s">
        <v>804</v>
      </c>
    </row>
    <row r="13" spans="1:18" x14ac:dyDescent="0.25">
      <c r="A13" s="938" t="s">
        <v>799</v>
      </c>
      <c r="B13" s="934">
        <v>34</v>
      </c>
      <c r="C13" s="945" t="s">
        <v>220</v>
      </c>
      <c r="D13" s="945" t="s">
        <v>221</v>
      </c>
      <c r="E13" s="946">
        <v>1994</v>
      </c>
      <c r="F13" s="938"/>
      <c r="G13" s="938"/>
      <c r="H13" s="938"/>
      <c r="I13" s="945">
        <v>235</v>
      </c>
      <c r="J13" s="947">
        <v>500</v>
      </c>
      <c r="K13" s="944" t="s">
        <v>804</v>
      </c>
    </row>
    <row r="14" spans="1:18" x14ac:dyDescent="0.25">
      <c r="A14" s="938" t="s">
        <v>799</v>
      </c>
      <c r="B14" s="934">
        <v>35</v>
      </c>
      <c r="C14" s="945" t="s">
        <v>222</v>
      </c>
      <c r="D14" s="945" t="s">
        <v>223</v>
      </c>
      <c r="E14" s="946">
        <v>1977</v>
      </c>
      <c r="F14" s="938"/>
      <c r="G14" s="938"/>
      <c r="H14" s="938"/>
      <c r="I14" s="945">
        <v>240</v>
      </c>
      <c r="J14" s="947">
        <v>500</v>
      </c>
      <c r="K14" s="944" t="s">
        <v>804</v>
      </c>
    </row>
    <row r="15" spans="1:18" x14ac:dyDescent="0.25">
      <c r="A15" s="938" t="s">
        <v>799</v>
      </c>
      <c r="B15" s="934">
        <v>36</v>
      </c>
      <c r="C15" s="945" t="s">
        <v>222</v>
      </c>
      <c r="D15" s="945" t="s">
        <v>223</v>
      </c>
      <c r="E15" s="946">
        <v>1977</v>
      </c>
      <c r="F15" s="938"/>
      <c r="G15" s="938"/>
      <c r="H15" s="938"/>
      <c r="I15" s="945">
        <v>240</v>
      </c>
      <c r="J15" s="947">
        <v>500</v>
      </c>
      <c r="K15" s="944" t="s">
        <v>804</v>
      </c>
    </row>
    <row r="16" spans="1:18" x14ac:dyDescent="0.25">
      <c r="A16" s="938" t="s">
        <v>799</v>
      </c>
      <c r="B16" s="934">
        <v>37</v>
      </c>
      <c r="C16" s="947" t="s">
        <v>220</v>
      </c>
      <c r="D16" s="948" t="s">
        <v>225</v>
      </c>
      <c r="E16" s="949">
        <v>2005</v>
      </c>
      <c r="F16" s="937"/>
      <c r="G16" s="937"/>
      <c r="H16" s="937"/>
      <c r="I16" s="947">
        <v>94</v>
      </c>
      <c r="J16" s="947">
        <v>500</v>
      </c>
      <c r="K16" s="944" t="s">
        <v>804</v>
      </c>
      <c r="R16" s="827"/>
    </row>
    <row r="17" spans="1:18" x14ac:dyDescent="0.25">
      <c r="A17" s="938" t="s">
        <v>799</v>
      </c>
      <c r="B17" s="934">
        <v>38</v>
      </c>
      <c r="C17" s="947" t="s">
        <v>220</v>
      </c>
      <c r="D17" s="945" t="s">
        <v>226</v>
      </c>
      <c r="E17" s="946">
        <v>1996</v>
      </c>
      <c r="F17" s="938"/>
      <c r="G17" s="938"/>
      <c r="H17" s="938"/>
      <c r="I17" s="945">
        <v>120</v>
      </c>
      <c r="J17" s="947">
        <v>500</v>
      </c>
      <c r="K17" s="944" t="s">
        <v>804</v>
      </c>
    </row>
    <row r="18" spans="1:18" x14ac:dyDescent="0.25">
      <c r="A18" s="938" t="s">
        <v>799</v>
      </c>
      <c r="B18" s="934">
        <v>39</v>
      </c>
      <c r="C18" s="947" t="s">
        <v>220</v>
      </c>
      <c r="D18" s="945" t="s">
        <v>226</v>
      </c>
      <c r="E18" s="946">
        <v>1996</v>
      </c>
      <c r="F18" s="938"/>
      <c r="G18" s="938"/>
      <c r="H18" s="938"/>
      <c r="I18" s="945">
        <v>120</v>
      </c>
      <c r="J18" s="947">
        <v>500</v>
      </c>
      <c r="K18" s="944" t="s">
        <v>804</v>
      </c>
    </row>
    <row r="19" spans="1:18" ht="29.25" x14ac:dyDescent="0.25">
      <c r="A19" s="938" t="s">
        <v>798</v>
      </c>
      <c r="B19" s="939">
        <v>8</v>
      </c>
      <c r="C19" s="934" t="s">
        <v>440</v>
      </c>
      <c r="D19" s="940" t="s">
        <v>921</v>
      </c>
      <c r="E19" s="939">
        <v>2009</v>
      </c>
      <c r="F19" s="939" t="s">
        <v>708</v>
      </c>
      <c r="G19" s="939">
        <v>6.4</v>
      </c>
      <c r="H19" s="939" t="s">
        <v>175</v>
      </c>
      <c r="I19" s="941">
        <v>2937</v>
      </c>
      <c r="J19" s="936">
        <v>500</v>
      </c>
      <c r="K19" s="943" t="s">
        <v>802</v>
      </c>
    </row>
    <row r="20" spans="1:18" x14ac:dyDescent="0.25">
      <c r="A20" s="938" t="s">
        <v>798</v>
      </c>
      <c r="B20" s="939">
        <v>9</v>
      </c>
      <c r="C20" s="933" t="s">
        <v>444</v>
      </c>
      <c r="D20" s="939" t="s">
        <v>443</v>
      </c>
      <c r="E20" s="939">
        <v>1988</v>
      </c>
      <c r="F20" s="939"/>
      <c r="G20" s="939">
        <v>3.1E-2</v>
      </c>
      <c r="H20" s="939" t="s">
        <v>501</v>
      </c>
      <c r="I20" s="941">
        <v>352.89473684210526</v>
      </c>
      <c r="J20" s="936">
        <v>500</v>
      </c>
      <c r="K20" s="944" t="s">
        <v>992</v>
      </c>
    </row>
    <row r="21" spans="1:18" x14ac:dyDescent="0.25">
      <c r="A21" s="938" t="s">
        <v>798</v>
      </c>
      <c r="B21" s="939">
        <v>10</v>
      </c>
      <c r="C21" s="933" t="s">
        <v>446</v>
      </c>
      <c r="D21" s="939" t="s">
        <v>443</v>
      </c>
      <c r="E21" s="939">
        <v>2010</v>
      </c>
      <c r="F21" s="939" t="s">
        <v>708</v>
      </c>
      <c r="G21" s="939">
        <v>6.4</v>
      </c>
      <c r="H21" s="939" t="s">
        <v>175</v>
      </c>
      <c r="I21" s="941">
        <v>762</v>
      </c>
      <c r="J21" s="936">
        <v>500</v>
      </c>
      <c r="K21" s="943" t="s">
        <v>802</v>
      </c>
    </row>
    <row r="22" spans="1:18" x14ac:dyDescent="0.25">
      <c r="A22" s="938" t="s">
        <v>798</v>
      </c>
      <c r="B22" s="939">
        <v>11</v>
      </c>
      <c r="C22" s="933" t="s">
        <v>446</v>
      </c>
      <c r="D22" s="939" t="s">
        <v>443</v>
      </c>
      <c r="E22" s="939">
        <v>2010</v>
      </c>
      <c r="F22" s="939" t="s">
        <v>708</v>
      </c>
      <c r="G22" s="939">
        <v>6.4</v>
      </c>
      <c r="H22" s="939" t="s">
        <v>175</v>
      </c>
      <c r="I22" s="941">
        <v>762</v>
      </c>
      <c r="J22" s="936">
        <v>500</v>
      </c>
      <c r="K22" s="943" t="s">
        <v>802</v>
      </c>
    </row>
    <row r="23" spans="1:18" x14ac:dyDescent="0.25">
      <c r="A23" s="938" t="s">
        <v>798</v>
      </c>
      <c r="B23" s="939">
        <v>12</v>
      </c>
      <c r="C23" s="933" t="s">
        <v>447</v>
      </c>
      <c r="D23" s="934" t="s">
        <v>443</v>
      </c>
      <c r="E23" s="934">
        <v>2002</v>
      </c>
      <c r="F23" s="934"/>
      <c r="G23" s="934">
        <v>3.1E-2</v>
      </c>
      <c r="H23" s="934" t="s">
        <v>501</v>
      </c>
      <c r="I23" s="935">
        <v>82</v>
      </c>
      <c r="J23" s="936">
        <v>500</v>
      </c>
      <c r="K23" s="944" t="s">
        <v>804</v>
      </c>
      <c r="R23" s="827"/>
    </row>
    <row r="24" spans="1:18" x14ac:dyDescent="0.25">
      <c r="A24" s="938" t="s">
        <v>798</v>
      </c>
      <c r="B24" s="939">
        <v>13</v>
      </c>
      <c r="C24" s="933" t="s">
        <v>448</v>
      </c>
      <c r="D24" s="939" t="s">
        <v>443</v>
      </c>
      <c r="E24" s="939">
        <v>2008</v>
      </c>
      <c r="F24" s="934" t="s">
        <v>708</v>
      </c>
      <c r="G24" s="939">
        <v>4</v>
      </c>
      <c r="H24" s="939" t="s">
        <v>175</v>
      </c>
      <c r="I24" s="941">
        <v>587</v>
      </c>
      <c r="J24" s="936">
        <v>500</v>
      </c>
      <c r="K24" s="943" t="s">
        <v>802</v>
      </c>
    </row>
    <row r="25" spans="1:18" x14ac:dyDescent="0.25">
      <c r="A25" s="938" t="s">
        <v>798</v>
      </c>
      <c r="B25" s="939">
        <v>14</v>
      </c>
      <c r="C25" s="933" t="s">
        <v>449</v>
      </c>
      <c r="D25" s="939" t="s">
        <v>443</v>
      </c>
      <c r="E25" s="939">
        <v>2008</v>
      </c>
      <c r="F25" s="939" t="s">
        <v>708</v>
      </c>
      <c r="G25" s="939">
        <v>4</v>
      </c>
      <c r="H25" s="939" t="s">
        <v>175</v>
      </c>
      <c r="I25" s="941">
        <v>320</v>
      </c>
      <c r="J25" s="936">
        <v>500</v>
      </c>
      <c r="K25" s="943" t="s">
        <v>802</v>
      </c>
    </row>
    <row r="26" spans="1:18" x14ac:dyDescent="0.25">
      <c r="A26" s="938" t="s">
        <v>798</v>
      </c>
      <c r="B26" s="939">
        <v>15</v>
      </c>
      <c r="C26" s="933" t="s">
        <v>450</v>
      </c>
      <c r="D26" s="939" t="s">
        <v>443</v>
      </c>
      <c r="E26" s="939">
        <v>2005</v>
      </c>
      <c r="F26" s="939" t="s">
        <v>792</v>
      </c>
      <c r="G26" s="939">
        <v>5.75</v>
      </c>
      <c r="H26" s="939" t="s">
        <v>165</v>
      </c>
      <c r="I26" s="941">
        <v>1058.6842105263158</v>
      </c>
      <c r="J26" s="936">
        <v>500</v>
      </c>
      <c r="K26" s="944" t="s">
        <v>992</v>
      </c>
    </row>
    <row r="27" spans="1:18" x14ac:dyDescent="0.25">
      <c r="A27" s="938" t="s">
        <v>798</v>
      </c>
      <c r="B27" s="939">
        <v>16</v>
      </c>
      <c r="C27" s="933" t="s">
        <v>451</v>
      </c>
      <c r="D27" s="939" t="s">
        <v>443</v>
      </c>
      <c r="E27" s="939">
        <v>2005</v>
      </c>
      <c r="F27" s="939"/>
      <c r="G27" s="939">
        <v>3.1E-2</v>
      </c>
      <c r="H27" s="939" t="s">
        <v>501</v>
      </c>
      <c r="I27" s="941">
        <v>211.73684210526318</v>
      </c>
      <c r="J27" s="936">
        <v>500</v>
      </c>
      <c r="K27" s="944" t="s">
        <v>804</v>
      </c>
    </row>
    <row r="28" spans="1:18" x14ac:dyDescent="0.25">
      <c r="A28" s="938" t="s">
        <v>798</v>
      </c>
      <c r="B28" s="939">
        <v>17</v>
      </c>
      <c r="C28" s="933" t="s">
        <v>451</v>
      </c>
      <c r="D28" s="939" t="s">
        <v>443</v>
      </c>
      <c r="E28" s="939">
        <v>2007</v>
      </c>
      <c r="F28" s="939" t="s">
        <v>711</v>
      </c>
      <c r="G28" s="939">
        <v>6.9</v>
      </c>
      <c r="H28" s="939" t="s">
        <v>165</v>
      </c>
      <c r="I28" s="941">
        <v>176.44736842105263</v>
      </c>
      <c r="J28" s="936">
        <v>500</v>
      </c>
      <c r="K28" s="944" t="s">
        <v>804</v>
      </c>
    </row>
    <row r="29" spans="1:18" x14ac:dyDescent="0.25">
      <c r="A29" s="938" t="s">
        <v>798</v>
      </c>
      <c r="B29" s="939">
        <v>18</v>
      </c>
      <c r="C29" s="933" t="s">
        <v>452</v>
      </c>
      <c r="D29" s="939" t="s">
        <v>443</v>
      </c>
      <c r="E29" s="939">
        <v>2005</v>
      </c>
      <c r="F29" s="939"/>
      <c r="G29" s="939">
        <v>3.1E-2</v>
      </c>
      <c r="H29" s="939" t="s">
        <v>501</v>
      </c>
      <c r="I29" s="941">
        <v>211.73684210526318</v>
      </c>
      <c r="J29" s="936">
        <v>500</v>
      </c>
      <c r="K29" s="944" t="s">
        <v>804</v>
      </c>
    </row>
    <row r="30" spans="1:18" x14ac:dyDescent="0.25">
      <c r="A30" s="938" t="s">
        <v>798</v>
      </c>
      <c r="B30" s="939">
        <v>19</v>
      </c>
      <c r="C30" s="933" t="s">
        <v>453</v>
      </c>
      <c r="D30" s="934" t="s">
        <v>443</v>
      </c>
      <c r="E30" s="934">
        <v>2007</v>
      </c>
      <c r="F30" s="934" t="s">
        <v>708</v>
      </c>
      <c r="G30" s="934">
        <v>7.5</v>
      </c>
      <c r="H30" s="934" t="s">
        <v>175</v>
      </c>
      <c r="I30" s="935">
        <v>70.578947368421055</v>
      </c>
      <c r="J30" s="936">
        <v>500</v>
      </c>
      <c r="K30" s="943" t="s">
        <v>802</v>
      </c>
      <c r="R30" s="827"/>
    </row>
    <row r="31" spans="1:18" x14ac:dyDescent="0.25">
      <c r="A31" s="938" t="s">
        <v>798</v>
      </c>
      <c r="B31" s="939">
        <v>20</v>
      </c>
      <c r="C31" s="933" t="s">
        <v>454</v>
      </c>
      <c r="D31" s="934" t="s">
        <v>443</v>
      </c>
      <c r="E31" s="934">
        <v>1976</v>
      </c>
      <c r="F31" s="934"/>
      <c r="G31" s="934">
        <v>3.1E-2</v>
      </c>
      <c r="H31" s="934" t="s">
        <v>501</v>
      </c>
      <c r="I31" s="935">
        <v>35.289473684210527</v>
      </c>
      <c r="J31" s="936">
        <v>500</v>
      </c>
      <c r="K31" s="944" t="s">
        <v>804</v>
      </c>
      <c r="R31" s="829"/>
    </row>
    <row r="32" spans="1:18" x14ac:dyDescent="0.25">
      <c r="A32" s="938" t="s">
        <v>798</v>
      </c>
      <c r="B32" s="939">
        <v>21</v>
      </c>
      <c r="C32" s="933" t="s">
        <v>455</v>
      </c>
      <c r="D32" s="934" t="s">
        <v>443</v>
      </c>
      <c r="E32" s="934">
        <v>2001</v>
      </c>
      <c r="F32" s="934"/>
      <c r="G32" s="934">
        <v>3.1E-2</v>
      </c>
      <c r="H32" s="934" t="s">
        <v>501</v>
      </c>
      <c r="I32" s="935">
        <v>95</v>
      </c>
      <c r="J32" s="936">
        <v>500</v>
      </c>
      <c r="K32" s="944" t="s">
        <v>804</v>
      </c>
      <c r="R32" s="827"/>
    </row>
    <row r="33" spans="1:18" x14ac:dyDescent="0.25">
      <c r="A33" s="938" t="s">
        <v>798</v>
      </c>
      <c r="B33" s="939">
        <v>22</v>
      </c>
      <c r="C33" s="933" t="s">
        <v>222</v>
      </c>
      <c r="D33" s="934" t="s">
        <v>443</v>
      </c>
      <c r="E33" s="934">
        <v>1989</v>
      </c>
      <c r="F33" s="934"/>
      <c r="G33" s="934">
        <v>3.1E-2</v>
      </c>
      <c r="H33" s="934" t="s">
        <v>501</v>
      </c>
      <c r="I33" s="935">
        <v>35.289473684210527</v>
      </c>
      <c r="J33" s="936">
        <v>500</v>
      </c>
      <c r="K33" s="944" t="s">
        <v>804</v>
      </c>
      <c r="R33" s="829"/>
    </row>
    <row r="34" spans="1:18" x14ac:dyDescent="0.25">
      <c r="A34" s="938" t="s">
        <v>798</v>
      </c>
      <c r="B34" s="939">
        <v>23</v>
      </c>
      <c r="C34" s="933" t="s">
        <v>452</v>
      </c>
      <c r="D34" s="939" t="s">
        <v>443</v>
      </c>
      <c r="E34" s="939">
        <v>2003</v>
      </c>
      <c r="F34" s="939"/>
      <c r="G34" s="939">
        <v>3.1E-2</v>
      </c>
      <c r="H34" s="939" t="s">
        <v>501</v>
      </c>
      <c r="I34" s="941">
        <v>155.27368421052631</v>
      </c>
      <c r="J34" s="936">
        <v>500</v>
      </c>
      <c r="K34" s="944" t="s">
        <v>804</v>
      </c>
    </row>
    <row r="35" spans="1:18" ht="28.5" x14ac:dyDescent="0.25">
      <c r="A35" s="938" t="s">
        <v>798</v>
      </c>
      <c r="B35" s="939">
        <v>24</v>
      </c>
      <c r="C35" s="933" t="s">
        <v>456</v>
      </c>
      <c r="D35" s="934" t="s">
        <v>443</v>
      </c>
      <c r="E35" s="934">
        <v>1993</v>
      </c>
      <c r="F35" s="934"/>
      <c r="G35" s="934">
        <v>3.1E-2</v>
      </c>
      <c r="H35" s="934" t="s">
        <v>501</v>
      </c>
      <c r="I35" s="935">
        <v>50</v>
      </c>
      <c r="J35" s="936">
        <v>500</v>
      </c>
      <c r="K35" s="944" t="s">
        <v>804</v>
      </c>
      <c r="R35" s="829"/>
    </row>
    <row r="36" spans="1:18" x14ac:dyDescent="0.25">
      <c r="A36" s="938" t="s">
        <v>798</v>
      </c>
      <c r="B36" s="939">
        <v>25</v>
      </c>
      <c r="C36" s="933" t="s">
        <v>457</v>
      </c>
      <c r="D36" s="934" t="s">
        <v>443</v>
      </c>
      <c r="E36" s="934">
        <v>2011</v>
      </c>
      <c r="F36" s="934" t="s">
        <v>708</v>
      </c>
      <c r="G36" s="934">
        <v>7.5</v>
      </c>
      <c r="H36" s="934" t="s">
        <v>175</v>
      </c>
      <c r="I36" s="935">
        <v>18.350526315789473</v>
      </c>
      <c r="J36" s="936">
        <v>500</v>
      </c>
      <c r="K36" s="943" t="s">
        <v>802</v>
      </c>
      <c r="R36" s="829"/>
    </row>
    <row r="37" spans="1:18" x14ac:dyDescent="0.25">
      <c r="A37" s="938" t="s">
        <v>798</v>
      </c>
      <c r="B37" s="939">
        <v>26</v>
      </c>
      <c r="C37" s="933" t="s">
        <v>458</v>
      </c>
      <c r="D37" s="934" t="s">
        <v>443</v>
      </c>
      <c r="E37" s="934">
        <v>2003</v>
      </c>
      <c r="F37" s="934"/>
      <c r="G37" s="934">
        <v>3.1E-2</v>
      </c>
      <c r="H37" s="934" t="s">
        <v>501</v>
      </c>
      <c r="I37" s="935">
        <v>68</v>
      </c>
      <c r="J37" s="936">
        <v>500</v>
      </c>
      <c r="K37" s="944" t="s">
        <v>804</v>
      </c>
      <c r="R37" s="829"/>
    </row>
    <row r="38" spans="1:18" x14ac:dyDescent="0.25">
      <c r="A38" s="938" t="s">
        <v>798</v>
      </c>
      <c r="B38" s="939">
        <v>27</v>
      </c>
      <c r="C38" s="942" t="s">
        <v>459</v>
      </c>
      <c r="D38" s="939" t="s">
        <v>443</v>
      </c>
      <c r="E38" s="939">
        <v>2010</v>
      </c>
      <c r="F38" s="939" t="s">
        <v>708</v>
      </c>
      <c r="G38" s="939">
        <v>4</v>
      </c>
      <c r="H38" s="939" t="s">
        <v>175</v>
      </c>
      <c r="I38" s="941">
        <v>274</v>
      </c>
      <c r="J38" s="936">
        <v>500</v>
      </c>
      <c r="K38" s="943" t="s">
        <v>802</v>
      </c>
    </row>
    <row r="39" spans="1:18" x14ac:dyDescent="0.25">
      <c r="A39" s="938" t="s">
        <v>798</v>
      </c>
      <c r="B39" s="939">
        <v>28</v>
      </c>
      <c r="C39" s="942" t="s">
        <v>459</v>
      </c>
      <c r="D39" s="939" t="s">
        <v>443</v>
      </c>
      <c r="E39" s="939">
        <v>2010</v>
      </c>
      <c r="F39" s="939" t="s">
        <v>708</v>
      </c>
      <c r="G39" s="939">
        <v>4</v>
      </c>
      <c r="H39" s="939" t="s">
        <v>175</v>
      </c>
      <c r="I39" s="941">
        <v>274</v>
      </c>
      <c r="J39" s="936">
        <v>500</v>
      </c>
      <c r="K39" s="943" t="s">
        <v>802</v>
      </c>
    </row>
    <row r="40" spans="1:18" x14ac:dyDescent="0.25">
      <c r="A40" s="938" t="s">
        <v>798</v>
      </c>
      <c r="B40" s="939">
        <v>30</v>
      </c>
      <c r="C40" s="933" t="s">
        <v>461</v>
      </c>
      <c r="D40" s="934" t="s">
        <v>460</v>
      </c>
      <c r="E40" s="934">
        <v>1952</v>
      </c>
      <c r="F40" s="934"/>
      <c r="G40" s="934">
        <v>3.1E-2</v>
      </c>
      <c r="H40" s="934" t="s">
        <v>501</v>
      </c>
      <c r="I40" s="935">
        <v>75</v>
      </c>
      <c r="J40" s="936">
        <v>500</v>
      </c>
      <c r="K40" s="944" t="s">
        <v>804</v>
      </c>
      <c r="R40" s="827"/>
    </row>
    <row r="41" spans="1:18" x14ac:dyDescent="0.25">
      <c r="A41" s="938" t="s">
        <v>798</v>
      </c>
      <c r="B41" s="939">
        <v>32</v>
      </c>
      <c r="C41" s="933" t="s">
        <v>462</v>
      </c>
      <c r="D41" s="934" t="s">
        <v>460</v>
      </c>
      <c r="E41" s="934">
        <v>1955</v>
      </c>
      <c r="F41" s="934"/>
      <c r="G41" s="934">
        <v>3.1E-2</v>
      </c>
      <c r="H41" s="934" t="s">
        <v>501</v>
      </c>
      <c r="I41" s="935">
        <v>75</v>
      </c>
      <c r="J41" s="936">
        <v>500</v>
      </c>
      <c r="K41" s="944" t="s">
        <v>804</v>
      </c>
      <c r="R41" s="828"/>
    </row>
    <row r="42" spans="1:18" x14ac:dyDescent="0.25">
      <c r="A42" s="938" t="s">
        <v>798</v>
      </c>
      <c r="B42" s="939">
        <v>33</v>
      </c>
      <c r="C42" s="933" t="s">
        <v>462</v>
      </c>
      <c r="D42" s="934" t="s">
        <v>460</v>
      </c>
      <c r="E42" s="934">
        <v>1994</v>
      </c>
      <c r="F42" s="934"/>
      <c r="G42" s="934">
        <v>3.1E-2</v>
      </c>
      <c r="H42" s="934" t="s">
        <v>501</v>
      </c>
      <c r="I42" s="935">
        <v>75</v>
      </c>
      <c r="J42" s="936">
        <v>500</v>
      </c>
      <c r="K42" s="944" t="s">
        <v>804</v>
      </c>
      <c r="R42" s="828"/>
    </row>
    <row r="43" spans="1:18" x14ac:dyDescent="0.25">
      <c r="A43" s="938" t="s">
        <v>798</v>
      </c>
      <c r="B43" s="939">
        <v>34</v>
      </c>
      <c r="C43" s="942" t="s">
        <v>464</v>
      </c>
      <c r="D43" s="939" t="s">
        <v>463</v>
      </c>
      <c r="E43" s="939">
        <v>1995</v>
      </c>
      <c r="F43" s="939"/>
      <c r="G43" s="939">
        <v>3.1E-2</v>
      </c>
      <c r="H43" s="939" t="s">
        <v>501</v>
      </c>
      <c r="I43" s="941">
        <v>220</v>
      </c>
      <c r="J43" s="936">
        <v>500</v>
      </c>
      <c r="K43" s="944" t="s">
        <v>804</v>
      </c>
    </row>
    <row r="44" spans="1:18" x14ac:dyDescent="0.25">
      <c r="A44" s="938" t="s">
        <v>798</v>
      </c>
      <c r="B44" s="939">
        <v>35</v>
      </c>
      <c r="C44" s="933" t="s">
        <v>465</v>
      </c>
      <c r="D44" s="934" t="s">
        <v>463</v>
      </c>
      <c r="E44" s="934">
        <v>2009</v>
      </c>
      <c r="F44" s="934" t="s">
        <v>708</v>
      </c>
      <c r="G44" s="934">
        <v>7.8</v>
      </c>
      <c r="H44" s="934" t="s">
        <v>165</v>
      </c>
      <c r="I44" s="935">
        <v>55</v>
      </c>
      <c r="J44" s="936">
        <v>500</v>
      </c>
      <c r="K44" s="943" t="s">
        <v>802</v>
      </c>
      <c r="R44" s="827"/>
    </row>
    <row r="45" spans="1:18" x14ac:dyDescent="0.25">
      <c r="A45" s="938" t="s">
        <v>798</v>
      </c>
      <c r="B45" s="939">
        <v>36</v>
      </c>
      <c r="C45" s="942" t="s">
        <v>466</v>
      </c>
      <c r="D45" s="939" t="s">
        <v>463</v>
      </c>
      <c r="E45" s="939">
        <v>1995</v>
      </c>
      <c r="F45" s="939"/>
      <c r="G45" s="939">
        <v>3.1E-2</v>
      </c>
      <c r="H45" s="939" t="s">
        <v>501</v>
      </c>
      <c r="I45" s="941">
        <v>220</v>
      </c>
      <c r="J45" s="936">
        <v>500</v>
      </c>
      <c r="K45" s="944" t="s">
        <v>804</v>
      </c>
    </row>
    <row r="46" spans="1:18" x14ac:dyDescent="0.25">
      <c r="A46" s="938" t="s">
        <v>798</v>
      </c>
      <c r="B46" s="939" t="s">
        <v>748</v>
      </c>
      <c r="C46" s="266" t="s">
        <v>763</v>
      </c>
      <c r="D46" s="934" t="s">
        <v>460</v>
      </c>
      <c r="E46" s="934">
        <v>2014</v>
      </c>
      <c r="F46" s="934" t="s">
        <v>708</v>
      </c>
      <c r="G46" s="934">
        <v>4.7</v>
      </c>
      <c r="H46" s="934" t="s">
        <v>712</v>
      </c>
      <c r="I46" s="935">
        <v>74</v>
      </c>
      <c r="J46" s="936">
        <v>500</v>
      </c>
      <c r="K46" s="943" t="s">
        <v>802</v>
      </c>
      <c r="R46" s="827"/>
    </row>
    <row r="47" spans="1:18" x14ac:dyDescent="0.25">
      <c r="A47" s="938" t="s">
        <v>798</v>
      </c>
      <c r="B47" s="939" t="s">
        <v>749</v>
      </c>
      <c r="C47" s="266" t="s">
        <v>763</v>
      </c>
      <c r="D47" s="934" t="s">
        <v>460</v>
      </c>
      <c r="E47" s="934">
        <v>2014</v>
      </c>
      <c r="F47" s="934" t="s">
        <v>708</v>
      </c>
      <c r="G47" s="934">
        <v>4.7</v>
      </c>
      <c r="H47" s="934" t="s">
        <v>712</v>
      </c>
      <c r="I47" s="935">
        <v>74</v>
      </c>
      <c r="J47" s="936">
        <v>500</v>
      </c>
      <c r="K47" s="943" t="s">
        <v>802</v>
      </c>
      <c r="R47" s="827"/>
    </row>
  </sheetData>
  <sortState ref="A2:R47">
    <sortCondition descending="1" ref="A2:A47"/>
    <sortCondition ref="B2:B47"/>
  </sortState>
  <mergeCells count="1">
    <mergeCell ref="K2:K4"/>
  </mergeCells>
  <pageMargins left="0.25" right="0.25" top="0.75" bottom="0.75" header="0.3" footer="0.3"/>
  <pageSetup scale="75" fitToHeight="2"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5"/>
  <sheetViews>
    <sheetView view="pageLayout" topLeftCell="A19" zoomScaleNormal="100" zoomScaleSheetLayoutView="100" workbookViewId="0">
      <selection activeCell="E7" sqref="E7"/>
    </sheetView>
  </sheetViews>
  <sheetFormatPr defaultColWidth="9.140625" defaultRowHeight="14.25" x14ac:dyDescent="0.2"/>
  <cols>
    <col min="1" max="1" width="9.140625" style="125"/>
    <col min="2" max="2" width="43" style="125" customWidth="1"/>
    <col min="3" max="3" width="11.140625" style="125" customWidth="1"/>
    <col min="4" max="4" width="29.7109375" style="125" customWidth="1"/>
    <col min="5" max="5" width="10" style="125" customWidth="1"/>
    <col min="6" max="6" width="12.5703125" style="125" customWidth="1"/>
    <col min="7" max="7" width="9.28515625" style="125" customWidth="1"/>
    <col min="8" max="9" width="11.28515625" style="125" customWidth="1"/>
    <col min="10" max="10" width="8.28515625" style="125" customWidth="1"/>
    <col min="11" max="11" width="10.28515625" style="287" customWidth="1"/>
    <col min="12" max="12" width="7.42578125" style="125" customWidth="1"/>
    <col min="13" max="13" width="9.140625" style="125"/>
    <col min="14" max="14" width="14.5703125" style="125" customWidth="1"/>
    <col min="15" max="15" width="10" style="125" customWidth="1"/>
    <col min="16" max="16" width="9.140625" style="125"/>
    <col min="17" max="17" width="10" style="125" customWidth="1"/>
    <col min="18" max="16384" width="9.140625" style="125"/>
  </cols>
  <sheetData>
    <row r="1" spans="1:20" ht="16.5" x14ac:dyDescent="0.3">
      <c r="A1" s="1197" t="s">
        <v>508</v>
      </c>
      <c r="B1" s="1197"/>
      <c r="C1" s="1197"/>
      <c r="D1" s="1197"/>
      <c r="E1" s="1197"/>
      <c r="F1" s="1197"/>
      <c r="G1" s="1197"/>
      <c r="H1" s="1197"/>
      <c r="I1" s="1197"/>
      <c r="J1" s="1197"/>
      <c r="K1" s="1197"/>
      <c r="L1" s="1197"/>
    </row>
    <row r="2" spans="1:20" ht="15" x14ac:dyDescent="0.25">
      <c r="A2" s="1197" t="s">
        <v>416</v>
      </c>
      <c r="B2" s="1197"/>
      <c r="C2" s="1197"/>
      <c r="D2" s="1197"/>
      <c r="E2" s="1197"/>
      <c r="F2" s="1197"/>
      <c r="G2" s="1197"/>
      <c r="H2" s="1197"/>
      <c r="I2" s="1197"/>
      <c r="J2" s="1197"/>
      <c r="K2" s="1197"/>
      <c r="L2" s="1197"/>
    </row>
    <row r="3" spans="1:20" ht="15.75" thickBot="1" x14ac:dyDescent="0.25">
      <c r="B3" s="343"/>
    </row>
    <row r="4" spans="1:20" ht="16.5" x14ac:dyDescent="0.3">
      <c r="A4" s="1198" t="s">
        <v>417</v>
      </c>
      <c r="B4" s="1011"/>
      <c r="C4" s="236" t="s">
        <v>418</v>
      </c>
      <c r="D4" s="288" t="s">
        <v>488</v>
      </c>
      <c r="E4" s="289" t="s">
        <v>509</v>
      </c>
      <c r="F4" s="289"/>
      <c r="G4" s="1199" t="s">
        <v>417</v>
      </c>
      <c r="H4" s="1199"/>
      <c r="I4" s="344" t="s">
        <v>490</v>
      </c>
      <c r="J4" s="344"/>
      <c r="K4" s="1202" t="s">
        <v>378</v>
      </c>
      <c r="L4" s="1203"/>
    </row>
    <row r="5" spans="1:20" ht="16.5" x14ac:dyDescent="0.3">
      <c r="A5" s="290" t="s">
        <v>157</v>
      </c>
      <c r="B5" s="238" t="s">
        <v>420</v>
      </c>
      <c r="C5" s="239" t="s">
        <v>421</v>
      </c>
      <c r="D5" s="291" t="s">
        <v>491</v>
      </c>
      <c r="E5" s="292" t="s">
        <v>492</v>
      </c>
      <c r="F5" s="292"/>
      <c r="G5" s="1230" t="s">
        <v>493</v>
      </c>
      <c r="H5" s="1230"/>
      <c r="I5" s="345" t="s">
        <v>494</v>
      </c>
      <c r="J5" s="345"/>
      <c r="K5" s="1204" t="s">
        <v>510</v>
      </c>
      <c r="L5" s="1205"/>
    </row>
    <row r="6" spans="1:20" ht="15.75" thickBot="1" x14ac:dyDescent="0.3">
      <c r="A6" s="1206" t="s">
        <v>422</v>
      </c>
      <c r="B6" s="1207"/>
      <c r="C6" s="1207"/>
      <c r="D6" s="1207"/>
      <c r="E6" s="1207"/>
      <c r="F6" s="1207"/>
      <c r="G6" s="1207"/>
      <c r="H6" s="1207"/>
      <c r="I6" s="1207"/>
      <c r="J6" s="1207"/>
      <c r="K6" s="1207"/>
      <c r="L6" s="1208"/>
    </row>
    <row r="7" spans="1:20" ht="15" customHeight="1" thickTop="1" x14ac:dyDescent="0.2">
      <c r="A7" s="293">
        <v>1</v>
      </c>
      <c r="B7" s="294" t="s">
        <v>423</v>
      </c>
      <c r="C7" s="294" t="s">
        <v>425</v>
      </c>
      <c r="D7" s="273" t="s">
        <v>511</v>
      </c>
      <c r="E7" s="346">
        <f>(0.04*$C$62)+13.2</f>
        <v>13.8048</v>
      </c>
      <c r="F7" s="347" t="s">
        <v>496</v>
      </c>
      <c r="G7" s="297">
        <v>230</v>
      </c>
      <c r="H7" s="296" t="str">
        <f>'2b DU NOx Proposed'!J7</f>
        <v>MMBtu/hr</v>
      </c>
      <c r="I7" s="348">
        <v>8760</v>
      </c>
      <c r="J7" s="299" t="s">
        <v>426</v>
      </c>
      <c r="K7" s="300">
        <f>E7*G7*I7/$C$62/$C$61</f>
        <v>919.77219047619064</v>
      </c>
      <c r="L7" s="301" t="s">
        <v>497</v>
      </c>
      <c r="M7" s="340"/>
    </row>
    <row r="8" spans="1:20" x14ac:dyDescent="0.2">
      <c r="A8" s="293">
        <v>2</v>
      </c>
      <c r="B8" s="294" t="s">
        <v>427</v>
      </c>
      <c r="C8" s="294" t="s">
        <v>425</v>
      </c>
      <c r="D8" s="273" t="s">
        <v>511</v>
      </c>
      <c r="E8" s="349">
        <f>$E$7</f>
        <v>13.8048</v>
      </c>
      <c r="F8" s="347" t="s">
        <v>496</v>
      </c>
      <c r="G8" s="297">
        <v>230</v>
      </c>
      <c r="H8" s="296" t="str">
        <f>'2b DU NOx Proposed'!J8</f>
        <v>MMBtu/hr</v>
      </c>
      <c r="I8" s="257">
        <v>8760</v>
      </c>
      <c r="J8" s="303" t="s">
        <v>426</v>
      </c>
      <c r="K8" s="304">
        <f>E8*G8*I8/$C$62/$C$61</f>
        <v>919.77219047619064</v>
      </c>
      <c r="L8" s="305" t="s">
        <v>497</v>
      </c>
    </row>
    <row r="9" spans="1:20" x14ac:dyDescent="0.2">
      <c r="A9" s="293">
        <v>3</v>
      </c>
      <c r="B9" s="294" t="s">
        <v>429</v>
      </c>
      <c r="C9" s="294" t="s">
        <v>425</v>
      </c>
      <c r="D9" s="273" t="s">
        <v>511</v>
      </c>
      <c r="E9" s="349">
        <f t="shared" ref="E9:E12" si="0">$E$7</f>
        <v>13.8048</v>
      </c>
      <c r="F9" s="347" t="s">
        <v>496</v>
      </c>
      <c r="G9" s="297">
        <v>230</v>
      </c>
      <c r="H9" s="296" t="str">
        <f>'2b DU NOx Proposed'!J9</f>
        <v>MMBtu/hr</v>
      </c>
      <c r="I9" s="257">
        <v>8760</v>
      </c>
      <c r="J9" s="303" t="s">
        <v>426</v>
      </c>
      <c r="K9" s="304">
        <f t="shared" ref="K9:K12" si="1">E9*G9*I9/$C$62/$C$61</f>
        <v>919.77219047619064</v>
      </c>
      <c r="L9" s="305" t="s">
        <v>497</v>
      </c>
      <c r="M9" s="306"/>
      <c r="N9" s="307"/>
      <c r="O9" s="307"/>
      <c r="P9" s="307"/>
      <c r="Q9" s="307"/>
      <c r="R9" s="307"/>
      <c r="S9" s="307"/>
      <c r="T9" s="307"/>
    </row>
    <row r="10" spans="1:20" x14ac:dyDescent="0.2">
      <c r="A10" s="293">
        <v>4</v>
      </c>
      <c r="B10" s="294" t="s">
        <v>430</v>
      </c>
      <c r="C10" s="294" t="s">
        <v>425</v>
      </c>
      <c r="D10" s="273" t="s">
        <v>511</v>
      </c>
      <c r="E10" s="349">
        <f t="shared" si="0"/>
        <v>13.8048</v>
      </c>
      <c r="F10" s="347" t="s">
        <v>496</v>
      </c>
      <c r="G10" s="297">
        <v>230</v>
      </c>
      <c r="H10" s="296" t="str">
        <f>'2b DU NOx Proposed'!J10</f>
        <v>MMBtu/hr</v>
      </c>
      <c r="I10" s="257">
        <v>8760</v>
      </c>
      <c r="J10" s="303" t="s">
        <v>426</v>
      </c>
      <c r="K10" s="304">
        <f t="shared" si="1"/>
        <v>919.77219047619064</v>
      </c>
      <c r="L10" s="305" t="s">
        <v>497</v>
      </c>
      <c r="M10" s="306"/>
      <c r="N10" s="307"/>
      <c r="O10" s="307"/>
      <c r="P10" s="307"/>
      <c r="Q10" s="307"/>
      <c r="R10" s="307"/>
      <c r="S10" s="307"/>
      <c r="T10" s="307"/>
    </row>
    <row r="11" spans="1:20" x14ac:dyDescent="0.2">
      <c r="A11" s="293">
        <v>5</v>
      </c>
      <c r="B11" s="294" t="s">
        <v>431</v>
      </c>
      <c r="C11" s="294" t="s">
        <v>425</v>
      </c>
      <c r="D11" s="273" t="s">
        <v>511</v>
      </c>
      <c r="E11" s="349">
        <f t="shared" si="0"/>
        <v>13.8048</v>
      </c>
      <c r="F11" s="347" t="s">
        <v>496</v>
      </c>
      <c r="G11" s="297">
        <v>230</v>
      </c>
      <c r="H11" s="296" t="str">
        <f>'2b DU NOx Proposed'!J11</f>
        <v>MMBtu/hr</v>
      </c>
      <c r="I11" s="257">
        <v>8760</v>
      </c>
      <c r="J11" s="303" t="s">
        <v>426</v>
      </c>
      <c r="K11" s="304">
        <f t="shared" si="1"/>
        <v>919.77219047619064</v>
      </c>
      <c r="L11" s="305" t="s">
        <v>497</v>
      </c>
      <c r="N11" s="308"/>
    </row>
    <row r="12" spans="1:20" x14ac:dyDescent="0.2">
      <c r="A12" s="293">
        <v>6</v>
      </c>
      <c r="B12" s="294" t="s">
        <v>432</v>
      </c>
      <c r="C12" s="294" t="s">
        <v>425</v>
      </c>
      <c r="D12" s="273" t="s">
        <v>511</v>
      </c>
      <c r="E12" s="349">
        <f t="shared" si="0"/>
        <v>13.8048</v>
      </c>
      <c r="F12" s="347" t="s">
        <v>496</v>
      </c>
      <c r="G12" s="297">
        <v>230</v>
      </c>
      <c r="H12" s="296" t="str">
        <f>'2b DU NOx Proposed'!J12</f>
        <v>MMBtu/hr</v>
      </c>
      <c r="I12" s="257">
        <v>8760</v>
      </c>
      <c r="J12" s="303" t="s">
        <v>426</v>
      </c>
      <c r="K12" s="304">
        <f t="shared" si="1"/>
        <v>919.77219047619064</v>
      </c>
      <c r="L12" s="305" t="s">
        <v>497</v>
      </c>
      <c r="N12" s="308"/>
    </row>
    <row r="13" spans="1:20" x14ac:dyDescent="0.2">
      <c r="A13" s="293" t="s">
        <v>53</v>
      </c>
      <c r="B13" s="294" t="s">
        <v>433</v>
      </c>
      <c r="C13" s="294" t="s">
        <v>49</v>
      </c>
      <c r="D13" s="1249" t="s">
        <v>512</v>
      </c>
      <c r="E13" s="1250"/>
      <c r="F13" s="1250"/>
      <c r="G13" s="297">
        <v>13150</v>
      </c>
      <c r="H13" s="350" t="s">
        <v>117</v>
      </c>
      <c r="I13" s="257">
        <v>8760</v>
      </c>
      <c r="J13" s="303" t="s">
        <v>426</v>
      </c>
      <c r="K13" s="351">
        <f>'5 Coal Prep 7a 7b 7c'!K7</f>
        <v>0.29960734017517815</v>
      </c>
      <c r="L13" s="352" t="s">
        <v>497</v>
      </c>
      <c r="M13" s="340"/>
      <c r="N13" s="307"/>
      <c r="O13" s="307"/>
      <c r="P13" s="307"/>
      <c r="Q13" s="307"/>
      <c r="R13" s="307"/>
      <c r="S13" s="307"/>
      <c r="T13" s="307"/>
    </row>
    <row r="14" spans="1:20" x14ac:dyDescent="0.2">
      <c r="A14" s="293" t="s">
        <v>54</v>
      </c>
      <c r="B14" s="294" t="s">
        <v>436</v>
      </c>
      <c r="C14" s="294" t="s">
        <v>49</v>
      </c>
      <c r="D14" s="1249" t="s">
        <v>512</v>
      </c>
      <c r="E14" s="1250"/>
      <c r="F14" s="1250"/>
      <c r="G14" s="297">
        <v>884</v>
      </c>
      <c r="H14" s="350" t="s">
        <v>117</v>
      </c>
      <c r="I14" s="257">
        <v>8760</v>
      </c>
      <c r="J14" s="303" t="s">
        <v>426</v>
      </c>
      <c r="K14" s="351">
        <f>'5 Coal Prep 7a 7b 7c'!K8</f>
        <v>7.3406484135872564E-3</v>
      </c>
      <c r="L14" s="352" t="s">
        <v>497</v>
      </c>
      <c r="M14" s="340"/>
      <c r="N14" s="307"/>
      <c r="O14" s="307"/>
      <c r="P14" s="307"/>
      <c r="Q14" s="307"/>
      <c r="R14" s="307"/>
      <c r="S14" s="307"/>
      <c r="T14" s="307"/>
    </row>
    <row r="15" spans="1:20" x14ac:dyDescent="0.2">
      <c r="A15" s="293" t="s">
        <v>55</v>
      </c>
      <c r="B15" s="294" t="s">
        <v>438</v>
      </c>
      <c r="C15" s="294" t="s">
        <v>49</v>
      </c>
      <c r="D15" s="1249" t="s">
        <v>512</v>
      </c>
      <c r="E15" s="1250"/>
      <c r="F15" s="1250"/>
      <c r="G15" s="297">
        <v>9250</v>
      </c>
      <c r="H15" s="350" t="s">
        <v>117</v>
      </c>
      <c r="I15" s="257">
        <v>8760</v>
      </c>
      <c r="J15" s="303" t="s">
        <v>426</v>
      </c>
      <c r="K15" s="351">
        <f>'5 Coal Prep 7a 7b 7c'!K9</f>
        <v>3.4564987580946782E-2</v>
      </c>
      <c r="L15" s="352" t="s">
        <v>497</v>
      </c>
      <c r="M15" s="340"/>
      <c r="N15" s="307"/>
      <c r="O15" s="307"/>
      <c r="P15" s="307"/>
      <c r="Q15" s="307"/>
      <c r="R15" s="307"/>
      <c r="S15" s="307"/>
      <c r="T15" s="307"/>
    </row>
    <row r="16" spans="1:20" x14ac:dyDescent="0.2">
      <c r="A16" s="293">
        <v>8</v>
      </c>
      <c r="B16" s="294" t="s">
        <v>67</v>
      </c>
      <c r="C16" s="294" t="s">
        <v>441</v>
      </c>
      <c r="D16" s="269" t="s">
        <v>499</v>
      </c>
      <c r="E16" s="353">
        <v>2.5999999999999999E-2</v>
      </c>
      <c r="F16" s="302" t="s">
        <v>165</v>
      </c>
      <c r="G16" s="297">
        <v>2937</v>
      </c>
      <c r="H16" s="316" t="s">
        <v>113</v>
      </c>
      <c r="I16" s="257">
        <v>8760</v>
      </c>
      <c r="J16" s="314" t="s">
        <v>426</v>
      </c>
      <c r="K16" s="304">
        <f>E16/C60*G16*I16/$C$61</f>
        <v>0.73735793650793646</v>
      </c>
      <c r="L16" s="352" t="s">
        <v>497</v>
      </c>
      <c r="M16" s="306"/>
      <c r="N16" s="307"/>
      <c r="O16" s="307"/>
      <c r="P16" s="307"/>
      <c r="Q16" s="307"/>
      <c r="R16" s="307"/>
      <c r="S16" s="307"/>
      <c r="T16" s="307"/>
    </row>
    <row r="17" spans="1:20" x14ac:dyDescent="0.2">
      <c r="A17" s="293">
        <v>9</v>
      </c>
      <c r="B17" s="294" t="s">
        <v>443</v>
      </c>
      <c r="C17" s="294" t="s">
        <v>441</v>
      </c>
      <c r="D17" s="269" t="s">
        <v>500</v>
      </c>
      <c r="E17" s="354">
        <v>2.2000000000000001E-3</v>
      </c>
      <c r="F17" s="302" t="s">
        <v>501</v>
      </c>
      <c r="G17" s="297">
        <v>352.89473684210526</v>
      </c>
      <c r="H17" s="316" t="s">
        <v>113</v>
      </c>
      <c r="I17" s="257">
        <v>8760</v>
      </c>
      <c r="J17" s="314" t="s">
        <v>426</v>
      </c>
      <c r="K17" s="304">
        <f t="shared" ref="K17:K44" si="2">E17*G17*I17/$C$61</f>
        <v>3.4004936842105264</v>
      </c>
      <c r="L17" s="352" t="s">
        <v>497</v>
      </c>
      <c r="M17" s="306"/>
      <c r="N17" s="307"/>
      <c r="O17" s="307"/>
      <c r="P17" s="307"/>
      <c r="Q17" s="307"/>
      <c r="R17" s="307"/>
      <c r="S17" s="307"/>
      <c r="T17" s="307"/>
    </row>
    <row r="18" spans="1:20" s="284" customFormat="1" x14ac:dyDescent="0.2">
      <c r="A18" s="293">
        <v>10</v>
      </c>
      <c r="B18" s="294" t="s">
        <v>443</v>
      </c>
      <c r="C18" s="294" t="s">
        <v>441</v>
      </c>
      <c r="D18" s="242" t="s">
        <v>502</v>
      </c>
      <c r="E18" s="355">
        <v>6.9999999999999999E-4</v>
      </c>
      <c r="F18" s="302" t="s">
        <v>501</v>
      </c>
      <c r="G18" s="297">
        <v>762</v>
      </c>
      <c r="H18" s="316" t="s">
        <v>113</v>
      </c>
      <c r="I18" s="257">
        <v>8760</v>
      </c>
      <c r="J18" s="314" t="s">
        <v>426</v>
      </c>
      <c r="K18" s="304">
        <f t="shared" si="2"/>
        <v>2.3362919999999998</v>
      </c>
      <c r="L18" s="352" t="s">
        <v>497</v>
      </c>
      <c r="N18" s="319"/>
    </row>
    <row r="19" spans="1:20" x14ac:dyDescent="0.2">
      <c r="A19" s="293">
        <v>11</v>
      </c>
      <c r="B19" s="294" t="s">
        <v>443</v>
      </c>
      <c r="C19" s="294" t="s">
        <v>441</v>
      </c>
      <c r="D19" s="242" t="s">
        <v>502</v>
      </c>
      <c r="E19" s="355">
        <v>6.9999999999999999E-4</v>
      </c>
      <c r="F19" s="302" t="s">
        <v>501</v>
      </c>
      <c r="G19" s="297">
        <v>762</v>
      </c>
      <c r="H19" s="316" t="s">
        <v>113</v>
      </c>
      <c r="I19" s="257">
        <v>8760</v>
      </c>
      <c r="J19" s="314" t="s">
        <v>426</v>
      </c>
      <c r="K19" s="304">
        <f t="shared" si="2"/>
        <v>2.3362919999999998</v>
      </c>
      <c r="L19" s="352" t="s">
        <v>497</v>
      </c>
      <c r="N19" s="320"/>
    </row>
    <row r="20" spans="1:20" x14ac:dyDescent="0.2">
      <c r="A20" s="293">
        <v>12</v>
      </c>
      <c r="B20" s="294" t="s">
        <v>443</v>
      </c>
      <c r="C20" s="294" t="s">
        <v>441</v>
      </c>
      <c r="D20" s="269" t="s">
        <v>500</v>
      </c>
      <c r="E20" s="354">
        <v>2.2000000000000001E-3</v>
      </c>
      <c r="F20" s="302" t="s">
        <v>501</v>
      </c>
      <c r="G20" s="297">
        <v>82</v>
      </c>
      <c r="H20" s="316" t="s">
        <v>113</v>
      </c>
      <c r="I20" s="257">
        <v>8760</v>
      </c>
      <c r="J20" s="314" t="s">
        <v>426</v>
      </c>
      <c r="K20" s="304">
        <f t="shared" si="2"/>
        <v>0.79015200000000008</v>
      </c>
      <c r="L20" s="352" t="s">
        <v>497</v>
      </c>
      <c r="N20" s="320"/>
    </row>
    <row r="21" spans="1:20" x14ac:dyDescent="0.2">
      <c r="A21" s="293">
        <v>13</v>
      </c>
      <c r="B21" s="294" t="s">
        <v>443</v>
      </c>
      <c r="C21" s="294" t="s">
        <v>441</v>
      </c>
      <c r="D21" s="269" t="s">
        <v>500</v>
      </c>
      <c r="E21" s="354">
        <v>2.2000000000000001E-3</v>
      </c>
      <c r="F21" s="302" t="s">
        <v>501</v>
      </c>
      <c r="G21" s="297">
        <v>587</v>
      </c>
      <c r="H21" s="316" t="s">
        <v>113</v>
      </c>
      <c r="I21" s="257">
        <v>8760</v>
      </c>
      <c r="J21" s="314" t="s">
        <v>426</v>
      </c>
      <c r="K21" s="304">
        <f t="shared" si="2"/>
        <v>5.6563319999999999</v>
      </c>
      <c r="L21" s="352" t="s">
        <v>497</v>
      </c>
      <c r="N21" s="320"/>
    </row>
    <row r="22" spans="1:20" x14ac:dyDescent="0.2">
      <c r="A22" s="293">
        <v>14</v>
      </c>
      <c r="B22" s="294" t="s">
        <v>443</v>
      </c>
      <c r="C22" s="294" t="s">
        <v>441</v>
      </c>
      <c r="D22" s="269" t="s">
        <v>500</v>
      </c>
      <c r="E22" s="354">
        <v>2.2000000000000001E-3</v>
      </c>
      <c r="F22" s="302" t="s">
        <v>501</v>
      </c>
      <c r="G22" s="297">
        <v>320</v>
      </c>
      <c r="H22" s="316" t="s">
        <v>113</v>
      </c>
      <c r="I22" s="257">
        <v>8760</v>
      </c>
      <c r="J22" s="314" t="s">
        <v>426</v>
      </c>
      <c r="K22" s="304">
        <f t="shared" si="2"/>
        <v>3.0835200000000005</v>
      </c>
      <c r="L22" s="352" t="s">
        <v>497</v>
      </c>
      <c r="N22" s="320"/>
    </row>
    <row r="23" spans="1:20" x14ac:dyDescent="0.2">
      <c r="A23" s="293">
        <v>15</v>
      </c>
      <c r="B23" s="294" t="s">
        <v>443</v>
      </c>
      <c r="C23" s="294" t="s">
        <v>441</v>
      </c>
      <c r="D23" s="242" t="s">
        <v>502</v>
      </c>
      <c r="E23" s="355">
        <v>6.9999999999999999E-4</v>
      </c>
      <c r="F23" s="302" t="s">
        <v>501</v>
      </c>
      <c r="G23" s="297">
        <v>1058.6842105263158</v>
      </c>
      <c r="H23" s="316" t="s">
        <v>113</v>
      </c>
      <c r="I23" s="257">
        <v>8760</v>
      </c>
      <c r="J23" s="314" t="s">
        <v>426</v>
      </c>
      <c r="K23" s="304">
        <f t="shared" si="2"/>
        <v>3.2459257894736844</v>
      </c>
      <c r="L23" s="352" t="s">
        <v>497</v>
      </c>
      <c r="N23" s="320"/>
    </row>
    <row r="24" spans="1:20" x14ac:dyDescent="0.2">
      <c r="A24" s="293">
        <v>16</v>
      </c>
      <c r="B24" s="294" t="s">
        <v>443</v>
      </c>
      <c r="C24" s="294" t="s">
        <v>441</v>
      </c>
      <c r="D24" s="269" t="s">
        <v>500</v>
      </c>
      <c r="E24" s="354">
        <v>2.2000000000000001E-3</v>
      </c>
      <c r="F24" s="302" t="s">
        <v>501</v>
      </c>
      <c r="G24" s="297">
        <v>211.73684210526318</v>
      </c>
      <c r="H24" s="316" t="s">
        <v>113</v>
      </c>
      <c r="I24" s="257">
        <v>8760</v>
      </c>
      <c r="J24" s="314" t="s">
        <v>426</v>
      </c>
      <c r="K24" s="304">
        <f t="shared" si="2"/>
        <v>2.040296210526316</v>
      </c>
      <c r="L24" s="352" t="s">
        <v>497</v>
      </c>
      <c r="N24" s="320"/>
    </row>
    <row r="25" spans="1:20" x14ac:dyDescent="0.2">
      <c r="A25" s="293">
        <v>17</v>
      </c>
      <c r="B25" s="294" t="s">
        <v>443</v>
      </c>
      <c r="C25" s="294" t="s">
        <v>441</v>
      </c>
      <c r="D25" s="269" t="s">
        <v>500</v>
      </c>
      <c r="E25" s="354">
        <v>2.2000000000000001E-3</v>
      </c>
      <c r="F25" s="302" t="s">
        <v>501</v>
      </c>
      <c r="G25" s="297">
        <v>176.44736842105263</v>
      </c>
      <c r="H25" s="316" t="s">
        <v>113</v>
      </c>
      <c r="I25" s="257">
        <v>8760</v>
      </c>
      <c r="J25" s="314" t="s">
        <v>426</v>
      </c>
      <c r="K25" s="304">
        <f t="shared" si="2"/>
        <v>1.7002468421052632</v>
      </c>
      <c r="L25" s="352" t="s">
        <v>497</v>
      </c>
      <c r="N25" s="320"/>
    </row>
    <row r="26" spans="1:20" x14ac:dyDescent="0.2">
      <c r="A26" s="293">
        <v>18</v>
      </c>
      <c r="B26" s="294" t="s">
        <v>443</v>
      </c>
      <c r="C26" s="294" t="s">
        <v>441</v>
      </c>
      <c r="D26" s="269" t="s">
        <v>500</v>
      </c>
      <c r="E26" s="354">
        <v>2.2000000000000001E-3</v>
      </c>
      <c r="F26" s="302" t="s">
        <v>501</v>
      </c>
      <c r="G26" s="297">
        <v>211.73684210526318</v>
      </c>
      <c r="H26" s="316" t="s">
        <v>113</v>
      </c>
      <c r="I26" s="257">
        <v>8760</v>
      </c>
      <c r="J26" s="314" t="s">
        <v>426</v>
      </c>
      <c r="K26" s="304">
        <f t="shared" si="2"/>
        <v>2.040296210526316</v>
      </c>
      <c r="L26" s="352" t="s">
        <v>497</v>
      </c>
      <c r="N26" s="320"/>
    </row>
    <row r="27" spans="1:20" x14ac:dyDescent="0.2">
      <c r="A27" s="293">
        <v>19</v>
      </c>
      <c r="B27" s="294" t="s">
        <v>443</v>
      </c>
      <c r="C27" s="294" t="s">
        <v>441</v>
      </c>
      <c r="D27" s="269" t="s">
        <v>500</v>
      </c>
      <c r="E27" s="354">
        <v>2.2000000000000001E-3</v>
      </c>
      <c r="F27" s="302" t="s">
        <v>501</v>
      </c>
      <c r="G27" s="297">
        <v>70.578947368421055</v>
      </c>
      <c r="H27" s="316" t="s">
        <v>113</v>
      </c>
      <c r="I27" s="257">
        <v>8760</v>
      </c>
      <c r="J27" s="314" t="s">
        <v>426</v>
      </c>
      <c r="K27" s="304">
        <f t="shared" si="2"/>
        <v>0.68009873684210542</v>
      </c>
      <c r="L27" s="352" t="s">
        <v>497</v>
      </c>
      <c r="N27" s="320"/>
    </row>
    <row r="28" spans="1:20" x14ac:dyDescent="0.2">
      <c r="A28" s="293">
        <v>20</v>
      </c>
      <c r="B28" s="294" t="s">
        <v>443</v>
      </c>
      <c r="C28" s="294" t="s">
        <v>441</v>
      </c>
      <c r="D28" s="269" t="s">
        <v>500</v>
      </c>
      <c r="E28" s="354">
        <v>2.2000000000000001E-3</v>
      </c>
      <c r="F28" s="302" t="s">
        <v>501</v>
      </c>
      <c r="G28" s="297">
        <v>35.289473684210527</v>
      </c>
      <c r="H28" s="316" t="s">
        <v>113</v>
      </c>
      <c r="I28" s="257">
        <v>8760</v>
      </c>
      <c r="J28" s="314" t="s">
        <v>426</v>
      </c>
      <c r="K28" s="304">
        <f t="shared" si="2"/>
        <v>0.34004936842105271</v>
      </c>
      <c r="L28" s="352" t="s">
        <v>497</v>
      </c>
      <c r="N28" s="320"/>
    </row>
    <row r="29" spans="1:20" x14ac:dyDescent="0.2">
      <c r="A29" s="293">
        <v>21</v>
      </c>
      <c r="B29" s="294" t="s">
        <v>443</v>
      </c>
      <c r="C29" s="294" t="s">
        <v>441</v>
      </c>
      <c r="D29" s="269" t="s">
        <v>500</v>
      </c>
      <c r="E29" s="354">
        <v>2.2000000000000001E-3</v>
      </c>
      <c r="F29" s="302" t="s">
        <v>501</v>
      </c>
      <c r="G29" s="297">
        <v>95</v>
      </c>
      <c r="H29" s="316" t="s">
        <v>113</v>
      </c>
      <c r="I29" s="257">
        <v>8760</v>
      </c>
      <c r="J29" s="314" t="s">
        <v>426</v>
      </c>
      <c r="K29" s="304">
        <f t="shared" si="2"/>
        <v>0.91542000000000012</v>
      </c>
      <c r="L29" s="352" t="s">
        <v>497</v>
      </c>
      <c r="N29" s="320"/>
    </row>
    <row r="30" spans="1:20" x14ac:dyDescent="0.2">
      <c r="A30" s="293">
        <v>22</v>
      </c>
      <c r="B30" s="294" t="s">
        <v>443</v>
      </c>
      <c r="C30" s="294" t="s">
        <v>441</v>
      </c>
      <c r="D30" s="269" t="s">
        <v>500</v>
      </c>
      <c r="E30" s="354">
        <v>2.2000000000000001E-3</v>
      </c>
      <c r="F30" s="302" t="s">
        <v>501</v>
      </c>
      <c r="G30" s="297">
        <v>35.289473684210527</v>
      </c>
      <c r="H30" s="316" t="s">
        <v>113</v>
      </c>
      <c r="I30" s="257">
        <v>8760</v>
      </c>
      <c r="J30" s="314" t="s">
        <v>426</v>
      </c>
      <c r="K30" s="304">
        <f t="shared" si="2"/>
        <v>0.34004936842105271</v>
      </c>
      <c r="L30" s="352" t="s">
        <v>497</v>
      </c>
      <c r="N30" s="320"/>
    </row>
    <row r="31" spans="1:20" x14ac:dyDescent="0.2">
      <c r="A31" s="293">
        <v>23</v>
      </c>
      <c r="B31" s="294" t="s">
        <v>443</v>
      </c>
      <c r="C31" s="294" t="s">
        <v>441</v>
      </c>
      <c r="D31" s="269" t="s">
        <v>500</v>
      </c>
      <c r="E31" s="354">
        <v>2.2000000000000001E-3</v>
      </c>
      <c r="F31" s="302" t="s">
        <v>501</v>
      </c>
      <c r="G31" s="297">
        <v>155.27368421052631</v>
      </c>
      <c r="H31" s="316" t="s">
        <v>113</v>
      </c>
      <c r="I31" s="257">
        <v>8760</v>
      </c>
      <c r="J31" s="314" t="s">
        <v>426</v>
      </c>
      <c r="K31" s="304">
        <f t="shared" si="2"/>
        <v>1.4962172210526317</v>
      </c>
      <c r="L31" s="352" t="s">
        <v>497</v>
      </c>
      <c r="N31" s="320"/>
    </row>
    <row r="32" spans="1:20" x14ac:dyDescent="0.2">
      <c r="A32" s="293">
        <v>24</v>
      </c>
      <c r="B32" s="294" t="s">
        <v>443</v>
      </c>
      <c r="C32" s="294" t="s">
        <v>441</v>
      </c>
      <c r="D32" s="269" t="s">
        <v>500</v>
      </c>
      <c r="E32" s="354">
        <v>2.2000000000000001E-3</v>
      </c>
      <c r="F32" s="302" t="s">
        <v>501</v>
      </c>
      <c r="G32" s="297">
        <v>50</v>
      </c>
      <c r="H32" s="316" t="s">
        <v>113</v>
      </c>
      <c r="I32" s="257">
        <v>8760</v>
      </c>
      <c r="J32" s="314" t="s">
        <v>426</v>
      </c>
      <c r="K32" s="304">
        <f t="shared" si="2"/>
        <v>0.48180000000000001</v>
      </c>
      <c r="L32" s="352" t="s">
        <v>497</v>
      </c>
      <c r="N32" s="320"/>
    </row>
    <row r="33" spans="1:14" x14ac:dyDescent="0.2">
      <c r="A33" s="293">
        <v>25</v>
      </c>
      <c r="B33" s="294" t="s">
        <v>443</v>
      </c>
      <c r="C33" s="294" t="s">
        <v>441</v>
      </c>
      <c r="D33" s="269" t="s">
        <v>500</v>
      </c>
      <c r="E33" s="354">
        <v>2.2000000000000001E-3</v>
      </c>
      <c r="F33" s="302" t="s">
        <v>501</v>
      </c>
      <c r="G33" s="297">
        <v>18.350526315789473</v>
      </c>
      <c r="H33" s="316" t="s">
        <v>113</v>
      </c>
      <c r="I33" s="257">
        <v>8760</v>
      </c>
      <c r="J33" s="314" t="s">
        <v>426</v>
      </c>
      <c r="K33" s="304">
        <f t="shared" si="2"/>
        <v>0.17682567157894738</v>
      </c>
      <c r="L33" s="352" t="s">
        <v>497</v>
      </c>
      <c r="N33" s="320"/>
    </row>
    <row r="34" spans="1:14" x14ac:dyDescent="0.2">
      <c r="A34" s="293">
        <v>26</v>
      </c>
      <c r="B34" s="294" t="s">
        <v>443</v>
      </c>
      <c r="C34" s="294" t="s">
        <v>441</v>
      </c>
      <c r="D34" s="269" t="s">
        <v>500</v>
      </c>
      <c r="E34" s="354">
        <v>2.2000000000000001E-3</v>
      </c>
      <c r="F34" s="302" t="s">
        <v>501</v>
      </c>
      <c r="G34" s="297">
        <v>68</v>
      </c>
      <c r="H34" s="316" t="s">
        <v>113</v>
      </c>
      <c r="I34" s="257">
        <v>8760</v>
      </c>
      <c r="J34" s="314" t="s">
        <v>426</v>
      </c>
      <c r="K34" s="304">
        <f t="shared" si="2"/>
        <v>0.65524800000000005</v>
      </c>
      <c r="L34" s="352" t="s">
        <v>497</v>
      </c>
      <c r="N34" s="320"/>
    </row>
    <row r="35" spans="1:14" x14ac:dyDescent="0.2">
      <c r="A35" s="293">
        <v>27</v>
      </c>
      <c r="B35" s="294" t="s">
        <v>443</v>
      </c>
      <c r="C35" s="294" t="s">
        <v>441</v>
      </c>
      <c r="D35" s="269" t="s">
        <v>500</v>
      </c>
      <c r="E35" s="354">
        <v>2.2000000000000001E-3</v>
      </c>
      <c r="F35" s="302" t="s">
        <v>501</v>
      </c>
      <c r="G35" s="297">
        <v>274</v>
      </c>
      <c r="H35" s="316" t="s">
        <v>113</v>
      </c>
      <c r="I35" s="257">
        <v>8760</v>
      </c>
      <c r="J35" s="314" t="s">
        <v>426</v>
      </c>
      <c r="K35" s="304">
        <f t="shared" si="2"/>
        <v>2.6402640000000002</v>
      </c>
      <c r="L35" s="352" t="s">
        <v>497</v>
      </c>
      <c r="N35" s="320"/>
    </row>
    <row r="36" spans="1:14" x14ac:dyDescent="0.2">
      <c r="A36" s="293">
        <v>28</v>
      </c>
      <c r="B36" s="294" t="s">
        <v>443</v>
      </c>
      <c r="C36" s="294" t="s">
        <v>441</v>
      </c>
      <c r="D36" s="269" t="s">
        <v>500</v>
      </c>
      <c r="E36" s="354">
        <v>2.2000000000000001E-3</v>
      </c>
      <c r="F36" s="302" t="s">
        <v>501</v>
      </c>
      <c r="G36" s="297">
        <v>274</v>
      </c>
      <c r="H36" s="316" t="s">
        <v>113</v>
      </c>
      <c r="I36" s="257">
        <v>8760</v>
      </c>
      <c r="J36" s="314" t="s">
        <v>426</v>
      </c>
      <c r="K36" s="304">
        <f t="shared" si="2"/>
        <v>2.6402640000000002</v>
      </c>
      <c r="L36" s="352" t="s">
        <v>497</v>
      </c>
      <c r="N36" s="320"/>
    </row>
    <row r="37" spans="1:14" x14ac:dyDescent="0.2">
      <c r="A37" s="293">
        <v>29</v>
      </c>
      <c r="B37" s="294" t="s">
        <v>460</v>
      </c>
      <c r="C37" s="294" t="s">
        <v>441</v>
      </c>
      <c r="D37" s="269" t="s">
        <v>500</v>
      </c>
      <c r="E37" s="354">
        <v>2.2000000000000001E-3</v>
      </c>
      <c r="F37" s="302" t="s">
        <v>501</v>
      </c>
      <c r="G37" s="297">
        <v>75</v>
      </c>
      <c r="H37" s="316" t="s">
        <v>113</v>
      </c>
      <c r="I37" s="257">
        <v>8760</v>
      </c>
      <c r="J37" s="314" t="s">
        <v>426</v>
      </c>
      <c r="K37" s="304">
        <f t="shared" si="2"/>
        <v>0.72270000000000001</v>
      </c>
      <c r="L37" s="352" t="s">
        <v>497</v>
      </c>
      <c r="N37" s="320"/>
    </row>
    <row r="38" spans="1:14" x14ac:dyDescent="0.2">
      <c r="A38" s="293">
        <v>30</v>
      </c>
      <c r="B38" s="294" t="s">
        <v>460</v>
      </c>
      <c r="C38" s="294" t="s">
        <v>441</v>
      </c>
      <c r="D38" s="269" t="s">
        <v>500</v>
      </c>
      <c r="E38" s="354">
        <v>2.2000000000000001E-3</v>
      </c>
      <c r="F38" s="302" t="s">
        <v>501</v>
      </c>
      <c r="G38" s="297">
        <v>75</v>
      </c>
      <c r="H38" s="316" t="s">
        <v>113</v>
      </c>
      <c r="I38" s="257">
        <v>8760</v>
      </c>
      <c r="J38" s="314" t="s">
        <v>426</v>
      </c>
      <c r="K38" s="304">
        <f t="shared" si="2"/>
        <v>0.72270000000000001</v>
      </c>
      <c r="L38" s="352" t="s">
        <v>497</v>
      </c>
      <c r="N38" s="320"/>
    </row>
    <row r="39" spans="1:14" x14ac:dyDescent="0.2">
      <c r="A39" s="293">
        <v>31</v>
      </c>
      <c r="B39" s="294" t="s">
        <v>460</v>
      </c>
      <c r="C39" s="294" t="s">
        <v>441</v>
      </c>
      <c r="D39" s="269" t="s">
        <v>500</v>
      </c>
      <c r="E39" s="354">
        <v>2.2000000000000001E-3</v>
      </c>
      <c r="F39" s="302" t="s">
        <v>501</v>
      </c>
      <c r="G39" s="297">
        <v>75</v>
      </c>
      <c r="H39" s="316" t="s">
        <v>113</v>
      </c>
      <c r="I39" s="257">
        <v>8760</v>
      </c>
      <c r="J39" s="314" t="s">
        <v>426</v>
      </c>
      <c r="K39" s="304">
        <f t="shared" si="2"/>
        <v>0.72270000000000001</v>
      </c>
      <c r="L39" s="352" t="s">
        <v>497</v>
      </c>
      <c r="N39" s="320"/>
    </row>
    <row r="40" spans="1:14" x14ac:dyDescent="0.2">
      <c r="A40" s="293">
        <v>32</v>
      </c>
      <c r="B40" s="294" t="s">
        <v>460</v>
      </c>
      <c r="C40" s="294" t="s">
        <v>441</v>
      </c>
      <c r="D40" s="269" t="s">
        <v>500</v>
      </c>
      <c r="E40" s="354">
        <v>2.2000000000000001E-3</v>
      </c>
      <c r="F40" s="302" t="s">
        <v>501</v>
      </c>
      <c r="G40" s="297">
        <v>75</v>
      </c>
      <c r="H40" s="316" t="s">
        <v>113</v>
      </c>
      <c r="I40" s="257">
        <v>8760</v>
      </c>
      <c r="J40" s="314" t="s">
        <v>426</v>
      </c>
      <c r="K40" s="304">
        <f t="shared" si="2"/>
        <v>0.72270000000000001</v>
      </c>
      <c r="L40" s="352" t="s">
        <v>497</v>
      </c>
      <c r="N40" s="320"/>
    </row>
    <row r="41" spans="1:14" x14ac:dyDescent="0.2">
      <c r="A41" s="293">
        <v>33</v>
      </c>
      <c r="B41" s="294" t="s">
        <v>460</v>
      </c>
      <c r="C41" s="294" t="s">
        <v>441</v>
      </c>
      <c r="D41" s="269" t="s">
        <v>500</v>
      </c>
      <c r="E41" s="354">
        <v>2.2000000000000001E-3</v>
      </c>
      <c r="F41" s="302" t="s">
        <v>501</v>
      </c>
      <c r="G41" s="297">
        <v>75</v>
      </c>
      <c r="H41" s="316" t="s">
        <v>113</v>
      </c>
      <c r="I41" s="257">
        <v>8760</v>
      </c>
      <c r="J41" s="314" t="s">
        <v>426</v>
      </c>
      <c r="K41" s="304">
        <f t="shared" si="2"/>
        <v>0.72270000000000001</v>
      </c>
      <c r="L41" s="352" t="s">
        <v>497</v>
      </c>
      <c r="N41" s="320"/>
    </row>
    <row r="42" spans="1:14" x14ac:dyDescent="0.2">
      <c r="A42" s="293">
        <v>34</v>
      </c>
      <c r="B42" s="294" t="s">
        <v>463</v>
      </c>
      <c r="C42" s="294" t="s">
        <v>441</v>
      </c>
      <c r="D42" s="269" t="s">
        <v>500</v>
      </c>
      <c r="E42" s="354">
        <v>2.2000000000000001E-3</v>
      </c>
      <c r="F42" s="302" t="s">
        <v>501</v>
      </c>
      <c r="G42" s="297">
        <v>220</v>
      </c>
      <c r="H42" s="316" t="s">
        <v>113</v>
      </c>
      <c r="I42" s="257">
        <v>8760</v>
      </c>
      <c r="J42" s="314" t="s">
        <v>426</v>
      </c>
      <c r="K42" s="304">
        <f t="shared" si="2"/>
        <v>2.11992</v>
      </c>
      <c r="L42" s="352" t="s">
        <v>497</v>
      </c>
      <c r="N42" s="320"/>
    </row>
    <row r="43" spans="1:14" x14ac:dyDescent="0.2">
      <c r="A43" s="293">
        <v>35</v>
      </c>
      <c r="B43" s="294" t="s">
        <v>463</v>
      </c>
      <c r="C43" s="294" t="s">
        <v>441</v>
      </c>
      <c r="D43" s="269" t="s">
        <v>500</v>
      </c>
      <c r="E43" s="354">
        <v>2.2000000000000001E-3</v>
      </c>
      <c r="F43" s="302" t="s">
        <v>501</v>
      </c>
      <c r="G43" s="297">
        <v>85</v>
      </c>
      <c r="H43" s="316" t="s">
        <v>113</v>
      </c>
      <c r="I43" s="257">
        <v>8760</v>
      </c>
      <c r="J43" s="314" t="s">
        <v>426</v>
      </c>
      <c r="K43" s="304">
        <f t="shared" si="2"/>
        <v>0.8190599999999999</v>
      </c>
      <c r="L43" s="352" t="s">
        <v>497</v>
      </c>
      <c r="N43" s="320"/>
    </row>
    <row r="44" spans="1:14" x14ac:dyDescent="0.2">
      <c r="A44" s="293">
        <v>36</v>
      </c>
      <c r="B44" s="294" t="s">
        <v>463</v>
      </c>
      <c r="C44" s="294" t="s">
        <v>441</v>
      </c>
      <c r="D44" s="269" t="s">
        <v>500</v>
      </c>
      <c r="E44" s="354">
        <v>2.2000000000000001E-3</v>
      </c>
      <c r="F44" s="302" t="s">
        <v>501</v>
      </c>
      <c r="G44" s="297">
        <v>220</v>
      </c>
      <c r="H44" s="316" t="s">
        <v>113</v>
      </c>
      <c r="I44" s="257">
        <v>8760</v>
      </c>
      <c r="J44" s="314" t="s">
        <v>426</v>
      </c>
      <c r="K44" s="304">
        <f t="shared" si="2"/>
        <v>2.11992</v>
      </c>
      <c r="L44" s="352" t="s">
        <v>497</v>
      </c>
      <c r="N44" s="320"/>
    </row>
    <row r="45" spans="1:14" x14ac:dyDescent="0.2">
      <c r="A45" s="293" t="s">
        <v>56</v>
      </c>
      <c r="B45" s="294" t="s">
        <v>467</v>
      </c>
      <c r="C45" s="294" t="s">
        <v>49</v>
      </c>
      <c r="D45" s="1247" t="s">
        <v>513</v>
      </c>
      <c r="E45" s="1248"/>
      <c r="F45" s="1248"/>
      <c r="G45" s="297">
        <v>3620</v>
      </c>
      <c r="H45" s="356" t="s">
        <v>117</v>
      </c>
      <c r="I45" s="257">
        <v>8760</v>
      </c>
      <c r="J45" s="314" t="s">
        <v>426</v>
      </c>
      <c r="K45" s="357">
        <f>'7 DU Ash Handling'!K7</f>
        <v>1.1762603823614182</v>
      </c>
      <c r="L45" s="358" t="s">
        <v>497</v>
      </c>
      <c r="M45" s="340"/>
      <c r="N45" s="320"/>
    </row>
    <row r="46" spans="1:14" x14ac:dyDescent="0.2">
      <c r="A46" s="293" t="s">
        <v>57</v>
      </c>
      <c r="B46" s="294" t="s">
        <v>469</v>
      </c>
      <c r="C46" s="294" t="s">
        <v>49</v>
      </c>
      <c r="D46" s="1247" t="s">
        <v>513</v>
      </c>
      <c r="E46" s="1248"/>
      <c r="F46" s="1248"/>
      <c r="G46" s="297">
        <v>3620</v>
      </c>
      <c r="H46" s="356" t="s">
        <v>117</v>
      </c>
      <c r="I46" s="257">
        <v>8760</v>
      </c>
      <c r="J46" s="314" t="s">
        <v>426</v>
      </c>
      <c r="K46" s="357">
        <f>'7 DU Ash Handling'!K8</f>
        <v>1.1762603823614182</v>
      </c>
      <c r="L46" s="358" t="s">
        <v>497</v>
      </c>
      <c r="N46" s="320"/>
    </row>
    <row r="47" spans="1:14" x14ac:dyDescent="0.2">
      <c r="A47" s="293">
        <v>52</v>
      </c>
      <c r="B47" s="294" t="s">
        <v>470</v>
      </c>
      <c r="C47" s="294" t="s">
        <v>49</v>
      </c>
      <c r="D47" s="1247" t="s">
        <v>514</v>
      </c>
      <c r="E47" s="1248"/>
      <c r="F47" s="1248"/>
      <c r="G47" s="1240" t="s">
        <v>49</v>
      </c>
      <c r="H47" s="1251"/>
      <c r="I47" s="257">
        <v>180643.5</v>
      </c>
      <c r="J47" s="359" t="s">
        <v>497</v>
      </c>
      <c r="K47" s="357">
        <f>'6 DU Coal Pile'!L14</f>
        <v>3.2245931156696117</v>
      </c>
      <c r="L47" s="358" t="s">
        <v>497</v>
      </c>
      <c r="N47" s="320"/>
    </row>
    <row r="48" spans="1:14" ht="17.25" thickBot="1" x14ac:dyDescent="0.35">
      <c r="A48" s="1218" t="s">
        <v>515</v>
      </c>
      <c r="B48" s="1219"/>
      <c r="C48" s="1219"/>
      <c r="D48" s="1219"/>
      <c r="E48" s="1219"/>
      <c r="F48" s="1219"/>
      <c r="G48" s="1219"/>
      <c r="H48" s="1219"/>
      <c r="I48" s="1219"/>
      <c r="J48" s="1220"/>
      <c r="K48" s="325">
        <f>SUM(K7:K47)</f>
        <v>5570.9576107533721</v>
      </c>
      <c r="L48" s="326" t="s">
        <v>497</v>
      </c>
    </row>
    <row r="49" spans="1:12" ht="15.75" thickBot="1" x14ac:dyDescent="0.3">
      <c r="A49" s="1213" t="s">
        <v>471</v>
      </c>
      <c r="B49" s="1214"/>
      <c r="C49" s="1214"/>
      <c r="D49" s="1214"/>
      <c r="E49" s="1214"/>
      <c r="F49" s="1214"/>
      <c r="G49" s="1214"/>
      <c r="H49" s="1214"/>
      <c r="I49" s="1214"/>
      <c r="J49" s="1214"/>
      <c r="K49" s="1214"/>
      <c r="L49" s="1215"/>
    </row>
    <row r="50" spans="1:12" ht="15" thickTop="1" x14ac:dyDescent="0.2">
      <c r="A50" s="293" t="s">
        <v>49</v>
      </c>
      <c r="B50" s="294" t="s">
        <v>472</v>
      </c>
      <c r="C50" s="294" t="s">
        <v>49</v>
      </c>
      <c r="D50" s="1247" t="s">
        <v>513</v>
      </c>
      <c r="E50" s="1248"/>
      <c r="F50" s="1248"/>
      <c r="G50" s="297">
        <v>1460</v>
      </c>
      <c r="H50" s="360" t="s">
        <v>117</v>
      </c>
      <c r="I50" s="257">
        <v>8760</v>
      </c>
      <c r="J50" s="314" t="s">
        <v>426</v>
      </c>
      <c r="K50" s="361">
        <f>'7 DU Ash Handling'!K10</f>
        <v>0.47440335863195315</v>
      </c>
      <c r="L50" s="329" t="s">
        <v>497</v>
      </c>
    </row>
    <row r="51" spans="1:12" x14ac:dyDescent="0.2">
      <c r="A51" s="293" t="s">
        <v>49</v>
      </c>
      <c r="B51" s="294" t="s">
        <v>474</v>
      </c>
      <c r="C51" s="294" t="s">
        <v>49</v>
      </c>
      <c r="D51" s="1247" t="s">
        <v>513</v>
      </c>
      <c r="E51" s="1248"/>
      <c r="F51" s="1248"/>
      <c r="G51" s="1240" t="s">
        <v>49</v>
      </c>
      <c r="H51" s="1241"/>
      <c r="I51" s="257">
        <v>67959.523809523816</v>
      </c>
      <c r="J51" s="359" t="s">
        <v>497</v>
      </c>
      <c r="K51" s="362">
        <f>'7 DU Ash Handling'!K11</f>
        <v>4.2840000000000005E-3</v>
      </c>
      <c r="L51" s="330" t="s">
        <v>497</v>
      </c>
    </row>
    <row r="52" spans="1:12" x14ac:dyDescent="0.2">
      <c r="A52" s="293" t="s">
        <v>49</v>
      </c>
      <c r="B52" s="294" t="s">
        <v>476</v>
      </c>
      <c r="C52" s="294" t="s">
        <v>478</v>
      </c>
      <c r="D52" s="363" t="s">
        <v>49</v>
      </c>
      <c r="E52" s="1252" t="s">
        <v>49</v>
      </c>
      <c r="F52" s="1253"/>
      <c r="G52" s="1240" t="s">
        <v>49</v>
      </c>
      <c r="H52" s="1241"/>
      <c r="I52" s="1254" t="s">
        <v>49</v>
      </c>
      <c r="J52" s="1255"/>
      <c r="K52" s="364">
        <v>0</v>
      </c>
      <c r="L52" s="330" t="s">
        <v>497</v>
      </c>
    </row>
    <row r="53" spans="1:12" x14ac:dyDescent="0.2">
      <c r="A53" s="293" t="s">
        <v>49</v>
      </c>
      <c r="B53" s="294" t="s">
        <v>479</v>
      </c>
      <c r="C53" s="294" t="s">
        <v>478</v>
      </c>
      <c r="D53" s="363" t="s">
        <v>49</v>
      </c>
      <c r="E53" s="1252" t="s">
        <v>49</v>
      </c>
      <c r="F53" s="1253"/>
      <c r="G53" s="1240" t="s">
        <v>49</v>
      </c>
      <c r="H53" s="1241"/>
      <c r="I53" s="1254" t="s">
        <v>49</v>
      </c>
      <c r="J53" s="1255"/>
      <c r="K53" s="364">
        <v>0</v>
      </c>
      <c r="L53" s="330" t="s">
        <v>497</v>
      </c>
    </row>
    <row r="54" spans="1:12" ht="16.5" x14ac:dyDescent="0.3">
      <c r="A54" s="1234" t="s">
        <v>516</v>
      </c>
      <c r="B54" s="1235"/>
      <c r="C54" s="1235"/>
      <c r="D54" s="1235"/>
      <c r="E54" s="1235"/>
      <c r="F54" s="1235"/>
      <c r="G54" s="1235"/>
      <c r="H54" s="1235"/>
      <c r="I54" s="1235"/>
      <c r="J54" s="1236"/>
      <c r="K54" s="365">
        <f>SUM(K50:K53)</f>
        <v>0.47868735863195316</v>
      </c>
      <c r="L54" s="332" t="s">
        <v>497</v>
      </c>
    </row>
    <row r="55" spans="1:12" s="374" customFormat="1" ht="15" x14ac:dyDescent="0.25">
      <c r="A55" s="366"/>
      <c r="B55" s="367"/>
      <c r="C55" s="367"/>
      <c r="D55" s="367"/>
      <c r="E55" s="368"/>
      <c r="F55" s="368"/>
      <c r="G55" s="369"/>
      <c r="H55" s="368"/>
      <c r="I55" s="370"/>
      <c r="J55" s="371"/>
      <c r="K55" s="372"/>
      <c r="L55" s="373"/>
    </row>
    <row r="56" spans="1:12" s="374" customFormat="1" ht="17.25" thickBot="1" x14ac:dyDescent="0.35">
      <c r="A56" s="1218" t="s">
        <v>517</v>
      </c>
      <c r="B56" s="1219"/>
      <c r="C56" s="1219"/>
      <c r="D56" s="1219"/>
      <c r="E56" s="1219"/>
      <c r="F56" s="1219"/>
      <c r="G56" s="1219"/>
      <c r="H56" s="1219"/>
      <c r="I56" s="1219"/>
      <c r="J56" s="1220"/>
      <c r="K56" s="333">
        <f>SUM(K48,K54)</f>
        <v>5571.4362981120039</v>
      </c>
      <c r="L56" s="326" t="s">
        <v>497</v>
      </c>
    </row>
    <row r="57" spans="1:12" ht="15" x14ac:dyDescent="0.25">
      <c r="A57" s="122"/>
      <c r="B57" s="283"/>
      <c r="C57" s="283"/>
      <c r="D57" s="283"/>
      <c r="E57" s="283"/>
      <c r="F57" s="283"/>
      <c r="G57" s="283"/>
      <c r="H57" s="283"/>
      <c r="I57" s="283"/>
      <c r="J57" s="335"/>
      <c r="K57" s="336"/>
      <c r="L57" s="337"/>
    </row>
    <row r="58" spans="1:12" x14ac:dyDescent="0.2">
      <c r="A58" s="287"/>
    </row>
    <row r="59" spans="1:12" x14ac:dyDescent="0.2">
      <c r="A59" s="125" t="s">
        <v>483</v>
      </c>
    </row>
    <row r="60" spans="1:12" x14ac:dyDescent="0.2">
      <c r="B60" s="338" t="s">
        <v>503</v>
      </c>
      <c r="C60" s="375">
        <v>453.6</v>
      </c>
      <c r="D60" s="125" t="s">
        <v>504</v>
      </c>
    </row>
    <row r="61" spans="1:12" x14ac:dyDescent="0.2">
      <c r="B61" s="338" t="s">
        <v>503</v>
      </c>
      <c r="C61" s="339">
        <v>2000</v>
      </c>
      <c r="D61" s="125" t="s">
        <v>496</v>
      </c>
    </row>
    <row r="62" spans="1:12" x14ac:dyDescent="0.2">
      <c r="B62" s="338" t="s">
        <v>505</v>
      </c>
      <c r="C62" s="341">
        <f>7560*C61/1000000</f>
        <v>15.12</v>
      </c>
      <c r="D62" s="66" t="s">
        <v>506</v>
      </c>
      <c r="E62" s="342" t="s">
        <v>507</v>
      </c>
    </row>
    <row r="63" spans="1:12" x14ac:dyDescent="0.2">
      <c r="D63" s="66"/>
    </row>
    <row r="64" spans="1:12" x14ac:dyDescent="0.2">
      <c r="D64" s="66"/>
    </row>
    <row r="65" spans="4:4" x14ac:dyDescent="0.2">
      <c r="D65" s="66"/>
    </row>
    <row r="66" spans="4:4" x14ac:dyDescent="0.2">
      <c r="D66" s="66"/>
    </row>
    <row r="67" spans="4:4" x14ac:dyDescent="0.2">
      <c r="D67" s="66"/>
    </row>
    <row r="68" spans="4:4" x14ac:dyDescent="0.2">
      <c r="D68" s="66"/>
    </row>
    <row r="69" spans="4:4" x14ac:dyDescent="0.2">
      <c r="D69" s="66"/>
    </row>
    <row r="70" spans="4:4" x14ac:dyDescent="0.2">
      <c r="D70" s="66"/>
    </row>
    <row r="71" spans="4:4" x14ac:dyDescent="0.2">
      <c r="D71" s="66"/>
    </row>
    <row r="72" spans="4:4" x14ac:dyDescent="0.2">
      <c r="D72" s="66"/>
    </row>
    <row r="73" spans="4:4" x14ac:dyDescent="0.2">
      <c r="D73" s="66"/>
    </row>
    <row r="74" spans="4:4" x14ac:dyDescent="0.2">
      <c r="D74" s="66"/>
    </row>
    <row r="75" spans="4:4" x14ac:dyDescent="0.2">
      <c r="D75" s="66"/>
    </row>
    <row r="76" spans="4:4" x14ac:dyDescent="0.2">
      <c r="D76" s="66"/>
    </row>
    <row r="77" spans="4:4" x14ac:dyDescent="0.2">
      <c r="D77" s="66"/>
    </row>
    <row r="78" spans="4:4" x14ac:dyDescent="0.2">
      <c r="D78" s="66"/>
    </row>
    <row r="79" spans="4:4" x14ac:dyDescent="0.2">
      <c r="D79" s="66"/>
    </row>
    <row r="80" spans="4:4" x14ac:dyDescent="0.2">
      <c r="D80" s="66"/>
    </row>
    <row r="81" spans="4:4" x14ac:dyDescent="0.2">
      <c r="D81" s="66"/>
    </row>
    <row r="82" spans="4:4" x14ac:dyDescent="0.2">
      <c r="D82" s="66"/>
    </row>
    <row r="83" spans="4:4" x14ac:dyDescent="0.2">
      <c r="D83" s="66"/>
    </row>
    <row r="84" spans="4:4" x14ac:dyDescent="0.2">
      <c r="D84" s="66"/>
    </row>
    <row r="85" spans="4:4" x14ac:dyDescent="0.2">
      <c r="D85" s="66"/>
    </row>
    <row r="86" spans="4:4" x14ac:dyDescent="0.2">
      <c r="D86" s="66"/>
    </row>
    <row r="87" spans="4:4" x14ac:dyDescent="0.2">
      <c r="D87" s="66"/>
    </row>
    <row r="88" spans="4:4" x14ac:dyDescent="0.2">
      <c r="D88" s="66"/>
    </row>
    <row r="89" spans="4:4" x14ac:dyDescent="0.2">
      <c r="D89" s="66"/>
    </row>
    <row r="90" spans="4:4" x14ac:dyDescent="0.2">
      <c r="D90" s="66"/>
    </row>
    <row r="91" spans="4:4" x14ac:dyDescent="0.2">
      <c r="D91" s="66"/>
    </row>
    <row r="92" spans="4:4" x14ac:dyDescent="0.2">
      <c r="D92" s="66"/>
    </row>
    <row r="93" spans="4:4" x14ac:dyDescent="0.2">
      <c r="D93" s="66"/>
    </row>
    <row r="94" spans="4:4" x14ac:dyDescent="0.2">
      <c r="D94" s="66"/>
    </row>
    <row r="95" spans="4:4" x14ac:dyDescent="0.2">
      <c r="D95" s="66"/>
    </row>
    <row r="96" spans="4:4" x14ac:dyDescent="0.2">
      <c r="D96" s="66"/>
    </row>
    <row r="97" spans="4:4" x14ac:dyDescent="0.2">
      <c r="D97" s="66"/>
    </row>
    <row r="98" spans="4:4" x14ac:dyDescent="0.2">
      <c r="D98" s="66"/>
    </row>
    <row r="99" spans="4:4" x14ac:dyDescent="0.2">
      <c r="D99" s="66"/>
    </row>
    <row r="100" spans="4:4" x14ac:dyDescent="0.2">
      <c r="D100" s="66"/>
    </row>
    <row r="101" spans="4:4" x14ac:dyDescent="0.2">
      <c r="D101" s="66"/>
    </row>
    <row r="102" spans="4:4" x14ac:dyDescent="0.2">
      <c r="D102" s="66"/>
    </row>
    <row r="103" spans="4:4" x14ac:dyDescent="0.2">
      <c r="D103" s="66"/>
    </row>
    <row r="104" spans="4:4" x14ac:dyDescent="0.2">
      <c r="D104" s="66"/>
    </row>
    <row r="105" spans="4:4" x14ac:dyDescent="0.2">
      <c r="D105" s="66"/>
    </row>
    <row r="106" spans="4:4" x14ac:dyDescent="0.2">
      <c r="D106" s="66"/>
    </row>
    <row r="107" spans="4:4" x14ac:dyDescent="0.2">
      <c r="D107" s="66"/>
    </row>
    <row r="108" spans="4:4" x14ac:dyDescent="0.2">
      <c r="D108" s="66"/>
    </row>
    <row r="109" spans="4:4" x14ac:dyDescent="0.2">
      <c r="D109" s="66"/>
    </row>
    <row r="110" spans="4:4" x14ac:dyDescent="0.2">
      <c r="D110" s="66"/>
    </row>
    <row r="111" spans="4:4" x14ac:dyDescent="0.2">
      <c r="D111" s="66"/>
    </row>
    <row r="112" spans="4:4" x14ac:dyDescent="0.2">
      <c r="D112" s="66"/>
    </row>
    <row r="113" spans="4:4" x14ac:dyDescent="0.2">
      <c r="D113" s="66"/>
    </row>
    <row r="114" spans="4:4" x14ac:dyDescent="0.2">
      <c r="D114" s="66"/>
    </row>
    <row r="115" spans="4:4" x14ac:dyDescent="0.2">
      <c r="D115" s="66"/>
    </row>
  </sheetData>
  <mergeCells count="28">
    <mergeCell ref="A54:J54"/>
    <mergeCell ref="A56:J56"/>
    <mergeCell ref="E52:F52"/>
    <mergeCell ref="G52:H52"/>
    <mergeCell ref="I52:J52"/>
    <mergeCell ref="E53:F53"/>
    <mergeCell ref="G53:H53"/>
    <mergeCell ref="I53:J53"/>
    <mergeCell ref="D51:F51"/>
    <mergeCell ref="G51:H51"/>
    <mergeCell ref="A6:L6"/>
    <mergeCell ref="D13:F13"/>
    <mergeCell ref="D14:F14"/>
    <mergeCell ref="D15:F15"/>
    <mergeCell ref="D45:F45"/>
    <mergeCell ref="D46:F46"/>
    <mergeCell ref="D47:F47"/>
    <mergeCell ref="G47:H47"/>
    <mergeCell ref="A48:J48"/>
    <mergeCell ref="A49:L49"/>
    <mergeCell ref="D50:F50"/>
    <mergeCell ref="G5:H5"/>
    <mergeCell ref="K5:L5"/>
    <mergeCell ref="A1:L1"/>
    <mergeCell ref="A2:L2"/>
    <mergeCell ref="A4:B4"/>
    <mergeCell ref="G4:H4"/>
    <mergeCell ref="K4:L4"/>
  </mergeCells>
  <printOptions horizontalCentered="1"/>
  <pageMargins left="0.75" right="0.75" top="0.75" bottom="0.92" header="0.75" footer="0.63"/>
  <pageSetup scale="69" fitToHeight="2" orientation="landscape" useFirstPageNumber="1" r:id="rId1"/>
  <headerFooter alignWithMargins="0">
    <oddFooter>&amp;LSection D
Fort Wainwright (Privatized Emission Units)- Doyon Utilities
Operating Permit Renewal Application&amp;CPage D.2-7 Sheet &amp;P&amp;RMay 2013</oddFooter>
  </headerFooter>
  <rowBreaks count="1" manualBreakCount="1">
    <brk id="48"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8"/>
  <sheetViews>
    <sheetView view="pageLayout" zoomScaleNormal="100" zoomScaleSheetLayoutView="100" workbookViewId="0">
      <selection activeCell="G18" sqref="G18"/>
    </sheetView>
  </sheetViews>
  <sheetFormatPr defaultColWidth="9.140625" defaultRowHeight="14.25" x14ac:dyDescent="0.2"/>
  <cols>
    <col min="1" max="1" width="43.140625" style="125" customWidth="1"/>
    <col min="2" max="2" width="16.7109375" style="125" customWidth="1"/>
    <col min="3" max="4" width="16.7109375" style="125" hidden="1" customWidth="1"/>
    <col min="5" max="5" width="16.7109375" style="125" customWidth="1"/>
    <col min="6" max="6" width="16.7109375" style="125" hidden="1" customWidth="1"/>
    <col min="7" max="7" width="16.7109375" style="125" customWidth="1"/>
    <col min="8" max="8" width="11.5703125" style="125" hidden="1" customWidth="1"/>
    <col min="9" max="9" width="16.42578125" style="125" hidden="1" customWidth="1"/>
    <col min="10" max="16384" width="9.140625" style="125"/>
  </cols>
  <sheetData>
    <row r="1" spans="1:13" ht="15.75" x14ac:dyDescent="0.25">
      <c r="A1" s="1002" t="s">
        <v>1002</v>
      </c>
      <c r="B1" s="1002"/>
      <c r="C1" s="1002"/>
      <c r="D1" s="1002"/>
      <c r="E1" s="1002"/>
      <c r="F1" s="1002"/>
      <c r="G1" s="1002"/>
      <c r="H1" s="1002"/>
      <c r="I1" s="1002"/>
    </row>
    <row r="2" spans="1:13" ht="15.75" x14ac:dyDescent="0.25">
      <c r="A2" s="1002" t="s">
        <v>788</v>
      </c>
      <c r="B2" s="1002"/>
      <c r="C2" s="1002"/>
      <c r="D2" s="1002"/>
      <c r="E2" s="1002"/>
      <c r="F2" s="1002"/>
      <c r="G2" s="1002"/>
      <c r="H2" s="1002"/>
      <c r="I2" s="1002"/>
    </row>
    <row r="3" spans="1:13" ht="15" thickBot="1" x14ac:dyDescent="0.25">
      <c r="A3" s="523"/>
      <c r="B3" s="523"/>
      <c r="C3" s="523"/>
      <c r="D3" s="523"/>
      <c r="E3" s="523"/>
      <c r="F3" s="523"/>
      <c r="G3" s="523"/>
    </row>
    <row r="4" spans="1:13" ht="17.25" x14ac:dyDescent="0.25">
      <c r="A4" s="1009" t="s">
        <v>697</v>
      </c>
      <c r="B4" s="1011" t="s">
        <v>698</v>
      </c>
      <c r="C4" s="1011"/>
      <c r="D4" s="1011"/>
      <c r="E4" s="1011"/>
      <c r="F4" s="1011"/>
      <c r="G4" s="1011"/>
      <c r="H4" s="1011"/>
      <c r="I4" s="1012"/>
    </row>
    <row r="5" spans="1:13" ht="18.75" thickBot="1" x14ac:dyDescent="0.35">
      <c r="A5" s="1010"/>
      <c r="B5" s="558" t="s">
        <v>699</v>
      </c>
      <c r="C5" s="558" t="s">
        <v>200</v>
      </c>
      <c r="D5" s="558" t="s">
        <v>700</v>
      </c>
      <c r="E5" s="558" t="s">
        <v>701</v>
      </c>
      <c r="F5" s="558" t="s">
        <v>201</v>
      </c>
      <c r="G5" s="558" t="s">
        <v>702</v>
      </c>
      <c r="H5" s="558" t="s">
        <v>703</v>
      </c>
      <c r="I5" s="972" t="s">
        <v>704</v>
      </c>
    </row>
    <row r="6" spans="1:13" ht="15.75" thickTop="1" x14ac:dyDescent="0.25">
      <c r="A6" s="693" t="s">
        <v>777</v>
      </c>
      <c r="B6" s="973"/>
      <c r="C6" s="973"/>
      <c r="D6" s="973"/>
      <c r="E6" s="973"/>
      <c r="F6" s="973"/>
      <c r="G6" s="973"/>
      <c r="H6" s="973"/>
      <c r="I6" s="974"/>
    </row>
    <row r="7" spans="1:13" ht="15" x14ac:dyDescent="0.25">
      <c r="A7" s="697" t="s">
        <v>146</v>
      </c>
      <c r="B7" s="930">
        <f>'2b DU NOx Proposed'!M7:M12</f>
        <v>990.00000000000011</v>
      </c>
      <c r="C7" s="930"/>
      <c r="D7" s="930"/>
      <c r="E7" s="930">
        <f>'4b DU PM25 Proposed'!M7+'4b DU PM25 Proposed'!M8+'4b DU PM25 Proposed'!M9+'4b DU PM25 Proposed'!M10+'4b DU PM25 Proposed'!M11+'4b DU PM25 Proposed'!M12</f>
        <v>69</v>
      </c>
      <c r="F7" s="930"/>
      <c r="G7" s="930">
        <f>'3b DU  SO2 Proposed'!N7+'3b DU  SO2 Proposed'!N8+'3b DU  SO2 Proposed'!N9+'3b DU  SO2 Proposed'!N10+'3b DU  SO2 Proposed'!N11+'3b DU  SO2 Proposed'!N12</f>
        <v>1050</v>
      </c>
      <c r="H7" s="975"/>
      <c r="I7" s="976"/>
    </row>
    <row r="8" spans="1:13" ht="15" x14ac:dyDescent="0.25">
      <c r="A8" s="697" t="s">
        <v>779</v>
      </c>
      <c r="B8" s="977">
        <f>SUM('2b DU NOx Proposed'!M16:M44)</f>
        <v>32.40296749513147</v>
      </c>
      <c r="C8" s="930"/>
      <c r="D8" s="930"/>
      <c r="E8" s="978">
        <f>SUM('4b DU PM25 Proposed'!M16:M44)</f>
        <v>1.6640415570784215</v>
      </c>
      <c r="F8" s="930"/>
      <c r="G8" s="978">
        <f>SUM('3b DU  SO2 Proposed'!N16:N44)</f>
        <v>0.22293578495774111</v>
      </c>
      <c r="H8" s="975"/>
      <c r="I8" s="976"/>
      <c r="K8" s="849"/>
      <c r="L8" s="849"/>
      <c r="M8" s="849"/>
    </row>
    <row r="9" spans="1:13" ht="15" x14ac:dyDescent="0.25">
      <c r="A9" s="697" t="s">
        <v>778</v>
      </c>
      <c r="B9" s="979">
        <f>'2b DU NOx Proposed'!M13+'2b DU NOx Proposed'!M14+'2b DU NOx Proposed'!M15</f>
        <v>0</v>
      </c>
      <c r="C9" s="930"/>
      <c r="D9" s="930"/>
      <c r="E9" s="977">
        <f>'5 Coal Prep 7a 7b 7c'!M10</f>
        <v>5.1226946425456825E-2</v>
      </c>
      <c r="F9" s="930"/>
      <c r="G9" s="979">
        <f>SUM('3a DU SO2 base case'!N13:N15)</f>
        <v>0</v>
      </c>
      <c r="H9" s="975"/>
      <c r="I9" s="976"/>
      <c r="K9" s="735"/>
      <c r="L9" s="735"/>
      <c r="M9" s="735"/>
    </row>
    <row r="10" spans="1:13" ht="15" x14ac:dyDescent="0.25">
      <c r="A10" s="697" t="s">
        <v>780</v>
      </c>
      <c r="B10" s="993">
        <f>'2b DU NOx Proposed'!M45+'2b DU NOx Proposed'!M46+'2b DU NOx Proposed'!M47</f>
        <v>0</v>
      </c>
      <c r="C10" s="929"/>
      <c r="D10" s="929"/>
      <c r="E10" s="994">
        <f>'7 DU Ash Handling'!M12</f>
        <v>0.42468121850321844</v>
      </c>
      <c r="F10" s="929"/>
      <c r="G10" s="995">
        <f>'3a DU SO2 base case'!N45+'3a DU SO2 base case'!N46+'3a DU SO2 base case'!N47</f>
        <v>0</v>
      </c>
      <c r="H10" s="975"/>
      <c r="I10" s="976"/>
      <c r="K10" s="735"/>
      <c r="L10" s="735"/>
      <c r="M10" s="735"/>
    </row>
    <row r="11" spans="1:13" ht="15.75" thickBot="1" x14ac:dyDescent="0.3">
      <c r="A11" s="992" t="s">
        <v>991</v>
      </c>
      <c r="B11" s="999"/>
      <c r="C11" s="999"/>
      <c r="D11" s="999"/>
      <c r="E11" s="985">
        <v>3.22</v>
      </c>
      <c r="F11" s="999"/>
      <c r="G11" s="999"/>
      <c r="H11" s="975"/>
      <c r="I11" s="976"/>
    </row>
    <row r="12" spans="1:13" ht="15.75" thickTop="1" x14ac:dyDescent="0.25">
      <c r="A12" s="709" t="s">
        <v>786</v>
      </c>
      <c r="B12" s="980">
        <f t="shared" ref="B12:G12" si="0">SUM(B7:B10)</f>
        <v>1022.4029674951316</v>
      </c>
      <c r="C12" s="980">
        <f t="shared" si="0"/>
        <v>0</v>
      </c>
      <c r="D12" s="980">
        <f t="shared" si="0"/>
        <v>0</v>
      </c>
      <c r="E12" s="980">
        <f>SUM(E7:E11)</f>
        <v>74.359949722007102</v>
      </c>
      <c r="F12" s="980">
        <f t="shared" si="0"/>
        <v>0</v>
      </c>
      <c r="G12" s="980">
        <f t="shared" si="0"/>
        <v>1050.2229357849578</v>
      </c>
      <c r="H12" s="975"/>
      <c r="I12" s="976"/>
    </row>
    <row r="13" spans="1:13" ht="15" x14ac:dyDescent="0.25">
      <c r="A13" s="694" t="s">
        <v>789</v>
      </c>
      <c r="B13" s="981"/>
      <c r="C13" s="982"/>
      <c r="D13" s="982"/>
      <c r="E13" s="982"/>
      <c r="F13" s="982"/>
      <c r="G13" s="982"/>
      <c r="H13" s="982"/>
      <c r="I13" s="983"/>
    </row>
    <row r="14" spans="1:13" x14ac:dyDescent="0.2">
      <c r="A14" s="705" t="s">
        <v>783</v>
      </c>
      <c r="B14" s="981">
        <f>'8 Fuel Oil Boiler FWA '!E36</f>
        <v>2.4589739311783103</v>
      </c>
      <c r="C14" s="982"/>
      <c r="D14" s="982"/>
      <c r="E14" s="982">
        <f>'8 Fuel Oil Boiler FWA '!I36</f>
        <v>0.13278459228362879</v>
      </c>
      <c r="F14" s="982"/>
      <c r="G14" s="982">
        <f>'8 Fuel Oil Boiler FWA '!F36</f>
        <v>7.5477516162669449</v>
      </c>
      <c r="H14" s="982"/>
      <c r="I14" s="983"/>
    </row>
    <row r="15" spans="1:13" x14ac:dyDescent="0.2">
      <c r="A15" s="705" t="s">
        <v>790</v>
      </c>
      <c r="B15" s="981">
        <f>'9 Engines FWA PTE'!H44</f>
        <v>14.71275</v>
      </c>
      <c r="C15" s="982"/>
      <c r="D15" s="982"/>
      <c r="E15" s="982">
        <f>'9 Engines FWA PTE'!L44</f>
        <v>0.98890000000000011</v>
      </c>
      <c r="F15" s="982"/>
      <c r="G15" s="982">
        <f>'9 Engines FWA PTE'!I44</f>
        <v>1.0398625000000001</v>
      </c>
      <c r="H15" s="982"/>
      <c r="I15" s="983"/>
    </row>
    <row r="16" spans="1:13" x14ac:dyDescent="0.2">
      <c r="A16" s="705" t="s">
        <v>791</v>
      </c>
      <c r="B16" s="981">
        <f>'10 Emer Gen FWA PTE'!H52</f>
        <v>10.6632957315</v>
      </c>
      <c r="C16" s="982"/>
      <c r="D16" s="982"/>
      <c r="E16" s="982">
        <f>'10 Emer Gen FWA PTE'!L52</f>
        <v>0.20928302906229179</v>
      </c>
      <c r="F16" s="982"/>
      <c r="G16" s="982">
        <f>'10 Emer Gen FWA PTE'!I52</f>
        <v>3.9424455000000003</v>
      </c>
      <c r="H16" s="982"/>
      <c r="I16" s="983"/>
    </row>
    <row r="17" spans="1:10" ht="15" thickBot="1" x14ac:dyDescent="0.25">
      <c r="A17" s="705" t="s">
        <v>832</v>
      </c>
      <c r="B17" s="984">
        <f>'11 Waste Oil Boiler-Criteria(P)'!F34</f>
        <v>0.41610000000000003</v>
      </c>
      <c r="C17" s="985"/>
      <c r="D17" s="985"/>
      <c r="E17" s="984" t="str">
        <f>'11 Waste Oil Boiler-Criteria(P)'!J34</f>
        <v>&lt;0.01</v>
      </c>
      <c r="F17" s="985"/>
      <c r="G17" s="984">
        <f>'11 Waste Oil Boiler-Criteria(P)'!G34</f>
        <v>6.4386000000000001</v>
      </c>
      <c r="H17" s="269"/>
      <c r="I17" s="986"/>
    </row>
    <row r="18" spans="1:10" ht="16.5" thickTop="1" thickBot="1" x14ac:dyDescent="0.3">
      <c r="A18" s="709" t="s">
        <v>786</v>
      </c>
      <c r="B18" s="987">
        <f>SUM(B14:B17)</f>
        <v>28.25111966267831</v>
      </c>
      <c r="C18" s="988"/>
      <c r="D18" s="988"/>
      <c r="E18" s="987">
        <f>SUM(E14:E17)</f>
        <v>1.3309676213459207</v>
      </c>
      <c r="F18" s="988"/>
      <c r="G18" s="987">
        <f>SUM(G14:G17)</f>
        <v>18.968659616266944</v>
      </c>
      <c r="H18" s="989"/>
      <c r="I18" s="990"/>
    </row>
    <row r="19" spans="1:10" ht="16.5" thickTop="1" thickBot="1" x14ac:dyDescent="0.3">
      <c r="A19" s="971" t="s">
        <v>787</v>
      </c>
      <c r="B19" s="708">
        <f>B18+B12</f>
        <v>1050.65408715781</v>
      </c>
      <c r="C19" s="708" t="e">
        <f>SUM(#REF!)</f>
        <v>#REF!</v>
      </c>
      <c r="D19" s="708" t="e">
        <f>SUM(#REF!)</f>
        <v>#REF!</v>
      </c>
      <c r="E19" s="708">
        <f>E18+E12</f>
        <v>75.690917343353021</v>
      </c>
      <c r="F19" s="708" t="e">
        <f>SUM(#REF!)</f>
        <v>#REF!</v>
      </c>
      <c r="G19" s="708">
        <f>G18+G12</f>
        <v>1069.1915954012247</v>
      </c>
      <c r="H19" s="565" t="e">
        <f>SUM(#REF!)</f>
        <v>#REF!</v>
      </c>
      <c r="I19" s="566" t="e">
        <f>SUM(#REF!)</f>
        <v>#REF!</v>
      </c>
    </row>
    <row r="20" spans="1:10" ht="15" x14ac:dyDescent="0.25">
      <c r="A20" s="337"/>
      <c r="B20" s="567"/>
      <c r="C20" s="568"/>
      <c r="D20" s="568"/>
      <c r="E20" s="568"/>
      <c r="F20" s="568"/>
      <c r="G20" s="568"/>
    </row>
    <row r="21" spans="1:10" x14ac:dyDescent="0.2">
      <c r="A21" s="125" t="s">
        <v>239</v>
      </c>
    </row>
    <row r="22" spans="1:10" ht="16.5" x14ac:dyDescent="0.2">
      <c r="A22" s="119" t="s">
        <v>768</v>
      </c>
    </row>
    <row r="23" spans="1:10" ht="16.5" x14ac:dyDescent="0.2">
      <c r="A23" s="119" t="s">
        <v>769</v>
      </c>
    </row>
    <row r="24" spans="1:10" ht="18.75" x14ac:dyDescent="0.35">
      <c r="A24" s="991" t="s">
        <v>990</v>
      </c>
    </row>
    <row r="25" spans="1:10" x14ac:dyDescent="0.2">
      <c r="A25" s="466"/>
    </row>
    <row r="26" spans="1:10" ht="16.5" x14ac:dyDescent="0.2">
      <c r="A26" s="287" t="s">
        <v>705</v>
      </c>
      <c r="B26" s="287"/>
      <c r="C26" s="287"/>
      <c r="D26" s="287"/>
      <c r="E26" s="287"/>
      <c r="F26" s="287"/>
      <c r="G26" s="287"/>
      <c r="J26" s="340"/>
    </row>
    <row r="27" spans="1:10" x14ac:dyDescent="0.2">
      <c r="A27" s="738" t="s">
        <v>706</v>
      </c>
    </row>
    <row r="28" spans="1:10" x14ac:dyDescent="0.2">
      <c r="A28" s="738" t="s">
        <v>707</v>
      </c>
    </row>
  </sheetData>
  <mergeCells count="4">
    <mergeCell ref="A1:I1"/>
    <mergeCell ref="A2:I2"/>
    <mergeCell ref="A4:A5"/>
    <mergeCell ref="B4:I4"/>
  </mergeCells>
  <printOptions horizontalCentered="1"/>
  <pageMargins left="0.75" right="0.75" top="0.75" bottom="0.92" header="0.75" footer="0.63"/>
  <pageSetup scale="81"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T120"/>
  <sheetViews>
    <sheetView view="pageLayout" topLeftCell="A38" zoomScaleNormal="100" zoomScaleSheetLayoutView="100" workbookViewId="0">
      <selection activeCell="I16" sqref="I16"/>
    </sheetView>
  </sheetViews>
  <sheetFormatPr defaultRowHeight="14.25" x14ac:dyDescent="0.2"/>
  <cols>
    <col min="1" max="1" width="9.140625" style="751"/>
    <col min="2" max="2" width="43.7109375" style="751" customWidth="1"/>
    <col min="3" max="3" width="11.7109375" style="751" customWidth="1"/>
    <col min="4" max="4" width="30.7109375" style="751" customWidth="1"/>
    <col min="5" max="5" width="10.5703125" style="751" customWidth="1"/>
    <col min="6" max="6" width="12.5703125" style="751" customWidth="1"/>
    <col min="7" max="7" width="8.42578125" style="751" customWidth="1"/>
    <col min="8" max="8" width="12.140625" style="751" customWidth="1"/>
    <col min="9" max="9" width="11.140625" style="751" customWidth="1"/>
    <col min="10" max="10" width="7" style="751" customWidth="1"/>
    <col min="11" max="11" width="8.85546875" style="753" customWidth="1"/>
    <col min="12" max="12" width="8.7109375" style="751" customWidth="1"/>
    <col min="13" max="13" width="9.140625" style="751"/>
    <col min="14" max="14" width="14.5703125" style="751" customWidth="1"/>
    <col min="15" max="15" width="10" style="751" bestFit="1" customWidth="1"/>
    <col min="16" max="16" width="9.140625" style="751"/>
    <col min="17" max="17" width="10" style="751" bestFit="1" customWidth="1"/>
    <col min="18" max="16384" width="9.140625" style="751"/>
  </cols>
  <sheetData>
    <row r="1" spans="1:20" ht="16.5" x14ac:dyDescent="0.3">
      <c r="A1" s="1161" t="s">
        <v>934</v>
      </c>
      <c r="B1" s="1161"/>
      <c r="C1" s="1161"/>
      <c r="D1" s="1161"/>
      <c r="E1" s="1161"/>
      <c r="F1" s="1161"/>
      <c r="G1" s="1161"/>
      <c r="H1" s="1161"/>
      <c r="I1" s="1161"/>
      <c r="J1" s="1161"/>
      <c r="K1" s="1161"/>
      <c r="L1" s="1161"/>
    </row>
    <row r="2" spans="1:20" ht="15" x14ac:dyDescent="0.25">
      <c r="A2" s="1161" t="s">
        <v>416</v>
      </c>
      <c r="B2" s="1161"/>
      <c r="C2" s="1161"/>
      <c r="D2" s="1161"/>
      <c r="E2" s="1161"/>
      <c r="F2" s="1161"/>
      <c r="G2" s="1161"/>
      <c r="H2" s="1161"/>
      <c r="I2" s="1161"/>
      <c r="J2" s="1161"/>
      <c r="K2" s="1161"/>
      <c r="L2" s="1161"/>
    </row>
    <row r="3" spans="1:20" ht="15.75" thickBot="1" x14ac:dyDescent="0.25">
      <c r="B3" s="752"/>
    </row>
    <row r="4" spans="1:20" ht="16.5" x14ac:dyDescent="0.3">
      <c r="A4" s="1162" t="s">
        <v>417</v>
      </c>
      <c r="B4" s="1163"/>
      <c r="C4" s="754" t="s">
        <v>418</v>
      </c>
      <c r="D4" s="755" t="s">
        <v>488</v>
      </c>
      <c r="E4" s="756" t="s">
        <v>673</v>
      </c>
      <c r="F4" s="756"/>
      <c r="G4" s="1164" t="s">
        <v>417</v>
      </c>
      <c r="H4" s="1164"/>
      <c r="I4" s="757" t="s">
        <v>490</v>
      </c>
      <c r="J4" s="757"/>
      <c r="K4" s="1166" t="s">
        <v>378</v>
      </c>
      <c r="L4" s="1167"/>
    </row>
    <row r="5" spans="1:20" ht="18" x14ac:dyDescent="0.3">
      <c r="A5" s="758" t="s">
        <v>157</v>
      </c>
      <c r="B5" s="759" t="s">
        <v>420</v>
      </c>
      <c r="C5" s="760" t="s">
        <v>421</v>
      </c>
      <c r="D5" s="761" t="s">
        <v>491</v>
      </c>
      <c r="E5" s="762" t="s">
        <v>873</v>
      </c>
      <c r="F5" s="762"/>
      <c r="G5" s="1171" t="s">
        <v>493</v>
      </c>
      <c r="H5" s="1171"/>
      <c r="I5" s="763" t="s">
        <v>494</v>
      </c>
      <c r="J5" s="763"/>
      <c r="K5" s="1173" t="s">
        <v>674</v>
      </c>
      <c r="L5" s="1174"/>
    </row>
    <row r="6" spans="1:20" ht="15.75" thickBot="1" x14ac:dyDescent="0.3">
      <c r="A6" s="1175" t="s">
        <v>422</v>
      </c>
      <c r="B6" s="1176"/>
      <c r="C6" s="1176"/>
      <c r="D6" s="1176"/>
      <c r="E6" s="1176"/>
      <c r="F6" s="1277"/>
      <c r="G6" s="1277"/>
      <c r="H6" s="1277"/>
      <c r="I6" s="1176"/>
      <c r="J6" s="1176"/>
      <c r="K6" s="1176"/>
      <c r="L6" s="1177"/>
    </row>
    <row r="7" spans="1:20" ht="15" customHeight="1" thickTop="1" x14ac:dyDescent="0.2">
      <c r="A7" s="764">
        <v>1</v>
      </c>
      <c r="B7" s="765" t="s">
        <v>423</v>
      </c>
      <c r="C7" s="765" t="s">
        <v>425</v>
      </c>
      <c r="D7" s="1256" t="s">
        <v>929</v>
      </c>
      <c r="E7" s="1259">
        <f>0.04*15.3+(0.02*8.5)</f>
        <v>0.78200000000000003</v>
      </c>
      <c r="F7" s="1262" t="s">
        <v>496</v>
      </c>
      <c r="G7" s="1265">
        <v>230</v>
      </c>
      <c r="H7" s="1280" t="s">
        <v>891</v>
      </c>
      <c r="I7" s="1178">
        <v>336000</v>
      </c>
      <c r="J7" s="1180" t="s">
        <v>747</v>
      </c>
      <c r="K7" s="1278">
        <f>E7*I7/2000</f>
        <v>131.376</v>
      </c>
      <c r="L7" s="1182" t="s">
        <v>497</v>
      </c>
      <c r="M7" s="769"/>
    </row>
    <row r="8" spans="1:20" ht="15" customHeight="1" x14ac:dyDescent="0.2">
      <c r="A8" s="770">
        <v>2</v>
      </c>
      <c r="B8" s="771" t="s">
        <v>427</v>
      </c>
      <c r="C8" s="771" t="s">
        <v>425</v>
      </c>
      <c r="D8" s="1257"/>
      <c r="E8" s="1260"/>
      <c r="F8" s="1263"/>
      <c r="G8" s="1266"/>
      <c r="H8" s="1281"/>
      <c r="I8" s="1179"/>
      <c r="J8" s="1181"/>
      <c r="K8" s="1279"/>
      <c r="L8" s="1183"/>
    </row>
    <row r="9" spans="1:20" ht="14.25" customHeight="1" x14ac:dyDescent="0.2">
      <c r="A9" s="770">
        <v>3</v>
      </c>
      <c r="B9" s="771" t="s">
        <v>429</v>
      </c>
      <c r="C9" s="771" t="s">
        <v>425</v>
      </c>
      <c r="D9" s="1257"/>
      <c r="E9" s="1260"/>
      <c r="F9" s="1263"/>
      <c r="G9" s="1266"/>
      <c r="H9" s="1281"/>
      <c r="I9" s="1179"/>
      <c r="J9" s="1181"/>
      <c r="K9" s="1279"/>
      <c r="L9" s="1183"/>
      <c r="M9" s="775"/>
      <c r="N9" s="776"/>
      <c r="O9" s="776"/>
      <c r="P9" s="776"/>
      <c r="Q9" s="776"/>
      <c r="R9" s="776"/>
      <c r="S9" s="776"/>
      <c r="T9" s="776"/>
    </row>
    <row r="10" spans="1:20" ht="15" customHeight="1" x14ac:dyDescent="0.2">
      <c r="A10" s="770">
        <v>4</v>
      </c>
      <c r="B10" s="771" t="s">
        <v>430</v>
      </c>
      <c r="C10" s="771" t="s">
        <v>425</v>
      </c>
      <c r="D10" s="1257"/>
      <c r="E10" s="1260"/>
      <c r="F10" s="1263"/>
      <c r="G10" s="1266"/>
      <c r="H10" s="1281"/>
      <c r="I10" s="1179"/>
      <c r="J10" s="1181"/>
      <c r="K10" s="1279"/>
      <c r="L10" s="1183"/>
      <c r="M10" s="775"/>
      <c r="N10" s="776"/>
      <c r="O10" s="776"/>
      <c r="P10" s="776"/>
      <c r="Q10" s="776"/>
      <c r="R10" s="776"/>
      <c r="S10" s="776"/>
      <c r="T10" s="776"/>
    </row>
    <row r="11" spans="1:20" ht="15" customHeight="1" x14ac:dyDescent="0.2">
      <c r="A11" s="770">
        <v>5</v>
      </c>
      <c r="B11" s="771" t="s">
        <v>431</v>
      </c>
      <c r="C11" s="771" t="s">
        <v>425</v>
      </c>
      <c r="D11" s="1257"/>
      <c r="E11" s="1260"/>
      <c r="F11" s="1263"/>
      <c r="G11" s="1266"/>
      <c r="H11" s="1281"/>
      <c r="I11" s="1179"/>
      <c r="J11" s="1181"/>
      <c r="K11" s="1279"/>
      <c r="L11" s="1183"/>
      <c r="N11" s="777"/>
    </row>
    <row r="12" spans="1:20" ht="14.25" customHeight="1" x14ac:dyDescent="0.2">
      <c r="A12" s="770">
        <v>6</v>
      </c>
      <c r="B12" s="771" t="s">
        <v>432</v>
      </c>
      <c r="C12" s="771" t="s">
        <v>425</v>
      </c>
      <c r="D12" s="1258"/>
      <c r="E12" s="1261"/>
      <c r="F12" s="1264"/>
      <c r="G12" s="1267"/>
      <c r="H12" s="1282"/>
      <c r="I12" s="1179"/>
      <c r="J12" s="1181"/>
      <c r="K12" s="1279"/>
      <c r="L12" s="1183"/>
      <c r="N12" s="777"/>
    </row>
    <row r="13" spans="1:20" ht="14.25" customHeight="1" x14ac:dyDescent="0.2">
      <c r="A13" s="770" t="s">
        <v>53</v>
      </c>
      <c r="B13" s="771" t="s">
        <v>433</v>
      </c>
      <c r="C13" s="771" t="s">
        <v>49</v>
      </c>
      <c r="D13" s="1268" t="s">
        <v>930</v>
      </c>
      <c r="E13" s="1269"/>
      <c r="F13" s="1270"/>
      <c r="G13" s="773">
        <v>13150</v>
      </c>
      <c r="H13" s="779" t="s">
        <v>117</v>
      </c>
      <c r="I13" s="780">
        <v>2195.1999999999998</v>
      </c>
      <c r="J13" s="781" t="s">
        <v>426</v>
      </c>
      <c r="K13" s="782">
        <v>0.29963463924945377</v>
      </c>
      <c r="L13" s="783" t="s">
        <v>497</v>
      </c>
      <c r="M13" s="775"/>
      <c r="N13" s="776"/>
      <c r="O13" s="776"/>
      <c r="P13" s="776"/>
      <c r="Q13" s="776"/>
      <c r="R13" s="776"/>
      <c r="S13" s="776"/>
      <c r="T13" s="776"/>
    </row>
    <row r="14" spans="1:20" ht="14.25" customHeight="1" x14ac:dyDescent="0.2">
      <c r="A14" s="770" t="s">
        <v>54</v>
      </c>
      <c r="B14" s="771" t="s">
        <v>436</v>
      </c>
      <c r="C14" s="771" t="s">
        <v>49</v>
      </c>
      <c r="D14" s="1271"/>
      <c r="E14" s="1272"/>
      <c r="F14" s="1273"/>
      <c r="G14" s="773">
        <v>884</v>
      </c>
      <c r="H14" s="779" t="s">
        <v>117</v>
      </c>
      <c r="I14" s="780">
        <v>100</v>
      </c>
      <c r="J14" s="781" t="s">
        <v>426</v>
      </c>
      <c r="K14" s="784">
        <v>7.3406484135872564E-3</v>
      </c>
      <c r="L14" s="783" t="s">
        <v>497</v>
      </c>
      <c r="M14" s="775"/>
      <c r="N14" s="776"/>
      <c r="O14" s="776"/>
      <c r="P14" s="776"/>
      <c r="Q14" s="776"/>
      <c r="R14" s="776"/>
      <c r="S14" s="776"/>
      <c r="T14" s="776"/>
    </row>
    <row r="15" spans="1:20" ht="14.25" customHeight="1" x14ac:dyDescent="0.2">
      <c r="A15" s="770" t="s">
        <v>55</v>
      </c>
      <c r="B15" s="771" t="s">
        <v>438</v>
      </c>
      <c r="C15" s="771" t="s">
        <v>49</v>
      </c>
      <c r="D15" s="1274"/>
      <c r="E15" s="1275"/>
      <c r="F15" s="1276"/>
      <c r="G15" s="773">
        <v>9250</v>
      </c>
      <c r="H15" s="779" t="s">
        <v>117</v>
      </c>
      <c r="I15" s="780">
        <v>44.8</v>
      </c>
      <c r="J15" s="781" t="s">
        <v>426</v>
      </c>
      <c r="K15" s="784">
        <v>3.4411365413920349E-2</v>
      </c>
      <c r="L15" s="783" t="s">
        <v>497</v>
      </c>
      <c r="M15" s="775"/>
      <c r="N15" s="776"/>
      <c r="O15" s="776"/>
      <c r="P15" s="776"/>
      <c r="Q15" s="776"/>
      <c r="R15" s="776"/>
      <c r="S15" s="776"/>
      <c r="T15" s="776"/>
    </row>
    <row r="16" spans="1:20" x14ac:dyDescent="0.2">
      <c r="A16" s="770">
        <v>8</v>
      </c>
      <c r="B16" s="771" t="s">
        <v>921</v>
      </c>
      <c r="C16" s="771" t="s">
        <v>441</v>
      </c>
      <c r="D16" s="771" t="s">
        <v>499</v>
      </c>
      <c r="E16" s="785">
        <v>2.5999999999999999E-2</v>
      </c>
      <c r="F16" s="774" t="s">
        <v>165</v>
      </c>
      <c r="G16" s="773">
        <v>2937</v>
      </c>
      <c r="H16" s="779" t="s">
        <v>113</v>
      </c>
      <c r="I16" s="780">
        <v>500</v>
      </c>
      <c r="J16" s="781" t="s">
        <v>426</v>
      </c>
      <c r="K16" s="784">
        <f>E16/C62*G16*I16/$C$63</f>
        <v>4.2086640211640207E-2</v>
      </c>
      <c r="L16" s="783" t="s">
        <v>497</v>
      </c>
      <c r="M16" s="775"/>
      <c r="N16" s="776"/>
      <c r="O16" s="776"/>
      <c r="P16" s="776"/>
      <c r="Q16" s="776"/>
      <c r="R16" s="776"/>
      <c r="S16" s="776"/>
      <c r="T16" s="776"/>
    </row>
    <row r="17" spans="1:20" x14ac:dyDescent="0.2">
      <c r="A17" s="770">
        <v>9</v>
      </c>
      <c r="B17" s="771" t="s">
        <v>443</v>
      </c>
      <c r="C17" s="771" t="s">
        <v>441</v>
      </c>
      <c r="D17" s="771" t="s">
        <v>500</v>
      </c>
      <c r="E17" s="786">
        <v>2.2000000000000001E-3</v>
      </c>
      <c r="F17" s="774" t="s">
        <v>501</v>
      </c>
      <c r="G17" s="773">
        <v>352.89473684210526</v>
      </c>
      <c r="H17" s="779" t="s">
        <v>113</v>
      </c>
      <c r="I17" s="864">
        <v>500</v>
      </c>
      <c r="J17" s="781" t="s">
        <v>426</v>
      </c>
      <c r="K17" s="784">
        <f t="shared" ref="K17:K44" si="0">E17*G17*I17/$C$63</f>
        <v>0.1940921052631579</v>
      </c>
      <c r="L17" s="783" t="s">
        <v>497</v>
      </c>
      <c r="M17" s="775"/>
      <c r="N17" s="776"/>
      <c r="O17" s="776"/>
      <c r="P17" s="776"/>
      <c r="Q17" s="776"/>
      <c r="R17" s="776"/>
      <c r="S17" s="776"/>
      <c r="T17" s="776"/>
    </row>
    <row r="18" spans="1:20" s="789" customFormat="1" x14ac:dyDescent="0.2">
      <c r="A18" s="770">
        <v>10</v>
      </c>
      <c r="B18" s="771" t="s">
        <v>443</v>
      </c>
      <c r="C18" s="771" t="s">
        <v>441</v>
      </c>
      <c r="D18" s="787" t="s">
        <v>502</v>
      </c>
      <c r="E18" s="788">
        <v>6.9999999999999999E-4</v>
      </c>
      <c r="F18" s="774" t="s">
        <v>501</v>
      </c>
      <c r="G18" s="773">
        <v>762</v>
      </c>
      <c r="H18" s="779" t="s">
        <v>113</v>
      </c>
      <c r="I18" s="864">
        <v>500</v>
      </c>
      <c r="J18" s="781" t="s">
        <v>426</v>
      </c>
      <c r="K18" s="784">
        <f t="shared" si="0"/>
        <v>0.13335</v>
      </c>
      <c r="L18" s="783" t="s">
        <v>497</v>
      </c>
      <c r="N18" s="790"/>
    </row>
    <row r="19" spans="1:20" x14ac:dyDescent="0.2">
      <c r="A19" s="770">
        <v>11</v>
      </c>
      <c r="B19" s="771" t="s">
        <v>443</v>
      </c>
      <c r="C19" s="771" t="s">
        <v>441</v>
      </c>
      <c r="D19" s="787" t="s">
        <v>502</v>
      </c>
      <c r="E19" s="788">
        <v>6.9999999999999999E-4</v>
      </c>
      <c r="F19" s="774" t="s">
        <v>501</v>
      </c>
      <c r="G19" s="773">
        <v>762</v>
      </c>
      <c r="H19" s="779" t="s">
        <v>113</v>
      </c>
      <c r="I19" s="864">
        <v>500</v>
      </c>
      <c r="J19" s="781" t="s">
        <v>426</v>
      </c>
      <c r="K19" s="784">
        <f t="shared" si="0"/>
        <v>0.13335</v>
      </c>
      <c r="L19" s="783" t="s">
        <v>497</v>
      </c>
      <c r="N19" s="791"/>
    </row>
    <row r="20" spans="1:20" x14ac:dyDescent="0.2">
      <c r="A20" s="770">
        <v>12</v>
      </c>
      <c r="B20" s="771" t="s">
        <v>443</v>
      </c>
      <c r="C20" s="771" t="s">
        <v>441</v>
      </c>
      <c r="D20" s="771" t="s">
        <v>500</v>
      </c>
      <c r="E20" s="786">
        <v>2.2000000000000001E-3</v>
      </c>
      <c r="F20" s="774" t="s">
        <v>501</v>
      </c>
      <c r="G20" s="773">
        <v>82</v>
      </c>
      <c r="H20" s="779" t="s">
        <v>113</v>
      </c>
      <c r="I20" s="864">
        <v>500</v>
      </c>
      <c r="J20" s="781" t="s">
        <v>426</v>
      </c>
      <c r="K20" s="784">
        <f t="shared" si="0"/>
        <v>4.5100000000000001E-2</v>
      </c>
      <c r="L20" s="783" t="s">
        <v>497</v>
      </c>
      <c r="N20" s="791"/>
    </row>
    <row r="21" spans="1:20" x14ac:dyDescent="0.2">
      <c r="A21" s="770">
        <v>13</v>
      </c>
      <c r="B21" s="771" t="s">
        <v>443</v>
      </c>
      <c r="C21" s="771" t="s">
        <v>441</v>
      </c>
      <c r="D21" s="771" t="s">
        <v>500</v>
      </c>
      <c r="E21" s="786">
        <v>2.2000000000000001E-3</v>
      </c>
      <c r="F21" s="774" t="s">
        <v>501</v>
      </c>
      <c r="G21" s="773">
        <v>587</v>
      </c>
      <c r="H21" s="779" t="s">
        <v>113</v>
      </c>
      <c r="I21" s="864">
        <v>500</v>
      </c>
      <c r="J21" s="781" t="s">
        <v>426</v>
      </c>
      <c r="K21" s="784">
        <f t="shared" si="0"/>
        <v>0.32285000000000003</v>
      </c>
      <c r="L21" s="783" t="s">
        <v>497</v>
      </c>
      <c r="N21" s="791"/>
    </row>
    <row r="22" spans="1:20" x14ac:dyDescent="0.2">
      <c r="A22" s="770">
        <v>14</v>
      </c>
      <c r="B22" s="771" t="s">
        <v>443</v>
      </c>
      <c r="C22" s="771" t="s">
        <v>441</v>
      </c>
      <c r="D22" s="771" t="s">
        <v>500</v>
      </c>
      <c r="E22" s="786">
        <v>2.2000000000000001E-3</v>
      </c>
      <c r="F22" s="774" t="s">
        <v>501</v>
      </c>
      <c r="G22" s="773">
        <v>320</v>
      </c>
      <c r="H22" s="779" t="s">
        <v>113</v>
      </c>
      <c r="I22" s="864">
        <v>500</v>
      </c>
      <c r="J22" s="781" t="s">
        <v>426</v>
      </c>
      <c r="K22" s="784">
        <f t="shared" si="0"/>
        <v>0.17600000000000002</v>
      </c>
      <c r="L22" s="783" t="s">
        <v>497</v>
      </c>
      <c r="N22" s="791"/>
    </row>
    <row r="23" spans="1:20" x14ac:dyDescent="0.2">
      <c r="A23" s="770">
        <v>15</v>
      </c>
      <c r="B23" s="771" t="s">
        <v>443</v>
      </c>
      <c r="C23" s="771" t="s">
        <v>441</v>
      </c>
      <c r="D23" s="787" t="s">
        <v>502</v>
      </c>
      <c r="E23" s="788">
        <v>6.9999999999999999E-4</v>
      </c>
      <c r="F23" s="774" t="s">
        <v>501</v>
      </c>
      <c r="G23" s="773">
        <v>1058.6842105263158</v>
      </c>
      <c r="H23" s="779" t="s">
        <v>113</v>
      </c>
      <c r="I23" s="864">
        <v>500</v>
      </c>
      <c r="J23" s="781" t="s">
        <v>426</v>
      </c>
      <c r="K23" s="784">
        <f t="shared" si="0"/>
        <v>0.18526973684210526</v>
      </c>
      <c r="L23" s="783" t="s">
        <v>497</v>
      </c>
      <c r="N23" s="791"/>
    </row>
    <row r="24" spans="1:20" x14ac:dyDescent="0.2">
      <c r="A24" s="770">
        <v>16</v>
      </c>
      <c r="B24" s="771" t="s">
        <v>443</v>
      </c>
      <c r="C24" s="771" t="s">
        <v>441</v>
      </c>
      <c r="D24" s="771" t="s">
        <v>500</v>
      </c>
      <c r="E24" s="786">
        <v>2.2000000000000001E-3</v>
      </c>
      <c r="F24" s="774" t="s">
        <v>501</v>
      </c>
      <c r="G24" s="773">
        <v>211.73684210526318</v>
      </c>
      <c r="H24" s="779" t="s">
        <v>113</v>
      </c>
      <c r="I24" s="864">
        <v>500</v>
      </c>
      <c r="J24" s="781" t="s">
        <v>426</v>
      </c>
      <c r="K24" s="784">
        <f t="shared" si="0"/>
        <v>0.11645526315789476</v>
      </c>
      <c r="L24" s="783" t="s">
        <v>497</v>
      </c>
      <c r="N24" s="791"/>
    </row>
    <row r="25" spans="1:20" x14ac:dyDescent="0.2">
      <c r="A25" s="770">
        <v>17</v>
      </c>
      <c r="B25" s="771" t="s">
        <v>443</v>
      </c>
      <c r="C25" s="771" t="s">
        <v>441</v>
      </c>
      <c r="D25" s="771" t="s">
        <v>500</v>
      </c>
      <c r="E25" s="786">
        <v>2.2000000000000001E-3</v>
      </c>
      <c r="F25" s="774" t="s">
        <v>501</v>
      </c>
      <c r="G25" s="773">
        <v>176.44736842105263</v>
      </c>
      <c r="H25" s="779" t="s">
        <v>113</v>
      </c>
      <c r="I25" s="864">
        <v>500</v>
      </c>
      <c r="J25" s="781" t="s">
        <v>426</v>
      </c>
      <c r="K25" s="784">
        <f t="shared" si="0"/>
        <v>9.704605263157895E-2</v>
      </c>
      <c r="L25" s="783" t="s">
        <v>497</v>
      </c>
      <c r="N25" s="791"/>
    </row>
    <row r="26" spans="1:20" x14ac:dyDescent="0.2">
      <c r="A26" s="770">
        <v>18</v>
      </c>
      <c r="B26" s="771" t="s">
        <v>443</v>
      </c>
      <c r="C26" s="771" t="s">
        <v>441</v>
      </c>
      <c r="D26" s="771" t="s">
        <v>500</v>
      </c>
      <c r="E26" s="786">
        <v>2.2000000000000001E-3</v>
      </c>
      <c r="F26" s="774" t="s">
        <v>501</v>
      </c>
      <c r="G26" s="773">
        <v>211.73684210526318</v>
      </c>
      <c r="H26" s="779" t="s">
        <v>113</v>
      </c>
      <c r="I26" s="864">
        <v>500</v>
      </c>
      <c r="J26" s="781" t="s">
        <v>426</v>
      </c>
      <c r="K26" s="784">
        <f t="shared" si="0"/>
        <v>0.11645526315789476</v>
      </c>
      <c r="L26" s="783" t="s">
        <v>497</v>
      </c>
      <c r="N26" s="791"/>
    </row>
    <row r="27" spans="1:20" x14ac:dyDescent="0.2">
      <c r="A27" s="770">
        <v>19</v>
      </c>
      <c r="B27" s="771" t="s">
        <v>443</v>
      </c>
      <c r="C27" s="771" t="s">
        <v>441</v>
      </c>
      <c r="D27" s="771" t="s">
        <v>500</v>
      </c>
      <c r="E27" s="786">
        <v>2.2000000000000001E-3</v>
      </c>
      <c r="F27" s="774" t="s">
        <v>501</v>
      </c>
      <c r="G27" s="773">
        <v>70.578947368421055</v>
      </c>
      <c r="H27" s="779" t="s">
        <v>113</v>
      </c>
      <c r="I27" s="864">
        <v>500</v>
      </c>
      <c r="J27" s="781" t="s">
        <v>426</v>
      </c>
      <c r="K27" s="784">
        <f t="shared" si="0"/>
        <v>3.8818421052631585E-2</v>
      </c>
      <c r="L27" s="783" t="s">
        <v>497</v>
      </c>
      <c r="N27" s="791"/>
    </row>
    <row r="28" spans="1:20" x14ac:dyDescent="0.2">
      <c r="A28" s="770">
        <v>20</v>
      </c>
      <c r="B28" s="771" t="s">
        <v>443</v>
      </c>
      <c r="C28" s="771" t="s">
        <v>441</v>
      </c>
      <c r="D28" s="771" t="s">
        <v>500</v>
      </c>
      <c r="E28" s="786">
        <v>2.2000000000000001E-3</v>
      </c>
      <c r="F28" s="774" t="s">
        <v>501</v>
      </c>
      <c r="G28" s="773">
        <v>35.289473684210527</v>
      </c>
      <c r="H28" s="779" t="s">
        <v>113</v>
      </c>
      <c r="I28" s="864">
        <v>500</v>
      </c>
      <c r="J28" s="781" t="s">
        <v>426</v>
      </c>
      <c r="K28" s="784">
        <f t="shared" si="0"/>
        <v>1.9409210526315793E-2</v>
      </c>
      <c r="L28" s="783" t="s">
        <v>497</v>
      </c>
      <c r="N28" s="791"/>
    </row>
    <row r="29" spans="1:20" x14ac:dyDescent="0.2">
      <c r="A29" s="770">
        <v>21</v>
      </c>
      <c r="B29" s="771" t="s">
        <v>443</v>
      </c>
      <c r="C29" s="771" t="s">
        <v>441</v>
      </c>
      <c r="D29" s="771" t="s">
        <v>500</v>
      </c>
      <c r="E29" s="786">
        <v>2.2000000000000001E-3</v>
      </c>
      <c r="F29" s="774" t="s">
        <v>501</v>
      </c>
      <c r="G29" s="773">
        <v>95</v>
      </c>
      <c r="H29" s="779" t="s">
        <v>113</v>
      </c>
      <c r="I29" s="864">
        <v>500</v>
      </c>
      <c r="J29" s="781" t="s">
        <v>426</v>
      </c>
      <c r="K29" s="784">
        <f t="shared" si="0"/>
        <v>5.2250000000000005E-2</v>
      </c>
      <c r="L29" s="783" t="s">
        <v>497</v>
      </c>
      <c r="N29" s="791"/>
    </row>
    <row r="30" spans="1:20" x14ac:dyDescent="0.2">
      <c r="A30" s="770">
        <v>22</v>
      </c>
      <c r="B30" s="771" t="s">
        <v>443</v>
      </c>
      <c r="C30" s="771" t="s">
        <v>441</v>
      </c>
      <c r="D30" s="771" t="s">
        <v>500</v>
      </c>
      <c r="E30" s="786">
        <v>2.2000000000000001E-3</v>
      </c>
      <c r="F30" s="774" t="s">
        <v>501</v>
      </c>
      <c r="G30" s="773">
        <v>35.289473684210527</v>
      </c>
      <c r="H30" s="779" t="s">
        <v>113</v>
      </c>
      <c r="I30" s="864">
        <v>500</v>
      </c>
      <c r="J30" s="781" t="s">
        <v>426</v>
      </c>
      <c r="K30" s="784">
        <f t="shared" si="0"/>
        <v>1.9409210526315793E-2</v>
      </c>
      <c r="L30" s="783" t="s">
        <v>497</v>
      </c>
      <c r="N30" s="791"/>
    </row>
    <row r="31" spans="1:20" x14ac:dyDescent="0.2">
      <c r="A31" s="770">
        <v>23</v>
      </c>
      <c r="B31" s="771" t="s">
        <v>443</v>
      </c>
      <c r="C31" s="771" t="s">
        <v>441</v>
      </c>
      <c r="D31" s="771" t="s">
        <v>500</v>
      </c>
      <c r="E31" s="786">
        <v>2.2000000000000001E-3</v>
      </c>
      <c r="F31" s="774" t="s">
        <v>501</v>
      </c>
      <c r="G31" s="773">
        <v>155.27368421052631</v>
      </c>
      <c r="H31" s="779" t="s">
        <v>113</v>
      </c>
      <c r="I31" s="864">
        <v>500</v>
      </c>
      <c r="J31" s="781" t="s">
        <v>426</v>
      </c>
      <c r="K31" s="784">
        <f t="shared" si="0"/>
        <v>8.5400526315789482E-2</v>
      </c>
      <c r="L31" s="783" t="s">
        <v>497</v>
      </c>
      <c r="N31" s="791"/>
    </row>
    <row r="32" spans="1:20" x14ac:dyDescent="0.2">
      <c r="A32" s="770">
        <v>24</v>
      </c>
      <c r="B32" s="771" t="s">
        <v>443</v>
      </c>
      <c r="C32" s="771" t="s">
        <v>441</v>
      </c>
      <c r="D32" s="771" t="s">
        <v>500</v>
      </c>
      <c r="E32" s="786">
        <v>2.2000000000000001E-3</v>
      </c>
      <c r="F32" s="774" t="s">
        <v>501</v>
      </c>
      <c r="G32" s="773">
        <v>50</v>
      </c>
      <c r="H32" s="779" t="s">
        <v>113</v>
      </c>
      <c r="I32" s="864">
        <v>500</v>
      </c>
      <c r="J32" s="781" t="s">
        <v>426</v>
      </c>
      <c r="K32" s="784">
        <f t="shared" si="0"/>
        <v>2.75E-2</v>
      </c>
      <c r="L32" s="783" t="s">
        <v>497</v>
      </c>
      <c r="N32" s="791"/>
    </row>
    <row r="33" spans="1:14" x14ac:dyDescent="0.2">
      <c r="A33" s="770">
        <v>25</v>
      </c>
      <c r="B33" s="771" t="s">
        <v>443</v>
      </c>
      <c r="C33" s="771" t="s">
        <v>441</v>
      </c>
      <c r="D33" s="771" t="s">
        <v>500</v>
      </c>
      <c r="E33" s="786">
        <v>2.2000000000000001E-3</v>
      </c>
      <c r="F33" s="774" t="s">
        <v>501</v>
      </c>
      <c r="G33" s="773">
        <v>18.350526315789473</v>
      </c>
      <c r="H33" s="779" t="s">
        <v>113</v>
      </c>
      <c r="I33" s="864">
        <v>500</v>
      </c>
      <c r="J33" s="781" t="s">
        <v>426</v>
      </c>
      <c r="K33" s="784">
        <f t="shared" si="0"/>
        <v>1.0092789473684211E-2</v>
      </c>
      <c r="L33" s="783" t="s">
        <v>497</v>
      </c>
      <c r="N33" s="791"/>
    </row>
    <row r="34" spans="1:14" x14ac:dyDescent="0.2">
      <c r="A34" s="770">
        <v>26</v>
      </c>
      <c r="B34" s="771" t="s">
        <v>443</v>
      </c>
      <c r="C34" s="771" t="s">
        <v>441</v>
      </c>
      <c r="D34" s="771" t="s">
        <v>500</v>
      </c>
      <c r="E34" s="786">
        <v>2.2000000000000001E-3</v>
      </c>
      <c r="F34" s="774" t="s">
        <v>501</v>
      </c>
      <c r="G34" s="773">
        <v>68</v>
      </c>
      <c r="H34" s="779" t="s">
        <v>113</v>
      </c>
      <c r="I34" s="864">
        <v>500</v>
      </c>
      <c r="J34" s="781" t="s">
        <v>426</v>
      </c>
      <c r="K34" s="784">
        <f t="shared" si="0"/>
        <v>3.7400000000000003E-2</v>
      </c>
      <c r="L34" s="783" t="s">
        <v>497</v>
      </c>
      <c r="N34" s="791"/>
    </row>
    <row r="35" spans="1:14" x14ac:dyDescent="0.2">
      <c r="A35" s="770">
        <v>27</v>
      </c>
      <c r="B35" s="771" t="s">
        <v>443</v>
      </c>
      <c r="C35" s="771" t="s">
        <v>441</v>
      </c>
      <c r="D35" s="771" t="s">
        <v>500</v>
      </c>
      <c r="E35" s="786">
        <v>2.2000000000000001E-3</v>
      </c>
      <c r="F35" s="774" t="s">
        <v>501</v>
      </c>
      <c r="G35" s="773">
        <v>274</v>
      </c>
      <c r="H35" s="779" t="s">
        <v>113</v>
      </c>
      <c r="I35" s="864">
        <v>500</v>
      </c>
      <c r="J35" s="781" t="s">
        <v>426</v>
      </c>
      <c r="K35" s="784">
        <f t="shared" si="0"/>
        <v>0.1507</v>
      </c>
      <c r="L35" s="783" t="s">
        <v>497</v>
      </c>
      <c r="N35" s="791"/>
    </row>
    <row r="36" spans="1:14" x14ac:dyDescent="0.2">
      <c r="A36" s="770">
        <v>28</v>
      </c>
      <c r="B36" s="771" t="s">
        <v>443</v>
      </c>
      <c r="C36" s="771" t="s">
        <v>441</v>
      </c>
      <c r="D36" s="771" t="s">
        <v>500</v>
      </c>
      <c r="E36" s="786">
        <v>2.2000000000000001E-3</v>
      </c>
      <c r="F36" s="774" t="s">
        <v>501</v>
      </c>
      <c r="G36" s="773">
        <v>274</v>
      </c>
      <c r="H36" s="779" t="s">
        <v>113</v>
      </c>
      <c r="I36" s="864">
        <v>500</v>
      </c>
      <c r="J36" s="781" t="s">
        <v>426</v>
      </c>
      <c r="K36" s="784">
        <f t="shared" si="0"/>
        <v>0.1507</v>
      </c>
      <c r="L36" s="783" t="s">
        <v>497</v>
      </c>
      <c r="N36" s="791"/>
    </row>
    <row r="37" spans="1:14" x14ac:dyDescent="0.2">
      <c r="A37" s="770" t="s">
        <v>748</v>
      </c>
      <c r="B37" s="771" t="s">
        <v>460</v>
      </c>
      <c r="C37" s="771" t="s">
        <v>441</v>
      </c>
      <c r="D37" s="771" t="s">
        <v>500</v>
      </c>
      <c r="E37" s="786">
        <v>2.2000000000000001E-3</v>
      </c>
      <c r="F37" s="774" t="s">
        <v>501</v>
      </c>
      <c r="G37" s="773">
        <v>74</v>
      </c>
      <c r="H37" s="779" t="s">
        <v>113</v>
      </c>
      <c r="I37" s="864">
        <v>500</v>
      </c>
      <c r="J37" s="781" t="s">
        <v>426</v>
      </c>
      <c r="K37" s="784">
        <f t="shared" si="0"/>
        <v>4.07E-2</v>
      </c>
      <c r="L37" s="783" t="s">
        <v>497</v>
      </c>
      <c r="N37" s="791"/>
    </row>
    <row r="38" spans="1:14" x14ac:dyDescent="0.2">
      <c r="A38" s="770">
        <v>30</v>
      </c>
      <c r="B38" s="771" t="s">
        <v>460</v>
      </c>
      <c r="C38" s="771" t="s">
        <v>441</v>
      </c>
      <c r="D38" s="771" t="s">
        <v>500</v>
      </c>
      <c r="E38" s="786">
        <v>2.2000000000000001E-3</v>
      </c>
      <c r="F38" s="774" t="s">
        <v>501</v>
      </c>
      <c r="G38" s="773">
        <v>75</v>
      </c>
      <c r="H38" s="779" t="s">
        <v>113</v>
      </c>
      <c r="I38" s="864">
        <v>500</v>
      </c>
      <c r="J38" s="781" t="s">
        <v>426</v>
      </c>
      <c r="K38" s="784">
        <f t="shared" si="0"/>
        <v>4.1250000000000002E-2</v>
      </c>
      <c r="L38" s="783" t="s">
        <v>497</v>
      </c>
      <c r="N38" s="791"/>
    </row>
    <row r="39" spans="1:14" x14ac:dyDescent="0.2">
      <c r="A39" s="770" t="s">
        <v>749</v>
      </c>
      <c r="B39" s="771" t="s">
        <v>460</v>
      </c>
      <c r="C39" s="771" t="s">
        <v>441</v>
      </c>
      <c r="D39" s="771" t="s">
        <v>500</v>
      </c>
      <c r="E39" s="786">
        <v>2.2000000000000001E-3</v>
      </c>
      <c r="F39" s="774" t="s">
        <v>501</v>
      </c>
      <c r="G39" s="773">
        <v>74</v>
      </c>
      <c r="H39" s="779" t="s">
        <v>113</v>
      </c>
      <c r="I39" s="864">
        <v>500</v>
      </c>
      <c r="J39" s="781" t="s">
        <v>426</v>
      </c>
      <c r="K39" s="784">
        <f t="shared" si="0"/>
        <v>4.07E-2</v>
      </c>
      <c r="L39" s="783" t="s">
        <v>497</v>
      </c>
      <c r="N39" s="791"/>
    </row>
    <row r="40" spans="1:14" x14ac:dyDescent="0.2">
      <c r="A40" s="770">
        <v>32</v>
      </c>
      <c r="B40" s="771" t="s">
        <v>460</v>
      </c>
      <c r="C40" s="771" t="s">
        <v>441</v>
      </c>
      <c r="D40" s="771" t="s">
        <v>500</v>
      </c>
      <c r="E40" s="786">
        <v>2.2000000000000001E-3</v>
      </c>
      <c r="F40" s="774" t="s">
        <v>501</v>
      </c>
      <c r="G40" s="773">
        <v>75</v>
      </c>
      <c r="H40" s="779" t="s">
        <v>113</v>
      </c>
      <c r="I40" s="864">
        <v>500</v>
      </c>
      <c r="J40" s="781" t="s">
        <v>426</v>
      </c>
      <c r="K40" s="784">
        <f t="shared" si="0"/>
        <v>4.1250000000000002E-2</v>
      </c>
      <c r="L40" s="783" t="s">
        <v>497</v>
      </c>
      <c r="N40" s="791"/>
    </row>
    <row r="41" spans="1:14" x14ac:dyDescent="0.2">
      <c r="A41" s="770">
        <v>33</v>
      </c>
      <c r="B41" s="771" t="s">
        <v>460</v>
      </c>
      <c r="C41" s="771" t="s">
        <v>441</v>
      </c>
      <c r="D41" s="771" t="s">
        <v>500</v>
      </c>
      <c r="E41" s="786">
        <v>2.2000000000000001E-3</v>
      </c>
      <c r="F41" s="774" t="s">
        <v>501</v>
      </c>
      <c r="G41" s="773">
        <v>75</v>
      </c>
      <c r="H41" s="779" t="s">
        <v>113</v>
      </c>
      <c r="I41" s="864">
        <v>500</v>
      </c>
      <c r="J41" s="781" t="s">
        <v>426</v>
      </c>
      <c r="K41" s="784">
        <f t="shared" si="0"/>
        <v>4.1250000000000002E-2</v>
      </c>
      <c r="L41" s="783" t="s">
        <v>497</v>
      </c>
      <c r="N41" s="791"/>
    </row>
    <row r="42" spans="1:14" x14ac:dyDescent="0.2">
      <c r="A42" s="770">
        <v>34</v>
      </c>
      <c r="B42" s="771" t="s">
        <v>463</v>
      </c>
      <c r="C42" s="771" t="s">
        <v>441</v>
      </c>
      <c r="D42" s="771" t="s">
        <v>500</v>
      </c>
      <c r="E42" s="786">
        <v>2.2000000000000001E-3</v>
      </c>
      <c r="F42" s="774" t="s">
        <v>501</v>
      </c>
      <c r="G42" s="773">
        <v>220</v>
      </c>
      <c r="H42" s="779" t="s">
        <v>113</v>
      </c>
      <c r="I42" s="864">
        <v>500</v>
      </c>
      <c r="J42" s="781" t="s">
        <v>426</v>
      </c>
      <c r="K42" s="784">
        <f t="shared" si="0"/>
        <v>0.12100000000000001</v>
      </c>
      <c r="L42" s="783" t="s">
        <v>497</v>
      </c>
      <c r="N42" s="791"/>
    </row>
    <row r="43" spans="1:14" x14ac:dyDescent="0.2">
      <c r="A43" s="770">
        <v>35</v>
      </c>
      <c r="B43" s="771" t="s">
        <v>463</v>
      </c>
      <c r="C43" s="771" t="s">
        <v>441</v>
      </c>
      <c r="D43" s="771" t="s">
        <v>500</v>
      </c>
      <c r="E43" s="786">
        <v>2.2000000000000001E-3</v>
      </c>
      <c r="F43" s="774" t="s">
        <v>501</v>
      </c>
      <c r="G43" s="773">
        <v>55</v>
      </c>
      <c r="H43" s="779" t="s">
        <v>113</v>
      </c>
      <c r="I43" s="864">
        <v>500</v>
      </c>
      <c r="J43" s="781" t="s">
        <v>426</v>
      </c>
      <c r="K43" s="784">
        <f t="shared" si="0"/>
        <v>3.0250000000000003E-2</v>
      </c>
      <c r="L43" s="783" t="s">
        <v>497</v>
      </c>
      <c r="N43" s="791"/>
    </row>
    <row r="44" spans="1:14" x14ac:dyDescent="0.2">
      <c r="A44" s="770">
        <v>36</v>
      </c>
      <c r="B44" s="771" t="s">
        <v>463</v>
      </c>
      <c r="C44" s="771" t="s">
        <v>441</v>
      </c>
      <c r="D44" s="771" t="s">
        <v>500</v>
      </c>
      <c r="E44" s="786">
        <v>2.2000000000000001E-3</v>
      </c>
      <c r="F44" s="774" t="s">
        <v>501</v>
      </c>
      <c r="G44" s="773">
        <v>220</v>
      </c>
      <c r="H44" s="779" t="s">
        <v>113</v>
      </c>
      <c r="I44" s="864">
        <v>500</v>
      </c>
      <c r="J44" s="781" t="s">
        <v>426</v>
      </c>
      <c r="K44" s="784">
        <f t="shared" si="0"/>
        <v>0.12100000000000001</v>
      </c>
      <c r="L44" s="783" t="s">
        <v>497</v>
      </c>
      <c r="N44" s="791"/>
    </row>
    <row r="45" spans="1:14" x14ac:dyDescent="0.2">
      <c r="A45" s="770" t="s">
        <v>56</v>
      </c>
      <c r="B45" s="771" t="s">
        <v>467</v>
      </c>
      <c r="C45" s="771" t="s">
        <v>49</v>
      </c>
      <c r="D45" s="1284" t="s">
        <v>981</v>
      </c>
      <c r="E45" s="1285"/>
      <c r="F45" s="1286"/>
      <c r="G45" s="773">
        <v>3620</v>
      </c>
      <c r="H45" s="779" t="s">
        <v>117</v>
      </c>
      <c r="I45" s="780">
        <v>4380</v>
      </c>
      <c r="J45" s="779" t="s">
        <v>426</v>
      </c>
      <c r="K45" s="782">
        <v>1.1762603823614182</v>
      </c>
      <c r="L45" s="783" t="s">
        <v>497</v>
      </c>
      <c r="N45" s="791"/>
    </row>
    <row r="46" spans="1:14" x14ac:dyDescent="0.2">
      <c r="A46" s="770" t="s">
        <v>57</v>
      </c>
      <c r="B46" s="771" t="s">
        <v>469</v>
      </c>
      <c r="C46" s="771" t="s">
        <v>49</v>
      </c>
      <c r="D46" s="1287"/>
      <c r="E46" s="1288"/>
      <c r="F46" s="1289"/>
      <c r="G46" s="773">
        <v>3620</v>
      </c>
      <c r="H46" s="779" t="s">
        <v>117</v>
      </c>
      <c r="I46" s="780">
        <v>4380</v>
      </c>
      <c r="J46" s="779" t="s">
        <v>426</v>
      </c>
      <c r="K46" s="782">
        <v>1.1762603823614182</v>
      </c>
      <c r="L46" s="783" t="s">
        <v>497</v>
      </c>
      <c r="N46" s="791"/>
    </row>
    <row r="47" spans="1:14" x14ac:dyDescent="0.2">
      <c r="A47" s="770">
        <v>52</v>
      </c>
      <c r="B47" s="771" t="s">
        <v>470</v>
      </c>
      <c r="C47" s="771" t="s">
        <v>49</v>
      </c>
      <c r="D47" s="1294" t="s">
        <v>982</v>
      </c>
      <c r="E47" s="1294"/>
      <c r="F47" s="1294"/>
      <c r="G47" s="1192" t="s">
        <v>49</v>
      </c>
      <c r="H47" s="1192"/>
      <c r="I47" s="780">
        <v>82049</v>
      </c>
      <c r="J47" s="779" t="s">
        <v>497</v>
      </c>
      <c r="K47" s="782">
        <v>3.22</v>
      </c>
      <c r="L47" s="783" t="s">
        <v>497</v>
      </c>
      <c r="N47" s="791"/>
    </row>
    <row r="48" spans="1:14" ht="17.25" thickBot="1" x14ac:dyDescent="0.35">
      <c r="A48" s="1188" t="s">
        <v>874</v>
      </c>
      <c r="B48" s="1189"/>
      <c r="C48" s="1189"/>
      <c r="D48" s="1189"/>
      <c r="E48" s="1189"/>
      <c r="F48" s="1189"/>
      <c r="G48" s="1189"/>
      <c r="H48" s="1189"/>
      <c r="I48" s="1189"/>
      <c r="J48" s="1189"/>
      <c r="K48" s="792">
        <f>SUM(K7:K47)</f>
        <v>139.92104263695873</v>
      </c>
      <c r="L48" s="793" t="s">
        <v>497</v>
      </c>
    </row>
    <row r="49" spans="1:12" ht="15.75" thickBot="1" x14ac:dyDescent="0.3">
      <c r="A49" s="1168" t="s">
        <v>471</v>
      </c>
      <c r="B49" s="1169"/>
      <c r="C49" s="1169"/>
      <c r="D49" s="1169"/>
      <c r="E49" s="1169"/>
      <c r="F49" s="1169"/>
      <c r="G49" s="1169"/>
      <c r="H49" s="1169"/>
      <c r="I49" s="1169"/>
      <c r="J49" s="1169"/>
      <c r="K49" s="1169"/>
      <c r="L49" s="1170"/>
    </row>
    <row r="50" spans="1:12" ht="15" thickTop="1" x14ac:dyDescent="0.2">
      <c r="A50" s="794" t="s">
        <v>49</v>
      </c>
      <c r="B50" s="766" t="s">
        <v>472</v>
      </c>
      <c r="C50" s="766" t="s">
        <v>49</v>
      </c>
      <c r="D50" s="1290" t="s">
        <v>981</v>
      </c>
      <c r="E50" s="1291"/>
      <c r="F50" s="1292"/>
      <c r="G50" s="767">
        <v>1460</v>
      </c>
      <c r="H50" s="795" t="s">
        <v>117</v>
      </c>
      <c r="I50" s="767">
        <v>4380</v>
      </c>
      <c r="J50" s="795" t="s">
        <v>426</v>
      </c>
      <c r="K50" s="796">
        <v>0.47440335863195315</v>
      </c>
      <c r="L50" s="797" t="s">
        <v>497</v>
      </c>
    </row>
    <row r="51" spans="1:12" x14ac:dyDescent="0.2">
      <c r="A51" s="798" t="s">
        <v>49</v>
      </c>
      <c r="B51" s="772" t="s">
        <v>474</v>
      </c>
      <c r="C51" s="772" t="s">
        <v>49</v>
      </c>
      <c r="D51" s="1287"/>
      <c r="E51" s="1288"/>
      <c r="F51" s="1289"/>
      <c r="G51" s="1192" t="s">
        <v>49</v>
      </c>
      <c r="H51" s="1192"/>
      <c r="I51" s="773">
        <v>28560.000000000004</v>
      </c>
      <c r="J51" s="779" t="s">
        <v>497</v>
      </c>
      <c r="K51" s="799">
        <v>4.6230632618478995E-4</v>
      </c>
      <c r="L51" s="800" t="s">
        <v>497</v>
      </c>
    </row>
    <row r="52" spans="1:12" x14ac:dyDescent="0.2">
      <c r="A52" s="798" t="s">
        <v>49</v>
      </c>
      <c r="B52" s="772" t="s">
        <v>476</v>
      </c>
      <c r="C52" s="772" t="s">
        <v>478</v>
      </c>
      <c r="D52" s="787" t="s">
        <v>49</v>
      </c>
      <c r="E52" s="1191" t="s">
        <v>49</v>
      </c>
      <c r="F52" s="1191"/>
      <c r="G52" s="1192" t="s">
        <v>49</v>
      </c>
      <c r="H52" s="1192"/>
      <c r="I52" s="1192" t="s">
        <v>49</v>
      </c>
      <c r="J52" s="1192"/>
      <c r="K52" s="801">
        <v>0</v>
      </c>
      <c r="L52" s="800" t="s">
        <v>497</v>
      </c>
    </row>
    <row r="53" spans="1:12" x14ac:dyDescent="0.2">
      <c r="A53" s="798" t="s">
        <v>49</v>
      </c>
      <c r="B53" s="772" t="s">
        <v>479</v>
      </c>
      <c r="C53" s="772" t="s">
        <v>478</v>
      </c>
      <c r="D53" s="787" t="s">
        <v>49</v>
      </c>
      <c r="E53" s="1191" t="s">
        <v>49</v>
      </c>
      <c r="F53" s="1191"/>
      <c r="G53" s="1192" t="s">
        <v>49</v>
      </c>
      <c r="H53" s="1192"/>
      <c r="I53" s="1192" t="s">
        <v>49</v>
      </c>
      <c r="J53" s="1192"/>
      <c r="K53" s="801">
        <v>0</v>
      </c>
      <c r="L53" s="800" t="s">
        <v>497</v>
      </c>
    </row>
    <row r="54" spans="1:12" s="804" customFormat="1" ht="16.5" x14ac:dyDescent="0.3">
      <c r="A54" s="1193" t="s">
        <v>875</v>
      </c>
      <c r="B54" s="1194"/>
      <c r="C54" s="1194"/>
      <c r="D54" s="1194"/>
      <c r="E54" s="1194"/>
      <c r="F54" s="1194"/>
      <c r="G54" s="1194"/>
      <c r="H54" s="1194"/>
      <c r="I54" s="1194"/>
      <c r="J54" s="1194"/>
      <c r="K54" s="802">
        <f>SUM(K50:K53)</f>
        <v>0.47486566495813792</v>
      </c>
      <c r="L54" s="803" t="s">
        <v>497</v>
      </c>
    </row>
    <row r="55" spans="1:12" ht="15" x14ac:dyDescent="0.25">
      <c r="A55" s="805"/>
      <c r="B55" s="806"/>
      <c r="C55" s="806"/>
      <c r="D55" s="806"/>
      <c r="E55" s="807"/>
      <c r="F55" s="807"/>
      <c r="G55" s="808"/>
      <c r="H55" s="807"/>
      <c r="I55" s="809"/>
      <c r="J55" s="810"/>
      <c r="K55" s="811"/>
      <c r="L55" s="812"/>
    </row>
    <row r="56" spans="1:12" ht="18.75" thickBot="1" x14ac:dyDescent="0.35">
      <c r="A56" s="1188" t="s">
        <v>876</v>
      </c>
      <c r="B56" s="1189"/>
      <c r="C56" s="1189"/>
      <c r="D56" s="1189"/>
      <c r="E56" s="1189"/>
      <c r="F56" s="1189"/>
      <c r="G56" s="1189"/>
      <c r="H56" s="1189"/>
      <c r="I56" s="1189"/>
      <c r="J56" s="1189"/>
      <c r="K56" s="792">
        <f>SUM(K48,K54)</f>
        <v>140.39590830191688</v>
      </c>
      <c r="L56" s="793" t="s">
        <v>676</v>
      </c>
    </row>
    <row r="57" spans="1:12" ht="15" x14ac:dyDescent="0.25">
      <c r="A57" s="813"/>
      <c r="B57" s="814"/>
      <c r="C57" s="814"/>
      <c r="D57" s="814"/>
      <c r="E57" s="814"/>
      <c r="F57" s="814"/>
      <c r="G57" s="814"/>
      <c r="H57" s="814"/>
      <c r="I57" s="814"/>
      <c r="J57" s="815"/>
      <c r="K57" s="816"/>
      <c r="L57" s="817"/>
    </row>
    <row r="58" spans="1:12" x14ac:dyDescent="0.2">
      <c r="A58" s="751" t="s">
        <v>239</v>
      </c>
      <c r="D58" s="818"/>
    </row>
    <row r="59" spans="1:12" x14ac:dyDescent="0.2">
      <c r="A59" s="1293" t="s">
        <v>999</v>
      </c>
      <c r="B59" s="1293"/>
      <c r="C59" s="1293"/>
      <c r="D59" s="1293"/>
      <c r="E59" s="1293"/>
      <c r="F59" s="1293"/>
      <c r="G59" s="1293"/>
      <c r="H59" s="1293"/>
      <c r="I59" s="1293"/>
      <c r="J59" s="1293"/>
      <c r="K59" s="1293"/>
      <c r="L59" s="1293"/>
    </row>
    <row r="60" spans="1:12" x14ac:dyDescent="0.2">
      <c r="A60" s="819"/>
      <c r="B60" s="819"/>
      <c r="C60" s="819"/>
      <c r="D60" s="819"/>
      <c r="E60" s="819"/>
      <c r="F60" s="819"/>
      <c r="G60" s="819"/>
      <c r="H60" s="819"/>
      <c r="I60" s="819"/>
      <c r="J60" s="819"/>
      <c r="K60" s="819"/>
      <c r="L60" s="819"/>
    </row>
    <row r="61" spans="1:12" x14ac:dyDescent="0.2">
      <c r="A61" s="751" t="s">
        <v>483</v>
      </c>
    </row>
    <row r="62" spans="1:12" x14ac:dyDescent="0.2">
      <c r="B62" s="820" t="s">
        <v>503</v>
      </c>
      <c r="C62" s="375">
        <v>453.6</v>
      </c>
      <c r="D62" s="751" t="s">
        <v>504</v>
      </c>
    </row>
    <row r="63" spans="1:12" x14ac:dyDescent="0.2">
      <c r="B63" s="820" t="s">
        <v>503</v>
      </c>
      <c r="C63" s="339">
        <v>2000</v>
      </c>
      <c r="D63" s="751" t="s">
        <v>496</v>
      </c>
    </row>
    <row r="64" spans="1:12" x14ac:dyDescent="0.2">
      <c r="D64" s="821"/>
    </row>
    <row r="65" spans="1:12" ht="32.25" customHeight="1" x14ac:dyDescent="0.2">
      <c r="A65" s="1283" t="s">
        <v>1000</v>
      </c>
      <c r="B65" s="1283"/>
      <c r="C65" s="1283"/>
      <c r="D65" s="1283"/>
      <c r="E65" s="1283"/>
      <c r="F65" s="1283"/>
      <c r="G65" s="1283"/>
      <c r="H65" s="1283"/>
      <c r="I65" s="1283"/>
      <c r="J65" s="1283"/>
      <c r="K65" s="1283"/>
      <c r="L65" s="1283"/>
    </row>
    <row r="66" spans="1:12" x14ac:dyDescent="0.2">
      <c r="D66" s="821"/>
    </row>
    <row r="67" spans="1:12" x14ac:dyDescent="0.2">
      <c r="D67" s="821"/>
    </row>
    <row r="68" spans="1:12" x14ac:dyDescent="0.2">
      <c r="D68" s="821"/>
    </row>
    <row r="69" spans="1:12" x14ac:dyDescent="0.2">
      <c r="D69" s="821"/>
    </row>
    <row r="70" spans="1:12" x14ac:dyDescent="0.2">
      <c r="D70" s="821"/>
    </row>
    <row r="71" spans="1:12" x14ac:dyDescent="0.2">
      <c r="D71" s="821"/>
    </row>
    <row r="72" spans="1:12" x14ac:dyDescent="0.2">
      <c r="D72" s="821"/>
    </row>
    <row r="73" spans="1:12" x14ac:dyDescent="0.2">
      <c r="D73" s="821"/>
    </row>
    <row r="74" spans="1:12" x14ac:dyDescent="0.2">
      <c r="D74" s="821"/>
    </row>
    <row r="75" spans="1:12" x14ac:dyDescent="0.2">
      <c r="D75" s="821"/>
    </row>
    <row r="76" spans="1:12" x14ac:dyDescent="0.2">
      <c r="D76" s="821"/>
    </row>
    <row r="77" spans="1:12" x14ac:dyDescent="0.2">
      <c r="D77" s="821"/>
    </row>
    <row r="78" spans="1:12" x14ac:dyDescent="0.2">
      <c r="D78" s="821"/>
    </row>
    <row r="79" spans="1:12" x14ac:dyDescent="0.2">
      <c r="D79" s="821"/>
    </row>
    <row r="80" spans="1:12" x14ac:dyDescent="0.2">
      <c r="D80" s="821"/>
    </row>
    <row r="81" spans="4:4" x14ac:dyDescent="0.2">
      <c r="D81" s="821"/>
    </row>
    <row r="82" spans="4:4" x14ac:dyDescent="0.2">
      <c r="D82" s="821"/>
    </row>
    <row r="83" spans="4:4" x14ac:dyDescent="0.2">
      <c r="D83" s="821"/>
    </row>
    <row r="84" spans="4:4" x14ac:dyDescent="0.2">
      <c r="D84" s="821"/>
    </row>
    <row r="85" spans="4:4" x14ac:dyDescent="0.2">
      <c r="D85" s="821"/>
    </row>
    <row r="86" spans="4:4" x14ac:dyDescent="0.2">
      <c r="D86" s="821"/>
    </row>
    <row r="87" spans="4:4" x14ac:dyDescent="0.2">
      <c r="D87" s="821"/>
    </row>
    <row r="88" spans="4:4" x14ac:dyDescent="0.2">
      <c r="D88" s="821"/>
    </row>
    <row r="89" spans="4:4" x14ac:dyDescent="0.2">
      <c r="D89" s="821"/>
    </row>
    <row r="90" spans="4:4" x14ac:dyDescent="0.2">
      <c r="D90" s="821"/>
    </row>
    <row r="91" spans="4:4" x14ac:dyDescent="0.2">
      <c r="D91" s="821"/>
    </row>
    <row r="92" spans="4:4" x14ac:dyDescent="0.2">
      <c r="D92" s="821"/>
    </row>
    <row r="93" spans="4:4" x14ac:dyDescent="0.2">
      <c r="D93" s="821"/>
    </row>
    <row r="94" spans="4:4" x14ac:dyDescent="0.2">
      <c r="D94" s="821"/>
    </row>
    <row r="95" spans="4:4" x14ac:dyDescent="0.2">
      <c r="D95" s="821"/>
    </row>
    <row r="96" spans="4:4" x14ac:dyDescent="0.2">
      <c r="D96" s="821"/>
    </row>
    <row r="97" spans="4:4" x14ac:dyDescent="0.2">
      <c r="D97" s="821"/>
    </row>
    <row r="98" spans="4:4" x14ac:dyDescent="0.2">
      <c r="D98" s="821"/>
    </row>
    <row r="99" spans="4:4" x14ac:dyDescent="0.2">
      <c r="D99" s="821"/>
    </row>
    <row r="100" spans="4:4" x14ac:dyDescent="0.2">
      <c r="D100" s="821"/>
    </row>
    <row r="101" spans="4:4" x14ac:dyDescent="0.2">
      <c r="D101" s="821"/>
    </row>
    <row r="102" spans="4:4" x14ac:dyDescent="0.2">
      <c r="D102" s="821"/>
    </row>
    <row r="103" spans="4:4" x14ac:dyDescent="0.2">
      <c r="D103" s="821"/>
    </row>
    <row r="104" spans="4:4" x14ac:dyDescent="0.2">
      <c r="D104" s="821"/>
    </row>
    <row r="105" spans="4:4" x14ac:dyDescent="0.2">
      <c r="D105" s="821"/>
    </row>
    <row r="106" spans="4:4" x14ac:dyDescent="0.2">
      <c r="D106" s="821"/>
    </row>
    <row r="107" spans="4:4" x14ac:dyDescent="0.2">
      <c r="D107" s="821"/>
    </row>
    <row r="108" spans="4:4" x14ac:dyDescent="0.2">
      <c r="D108" s="821"/>
    </row>
    <row r="109" spans="4:4" x14ac:dyDescent="0.2">
      <c r="D109" s="821"/>
    </row>
    <row r="110" spans="4:4" x14ac:dyDescent="0.2">
      <c r="D110" s="821"/>
    </row>
    <row r="111" spans="4:4" x14ac:dyDescent="0.2">
      <c r="D111" s="821"/>
    </row>
    <row r="112" spans="4:4" x14ac:dyDescent="0.2">
      <c r="D112" s="821"/>
    </row>
    <row r="113" spans="4:4" x14ac:dyDescent="0.2">
      <c r="D113" s="821"/>
    </row>
    <row r="114" spans="4:4" x14ac:dyDescent="0.2">
      <c r="D114" s="821"/>
    </row>
    <row r="115" spans="4:4" x14ac:dyDescent="0.2">
      <c r="D115" s="821"/>
    </row>
    <row r="116" spans="4:4" x14ac:dyDescent="0.2">
      <c r="D116" s="821"/>
    </row>
    <row r="117" spans="4:4" x14ac:dyDescent="0.2">
      <c r="D117" s="821"/>
    </row>
    <row r="118" spans="4:4" x14ac:dyDescent="0.2">
      <c r="D118" s="821"/>
    </row>
    <row r="119" spans="4:4" x14ac:dyDescent="0.2">
      <c r="D119" s="821"/>
    </row>
    <row r="120" spans="4:4" x14ac:dyDescent="0.2">
      <c r="D120" s="821"/>
    </row>
  </sheetData>
  <mergeCells count="35">
    <mergeCell ref="A65:L65"/>
    <mergeCell ref="D45:F46"/>
    <mergeCell ref="D50:F51"/>
    <mergeCell ref="A54:J54"/>
    <mergeCell ref="A56:J56"/>
    <mergeCell ref="A59:L59"/>
    <mergeCell ref="G51:H51"/>
    <mergeCell ref="E52:F52"/>
    <mergeCell ref="G52:H52"/>
    <mergeCell ref="I52:J52"/>
    <mergeCell ref="E53:F53"/>
    <mergeCell ref="G53:H53"/>
    <mergeCell ref="I53:J53"/>
    <mergeCell ref="D47:F47"/>
    <mergeCell ref="G47:H47"/>
    <mergeCell ref="A48:J48"/>
    <mergeCell ref="A6:L6"/>
    <mergeCell ref="I7:I12"/>
    <mergeCell ref="J7:J12"/>
    <mergeCell ref="K7:K12"/>
    <mergeCell ref="L7:L12"/>
    <mergeCell ref="H7:H12"/>
    <mergeCell ref="A49:L49"/>
    <mergeCell ref="D7:D12"/>
    <mergeCell ref="E7:E12"/>
    <mergeCell ref="F7:F12"/>
    <mergeCell ref="G7:G12"/>
    <mergeCell ref="D13:F15"/>
    <mergeCell ref="G5:H5"/>
    <mergeCell ref="K5:L5"/>
    <mergeCell ref="A1:L1"/>
    <mergeCell ref="A2:L2"/>
    <mergeCell ref="A4:B4"/>
    <mergeCell ref="G4:H4"/>
    <mergeCell ref="K4:L4"/>
  </mergeCells>
  <printOptions horizontalCentered="1"/>
  <pageMargins left="0.25" right="0.25" top="0.75" bottom="0.75" header="0.3" footer="0.3"/>
  <pageSetup scale="76" fitToHeight="2" orientation="landscape" useFirstPageNumber="1" r:id="rId1"/>
  <headerFooter alignWithMargins="0"/>
  <rowBreaks count="1" manualBreakCount="1">
    <brk id="48" max="11"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V120"/>
  <sheetViews>
    <sheetView view="pageLayout" topLeftCell="D28" zoomScaleNormal="100" zoomScaleSheetLayoutView="100" workbookViewId="0">
      <selection activeCell="E38" sqref="E38"/>
    </sheetView>
  </sheetViews>
  <sheetFormatPr defaultColWidth="9.140625" defaultRowHeight="14.25" x14ac:dyDescent="0.2"/>
  <cols>
    <col min="1" max="1" width="9.140625" style="125"/>
    <col min="2" max="2" width="43" style="125" customWidth="1"/>
    <col min="3" max="3" width="24.140625" style="125" customWidth="1"/>
    <col min="4" max="4" width="15.7109375" style="125" customWidth="1"/>
    <col min="5" max="5" width="11.7109375" style="125" customWidth="1"/>
    <col min="6" max="6" width="29.28515625" style="125" customWidth="1"/>
    <col min="7" max="7" width="10.5703125" style="125" customWidth="1"/>
    <col min="8" max="8" width="12.5703125" style="125" customWidth="1"/>
    <col min="9" max="9" width="8.42578125" style="125" customWidth="1"/>
    <col min="10" max="10" width="12.140625" style="125" customWidth="1"/>
    <col min="11" max="11" width="11.140625" style="125" customWidth="1"/>
    <col min="12" max="12" width="9.85546875" style="125" customWidth="1"/>
    <col min="13" max="13" width="8.85546875" style="287" customWidth="1"/>
    <col min="14" max="14" width="8.7109375" style="125" customWidth="1"/>
    <col min="15" max="15" width="9.140625" style="125"/>
    <col min="16" max="16" width="14.5703125" style="125" customWidth="1"/>
    <col min="17" max="17" width="10" style="125" customWidth="1"/>
    <col min="18" max="18" width="9.140625" style="125"/>
    <col min="19" max="19" width="10" style="125" customWidth="1"/>
    <col min="20" max="16384" width="9.140625" style="125"/>
  </cols>
  <sheetData>
    <row r="1" spans="1:22" ht="16.5" x14ac:dyDescent="0.3">
      <c r="A1" s="1197" t="s">
        <v>935</v>
      </c>
      <c r="B1" s="1197"/>
      <c r="C1" s="1197"/>
      <c r="D1" s="1197"/>
      <c r="E1" s="1197"/>
      <c r="F1" s="1197"/>
      <c r="G1" s="1197"/>
      <c r="H1" s="1197"/>
      <c r="I1" s="1197"/>
      <c r="J1" s="1197"/>
      <c r="K1" s="1197"/>
      <c r="L1" s="1197"/>
      <c r="M1" s="1197"/>
      <c r="N1" s="1197"/>
    </row>
    <row r="2" spans="1:22" ht="15" x14ac:dyDescent="0.25">
      <c r="A2" s="1197" t="s">
        <v>416</v>
      </c>
      <c r="B2" s="1197"/>
      <c r="C2" s="1197"/>
      <c r="D2" s="1197"/>
      <c r="E2" s="1197"/>
      <c r="F2" s="1197"/>
      <c r="G2" s="1197"/>
      <c r="H2" s="1197"/>
      <c r="I2" s="1197"/>
      <c r="J2" s="1197"/>
      <c r="K2" s="1197"/>
      <c r="L2" s="1197"/>
      <c r="M2" s="1197"/>
      <c r="N2" s="1197"/>
    </row>
    <row r="3" spans="1:22" ht="15.75" thickBot="1" x14ac:dyDescent="0.25">
      <c r="B3" s="343"/>
      <c r="C3" s="343"/>
      <c r="D3" s="343"/>
    </row>
    <row r="4" spans="1:22" ht="16.5" x14ac:dyDescent="0.3">
      <c r="A4" s="1198" t="s">
        <v>417</v>
      </c>
      <c r="B4" s="1011"/>
      <c r="C4" s="673"/>
      <c r="D4" s="673" t="s">
        <v>760</v>
      </c>
      <c r="E4" s="236" t="s">
        <v>418</v>
      </c>
      <c r="F4" s="288" t="s">
        <v>488</v>
      </c>
      <c r="G4" s="289" t="s">
        <v>673</v>
      </c>
      <c r="H4" s="289"/>
      <c r="I4" s="1199" t="s">
        <v>417</v>
      </c>
      <c r="J4" s="1199"/>
      <c r="K4" s="344" t="s">
        <v>490</v>
      </c>
      <c r="L4" s="344"/>
      <c r="M4" s="1202" t="s">
        <v>378</v>
      </c>
      <c r="N4" s="1203"/>
    </row>
    <row r="5" spans="1:22" ht="16.5" x14ac:dyDescent="0.3">
      <c r="A5" s="290" t="s">
        <v>157</v>
      </c>
      <c r="B5" s="238" t="s">
        <v>420</v>
      </c>
      <c r="C5" s="670"/>
      <c r="D5" s="670"/>
      <c r="E5" s="239" t="s">
        <v>421</v>
      </c>
      <c r="F5" s="291" t="s">
        <v>491</v>
      </c>
      <c r="G5" s="292" t="s">
        <v>492</v>
      </c>
      <c r="H5" s="292"/>
      <c r="I5" s="1230" t="s">
        <v>493</v>
      </c>
      <c r="J5" s="1230"/>
      <c r="K5" s="345" t="s">
        <v>494</v>
      </c>
      <c r="L5" s="345"/>
      <c r="M5" s="1204" t="s">
        <v>674</v>
      </c>
      <c r="N5" s="1205"/>
    </row>
    <row r="6" spans="1:22" ht="15.75" thickBot="1" x14ac:dyDescent="0.3">
      <c r="A6" s="1206" t="s">
        <v>422</v>
      </c>
      <c r="B6" s="1207"/>
      <c r="C6" s="1207"/>
      <c r="D6" s="1207"/>
      <c r="E6" s="1207"/>
      <c r="F6" s="1207"/>
      <c r="G6" s="1295"/>
      <c r="H6" s="1207"/>
      <c r="I6" s="1207"/>
      <c r="J6" s="1207"/>
      <c r="K6" s="1207"/>
      <c r="L6" s="1207"/>
      <c r="M6" s="1207"/>
      <c r="N6" s="1208"/>
    </row>
    <row r="7" spans="1:22" ht="23.25" customHeight="1" thickTop="1" x14ac:dyDescent="0.2">
      <c r="A7" s="509">
        <v>1</v>
      </c>
      <c r="B7" s="510" t="s">
        <v>423</v>
      </c>
      <c r="C7" s="510"/>
      <c r="D7" s="671">
        <v>1953</v>
      </c>
      <c r="E7" s="294" t="s">
        <v>425</v>
      </c>
      <c r="F7" s="1296" t="s">
        <v>946</v>
      </c>
      <c r="G7" s="954">
        <v>0.46</v>
      </c>
      <c r="H7" s="778" t="s">
        <v>496</v>
      </c>
      <c r="I7" s="854">
        <v>230</v>
      </c>
      <c r="J7" s="855" t="s">
        <v>891</v>
      </c>
      <c r="K7" s="1178">
        <v>300000</v>
      </c>
      <c r="L7" s="1180" t="s">
        <v>747</v>
      </c>
      <c r="M7" s="1278">
        <f>G7*K7/2000</f>
        <v>69</v>
      </c>
      <c r="N7" s="1182" t="s">
        <v>497</v>
      </c>
      <c r="O7" s="340"/>
    </row>
    <row r="8" spans="1:22" ht="22.5" customHeight="1" x14ac:dyDescent="0.2">
      <c r="A8" s="293">
        <v>2</v>
      </c>
      <c r="B8" s="510" t="s">
        <v>427</v>
      </c>
      <c r="C8" s="510"/>
      <c r="D8" s="671">
        <v>1953</v>
      </c>
      <c r="E8" s="294" t="s">
        <v>425</v>
      </c>
      <c r="F8" s="1297"/>
      <c r="G8" s="953">
        <v>0.46</v>
      </c>
      <c r="H8" s="778" t="s">
        <v>496</v>
      </c>
      <c r="I8" s="854">
        <v>230</v>
      </c>
      <c r="J8" s="855" t="s">
        <v>891</v>
      </c>
      <c r="K8" s="1179"/>
      <c r="L8" s="1181"/>
      <c r="M8" s="1279"/>
      <c r="N8" s="1183"/>
    </row>
    <row r="9" spans="1:22" ht="20.25" customHeight="1" x14ac:dyDescent="0.2">
      <c r="A9" s="293">
        <v>3</v>
      </c>
      <c r="B9" s="510" t="s">
        <v>429</v>
      </c>
      <c r="C9" s="510"/>
      <c r="D9" s="671">
        <v>1953</v>
      </c>
      <c r="E9" s="294" t="s">
        <v>425</v>
      </c>
      <c r="F9" s="1297"/>
      <c r="G9" s="953">
        <v>0.46</v>
      </c>
      <c r="H9" s="778" t="s">
        <v>496</v>
      </c>
      <c r="I9" s="854">
        <v>230</v>
      </c>
      <c r="J9" s="855" t="s">
        <v>891</v>
      </c>
      <c r="K9" s="1179"/>
      <c r="L9" s="1181"/>
      <c r="M9" s="1279"/>
      <c r="N9" s="1183"/>
      <c r="O9" s="306"/>
      <c r="P9" s="307"/>
      <c r="Q9" s="307"/>
      <c r="R9" s="307"/>
      <c r="S9" s="307"/>
      <c r="T9" s="307"/>
      <c r="U9" s="307"/>
      <c r="V9" s="307"/>
    </row>
    <row r="10" spans="1:22" ht="22.5" customHeight="1" x14ac:dyDescent="0.2">
      <c r="A10" s="293">
        <v>4</v>
      </c>
      <c r="B10" s="510" t="s">
        <v>430</v>
      </c>
      <c r="C10" s="510"/>
      <c r="D10" s="671">
        <v>1953</v>
      </c>
      <c r="E10" s="294" t="s">
        <v>425</v>
      </c>
      <c r="F10" s="1297"/>
      <c r="G10" s="953">
        <v>0.46</v>
      </c>
      <c r="H10" s="778" t="s">
        <v>496</v>
      </c>
      <c r="I10" s="854">
        <v>230</v>
      </c>
      <c r="J10" s="855" t="s">
        <v>891</v>
      </c>
      <c r="K10" s="1179"/>
      <c r="L10" s="1181"/>
      <c r="M10" s="1279"/>
      <c r="N10" s="1183"/>
      <c r="O10" s="306"/>
      <c r="P10" s="307"/>
      <c r="Q10" s="307"/>
      <c r="R10" s="307"/>
      <c r="S10" s="307"/>
      <c r="T10" s="307"/>
      <c r="U10" s="307"/>
      <c r="V10" s="307"/>
    </row>
    <row r="11" spans="1:22" ht="23.25" customHeight="1" x14ac:dyDescent="0.2">
      <c r="A11" s="293">
        <v>5</v>
      </c>
      <c r="B11" s="510" t="s">
        <v>431</v>
      </c>
      <c r="C11" s="510"/>
      <c r="D11" s="671">
        <v>1953</v>
      </c>
      <c r="E11" s="294" t="s">
        <v>425</v>
      </c>
      <c r="F11" s="1297"/>
      <c r="G11" s="953">
        <v>0.46</v>
      </c>
      <c r="H11" s="778" t="s">
        <v>496</v>
      </c>
      <c r="I11" s="854">
        <v>230</v>
      </c>
      <c r="J11" s="855" t="s">
        <v>891</v>
      </c>
      <c r="K11" s="1179"/>
      <c r="L11" s="1181"/>
      <c r="M11" s="1279"/>
      <c r="N11" s="1183"/>
      <c r="O11" s="287"/>
      <c r="P11" s="308"/>
    </row>
    <row r="12" spans="1:22" ht="25.5" customHeight="1" x14ac:dyDescent="0.2">
      <c r="A12" s="293">
        <v>6</v>
      </c>
      <c r="B12" s="510" t="s">
        <v>432</v>
      </c>
      <c r="C12" s="510"/>
      <c r="D12" s="671">
        <v>1953</v>
      </c>
      <c r="E12" s="294" t="s">
        <v>425</v>
      </c>
      <c r="F12" s="1298"/>
      <c r="G12" s="953">
        <v>0.46</v>
      </c>
      <c r="H12" s="778" t="s">
        <v>496</v>
      </c>
      <c r="I12" s="854">
        <v>230</v>
      </c>
      <c r="J12" s="855" t="s">
        <v>891</v>
      </c>
      <c r="K12" s="1179"/>
      <c r="L12" s="1181"/>
      <c r="M12" s="1279"/>
      <c r="N12" s="1183"/>
      <c r="P12" s="308"/>
    </row>
    <row r="13" spans="1:22" ht="14.25" customHeight="1" x14ac:dyDescent="0.2">
      <c r="A13" s="293" t="s">
        <v>53</v>
      </c>
      <c r="B13" s="510" t="s">
        <v>433</v>
      </c>
      <c r="C13" s="510"/>
      <c r="D13" s="671">
        <v>2001</v>
      </c>
      <c r="E13" s="294" t="s">
        <v>49</v>
      </c>
      <c r="F13" s="1299" t="s">
        <v>977</v>
      </c>
      <c r="G13" s="1300"/>
      <c r="H13" s="1301"/>
      <c r="I13" s="297">
        <v>13150</v>
      </c>
      <c r="J13" s="511" t="s">
        <v>117</v>
      </c>
      <c r="K13" s="257">
        <v>2195</v>
      </c>
      <c r="L13" s="512" t="s">
        <v>426</v>
      </c>
      <c r="M13" s="351">
        <f>'5 Coal Prep 7a 7b 7c'!M7</f>
        <v>4.4941101026276721E-2</v>
      </c>
      <c r="N13" s="352" t="s">
        <v>497</v>
      </c>
      <c r="O13" s="306"/>
      <c r="P13" s="307"/>
      <c r="Q13" s="307"/>
      <c r="R13" s="307"/>
      <c r="S13" s="307"/>
      <c r="T13" s="307"/>
      <c r="U13" s="307"/>
      <c r="V13" s="307"/>
    </row>
    <row r="14" spans="1:22" ht="14.25" customHeight="1" x14ac:dyDescent="0.2">
      <c r="A14" s="293" t="s">
        <v>54</v>
      </c>
      <c r="B14" s="510" t="s">
        <v>436</v>
      </c>
      <c r="C14" s="510"/>
      <c r="D14" s="671">
        <v>2005</v>
      </c>
      <c r="E14" s="294" t="s">
        <v>49</v>
      </c>
      <c r="F14" s="1302"/>
      <c r="G14" s="1303"/>
      <c r="H14" s="1304"/>
      <c r="I14" s="297">
        <v>884</v>
      </c>
      <c r="J14" s="511" t="s">
        <v>117</v>
      </c>
      <c r="K14" s="257">
        <v>100</v>
      </c>
      <c r="L14" s="512" t="s">
        <v>426</v>
      </c>
      <c r="M14" s="351">
        <f>'5 Coal Prep 7a 7b 7c'!M8</f>
        <v>1.1010972620380884E-3</v>
      </c>
      <c r="N14" s="352" t="s">
        <v>497</v>
      </c>
      <c r="O14" s="306"/>
      <c r="P14" s="307"/>
      <c r="Q14" s="307"/>
      <c r="R14" s="307"/>
      <c r="S14" s="307"/>
      <c r="T14" s="307"/>
      <c r="U14" s="307"/>
      <c r="V14" s="307"/>
    </row>
    <row r="15" spans="1:22" ht="14.25" customHeight="1" x14ac:dyDescent="0.2">
      <c r="A15" s="293" t="s">
        <v>55</v>
      </c>
      <c r="B15" s="510" t="s">
        <v>438</v>
      </c>
      <c r="C15" s="510"/>
      <c r="D15" s="671">
        <v>2004</v>
      </c>
      <c r="E15" s="294" t="s">
        <v>49</v>
      </c>
      <c r="F15" s="1305"/>
      <c r="G15" s="1306"/>
      <c r="H15" s="1307"/>
      <c r="I15" s="297">
        <v>9250</v>
      </c>
      <c r="J15" s="511" t="s">
        <v>117</v>
      </c>
      <c r="K15" s="257">
        <v>45</v>
      </c>
      <c r="L15" s="512" t="s">
        <v>426</v>
      </c>
      <c r="M15" s="351">
        <f>'5 Coal Prep 7a 7b 7c'!M9</f>
        <v>5.1847481371420168E-3</v>
      </c>
      <c r="N15" s="352" t="s">
        <v>497</v>
      </c>
      <c r="O15" s="306"/>
      <c r="P15" s="307"/>
      <c r="Q15" s="307"/>
      <c r="R15" s="307"/>
      <c r="S15" s="307"/>
      <c r="T15" s="307"/>
      <c r="U15" s="307"/>
      <c r="V15" s="307"/>
    </row>
    <row r="16" spans="1:22" x14ac:dyDescent="0.2">
      <c r="A16" s="293">
        <v>8</v>
      </c>
      <c r="B16" s="745" t="s">
        <v>440</v>
      </c>
      <c r="C16" s="510" t="s">
        <v>921</v>
      </c>
      <c r="D16" s="671">
        <v>2009</v>
      </c>
      <c r="E16" s="294" t="s">
        <v>441</v>
      </c>
      <c r="F16" s="745" t="s">
        <v>708</v>
      </c>
      <c r="G16" s="688">
        <v>0.2</v>
      </c>
      <c r="H16" s="302" t="s">
        <v>712</v>
      </c>
      <c r="I16" s="297">
        <v>2937</v>
      </c>
      <c r="J16" s="511" t="s">
        <v>113</v>
      </c>
      <c r="K16" s="257">
        <v>500</v>
      </c>
      <c r="L16" s="512" t="s">
        <v>426</v>
      </c>
      <c r="M16" s="351">
        <f>I16*C$62*G16/1000*2.2/2000*K16</f>
        <v>0.24091329900000003</v>
      </c>
      <c r="N16" s="352" t="s">
        <v>497</v>
      </c>
      <c r="O16" s="822"/>
      <c r="P16" s="307"/>
      <c r="Q16" s="307"/>
      <c r="R16" s="307"/>
      <c r="S16" s="307"/>
      <c r="T16" s="307"/>
      <c r="U16" s="307"/>
      <c r="V16" s="307"/>
    </row>
    <row r="17" spans="1:22" x14ac:dyDescent="0.2">
      <c r="A17" s="293">
        <v>9</v>
      </c>
      <c r="B17" s="261" t="s">
        <v>444</v>
      </c>
      <c r="C17" s="510" t="s">
        <v>443</v>
      </c>
      <c r="D17" s="671">
        <v>1988</v>
      </c>
      <c r="E17" s="294" t="s">
        <v>441</v>
      </c>
      <c r="F17" s="269" t="s">
        <v>500</v>
      </c>
      <c r="G17" s="354">
        <v>2.2000000000000001E-3</v>
      </c>
      <c r="H17" s="302" t="s">
        <v>501</v>
      </c>
      <c r="I17" s="297">
        <v>352.89473684210526</v>
      </c>
      <c r="J17" s="511" t="s">
        <v>113</v>
      </c>
      <c r="K17" s="257">
        <v>500</v>
      </c>
      <c r="L17" s="512" t="s">
        <v>426</v>
      </c>
      <c r="M17" s="351">
        <f>G17*I17*K17/$C$64</f>
        <v>0.1940921052631579</v>
      </c>
      <c r="N17" s="352" t="s">
        <v>497</v>
      </c>
      <c r="O17" s="306"/>
      <c r="P17" s="307"/>
      <c r="Q17" s="307"/>
      <c r="R17" s="307"/>
      <c r="S17" s="307"/>
      <c r="T17" s="307"/>
      <c r="U17" s="307"/>
      <c r="V17" s="307"/>
    </row>
    <row r="18" spans="1:22" s="284" customFormat="1" x14ac:dyDescent="0.2">
      <c r="A18" s="293">
        <v>10</v>
      </c>
      <c r="B18" s="686" t="s">
        <v>446</v>
      </c>
      <c r="C18" s="510" t="s">
        <v>443</v>
      </c>
      <c r="D18" s="671">
        <v>2010</v>
      </c>
      <c r="E18" s="294" t="s">
        <v>441</v>
      </c>
      <c r="F18" s="269" t="s">
        <v>708</v>
      </c>
      <c r="G18" s="355">
        <v>0.2</v>
      </c>
      <c r="H18" s="302" t="s">
        <v>712</v>
      </c>
      <c r="I18" s="297">
        <v>762</v>
      </c>
      <c r="J18" s="511" t="s">
        <v>113</v>
      </c>
      <c r="K18" s="257">
        <v>500</v>
      </c>
      <c r="L18" s="512" t="s">
        <v>426</v>
      </c>
      <c r="M18" s="351">
        <f>I18*C$62*G18/1000*2.2/2000*K18</f>
        <v>6.2504574000000007E-2</v>
      </c>
      <c r="N18" s="352" t="s">
        <v>497</v>
      </c>
      <c r="P18" s="319"/>
    </row>
    <row r="19" spans="1:22" x14ac:dyDescent="0.2">
      <c r="A19" s="293">
        <v>11</v>
      </c>
      <c r="B19" s="686" t="s">
        <v>446</v>
      </c>
      <c r="C19" s="510" t="s">
        <v>443</v>
      </c>
      <c r="D19" s="671">
        <v>2010</v>
      </c>
      <c r="E19" s="294" t="s">
        <v>441</v>
      </c>
      <c r="F19" s="269" t="s">
        <v>708</v>
      </c>
      <c r="G19" s="355">
        <v>0.2</v>
      </c>
      <c r="H19" s="302" t="s">
        <v>712</v>
      </c>
      <c r="I19" s="297">
        <v>762</v>
      </c>
      <c r="J19" s="511" t="s">
        <v>113</v>
      </c>
      <c r="K19" s="257">
        <v>500</v>
      </c>
      <c r="L19" s="512" t="s">
        <v>426</v>
      </c>
      <c r="M19" s="351">
        <f>I19*C$62*G19/1000*2.2/2000*K19</f>
        <v>6.2504574000000007E-2</v>
      </c>
      <c r="N19" s="352" t="s">
        <v>497</v>
      </c>
      <c r="P19" s="320"/>
    </row>
    <row r="20" spans="1:22" x14ac:dyDescent="0.2">
      <c r="A20" s="293">
        <v>12</v>
      </c>
      <c r="B20" s="261" t="s">
        <v>447</v>
      </c>
      <c r="C20" s="510" t="s">
        <v>443</v>
      </c>
      <c r="D20" s="671">
        <v>2002</v>
      </c>
      <c r="E20" s="294" t="s">
        <v>441</v>
      </c>
      <c r="F20" s="269" t="s">
        <v>500</v>
      </c>
      <c r="G20" s="354">
        <v>2.2000000000000001E-3</v>
      </c>
      <c r="H20" s="302" t="s">
        <v>501</v>
      </c>
      <c r="I20" s="297">
        <v>82</v>
      </c>
      <c r="J20" s="511" t="s">
        <v>113</v>
      </c>
      <c r="K20" s="257">
        <v>500</v>
      </c>
      <c r="L20" s="512" t="s">
        <v>426</v>
      </c>
      <c r="M20" s="351">
        <f>G20*I20*K20/$C$64</f>
        <v>4.5100000000000001E-2</v>
      </c>
      <c r="N20" s="352" t="s">
        <v>497</v>
      </c>
      <c r="P20" s="320"/>
    </row>
    <row r="21" spans="1:22" x14ac:dyDescent="0.2">
      <c r="A21" s="293">
        <v>13</v>
      </c>
      <c r="B21" s="268" t="s">
        <v>448</v>
      </c>
      <c r="C21" s="510" t="s">
        <v>443</v>
      </c>
      <c r="D21" s="671">
        <v>2008</v>
      </c>
      <c r="E21" s="294" t="s">
        <v>441</v>
      </c>
      <c r="F21" s="269" t="s">
        <v>708</v>
      </c>
      <c r="G21" s="354">
        <v>0.2</v>
      </c>
      <c r="H21" s="302" t="s">
        <v>712</v>
      </c>
      <c r="I21" s="297">
        <v>587</v>
      </c>
      <c r="J21" s="511" t="s">
        <v>113</v>
      </c>
      <c r="K21" s="257">
        <v>500</v>
      </c>
      <c r="L21" s="512" t="s">
        <v>426</v>
      </c>
      <c r="M21" s="351">
        <f>I21*C$62*G21/1000*2.2/2000*K21</f>
        <v>4.8149849000000008E-2</v>
      </c>
      <c r="N21" s="352" t="s">
        <v>497</v>
      </c>
      <c r="P21" s="320"/>
    </row>
    <row r="22" spans="1:22" x14ac:dyDescent="0.2">
      <c r="A22" s="293">
        <v>14</v>
      </c>
      <c r="B22" s="261" t="s">
        <v>449</v>
      </c>
      <c r="C22" s="510" t="s">
        <v>443</v>
      </c>
      <c r="D22" s="671">
        <v>2008</v>
      </c>
      <c r="E22" s="294" t="s">
        <v>441</v>
      </c>
      <c r="F22" s="269" t="s">
        <v>708</v>
      </c>
      <c r="G22" s="354">
        <v>0.2</v>
      </c>
      <c r="H22" s="302" t="s">
        <v>712</v>
      </c>
      <c r="I22" s="297">
        <v>320</v>
      </c>
      <c r="J22" s="511" t="s">
        <v>113</v>
      </c>
      <c r="K22" s="257">
        <v>500</v>
      </c>
      <c r="L22" s="512" t="s">
        <v>426</v>
      </c>
      <c r="M22" s="351">
        <f>I22*C$62*G22/1000*2.2/2000*K22</f>
        <v>2.6248640000000007E-2</v>
      </c>
      <c r="N22" s="352" t="s">
        <v>497</v>
      </c>
      <c r="P22" s="320"/>
    </row>
    <row r="23" spans="1:22" x14ac:dyDescent="0.2">
      <c r="A23" s="293">
        <v>15</v>
      </c>
      <c r="B23" s="261" t="s">
        <v>450</v>
      </c>
      <c r="C23" s="510" t="s">
        <v>443</v>
      </c>
      <c r="D23" s="671">
        <v>2005</v>
      </c>
      <c r="E23" s="294" t="s">
        <v>441</v>
      </c>
      <c r="F23" s="242" t="s">
        <v>792</v>
      </c>
      <c r="G23" s="355">
        <v>0.09</v>
      </c>
      <c r="H23" s="302" t="s">
        <v>165</v>
      </c>
      <c r="I23" s="297">
        <v>1058.6842105263158</v>
      </c>
      <c r="J23" s="511" t="s">
        <v>113</v>
      </c>
      <c r="K23" s="257">
        <v>500</v>
      </c>
      <c r="L23" s="512" t="s">
        <v>426</v>
      </c>
      <c r="M23" s="351">
        <f>G23*I23*K23/1000*2.2/2000</f>
        <v>5.2404868421052631E-2</v>
      </c>
      <c r="N23" s="352" t="s">
        <v>497</v>
      </c>
      <c r="P23" s="320"/>
    </row>
    <row r="24" spans="1:22" x14ac:dyDescent="0.2">
      <c r="A24" s="293">
        <v>16</v>
      </c>
      <c r="B24" s="686" t="s">
        <v>451</v>
      </c>
      <c r="C24" s="510" t="s">
        <v>443</v>
      </c>
      <c r="D24" s="671">
        <v>2005</v>
      </c>
      <c r="E24" s="294" t="s">
        <v>441</v>
      </c>
      <c r="F24" s="269" t="s">
        <v>500</v>
      </c>
      <c r="G24" s="354">
        <v>2.2000000000000001E-3</v>
      </c>
      <c r="H24" s="302" t="s">
        <v>501</v>
      </c>
      <c r="I24" s="297">
        <v>211.73684210526318</v>
      </c>
      <c r="J24" s="511" t="s">
        <v>113</v>
      </c>
      <c r="K24" s="257">
        <v>500</v>
      </c>
      <c r="L24" s="512" t="s">
        <v>426</v>
      </c>
      <c r="M24" s="351">
        <f>G24*I24*K24/$C$64</f>
        <v>0.11645526315789476</v>
      </c>
      <c r="N24" s="352" t="s">
        <v>497</v>
      </c>
      <c r="P24" s="320"/>
    </row>
    <row r="25" spans="1:22" x14ac:dyDescent="0.2">
      <c r="A25" s="293">
        <v>17</v>
      </c>
      <c r="B25" s="686" t="s">
        <v>451</v>
      </c>
      <c r="C25" s="510" t="s">
        <v>443</v>
      </c>
      <c r="D25" s="671">
        <v>2007</v>
      </c>
      <c r="E25" s="294" t="s">
        <v>441</v>
      </c>
      <c r="F25" s="269" t="s">
        <v>708</v>
      </c>
      <c r="G25" s="354">
        <v>0.3</v>
      </c>
      <c r="H25" s="302" t="s">
        <v>712</v>
      </c>
      <c r="I25" s="297">
        <v>176.44736842105263</v>
      </c>
      <c r="J25" s="511" t="s">
        <v>113</v>
      </c>
      <c r="K25" s="257">
        <v>500</v>
      </c>
      <c r="L25" s="512" t="s">
        <v>426</v>
      </c>
      <c r="M25" s="351">
        <f>I25*C$62*G25/1000*2.2/2000*K25</f>
        <v>2.1710172434210528E-2</v>
      </c>
      <c r="N25" s="352" t="s">
        <v>497</v>
      </c>
      <c r="P25" s="320"/>
    </row>
    <row r="26" spans="1:22" x14ac:dyDescent="0.2">
      <c r="A26" s="293">
        <v>18</v>
      </c>
      <c r="B26" s="686" t="s">
        <v>452</v>
      </c>
      <c r="C26" s="510" t="s">
        <v>443</v>
      </c>
      <c r="D26" s="671">
        <v>2005</v>
      </c>
      <c r="E26" s="294" t="s">
        <v>441</v>
      </c>
      <c r="F26" s="269" t="s">
        <v>500</v>
      </c>
      <c r="G26" s="354">
        <v>2.2000000000000001E-3</v>
      </c>
      <c r="H26" s="302" t="s">
        <v>501</v>
      </c>
      <c r="I26" s="297">
        <v>211.73684210526318</v>
      </c>
      <c r="J26" s="511" t="s">
        <v>113</v>
      </c>
      <c r="K26" s="257">
        <v>500</v>
      </c>
      <c r="L26" s="512" t="s">
        <v>426</v>
      </c>
      <c r="M26" s="351">
        <f>G26*I26*K26/$C$64</f>
        <v>0.11645526315789476</v>
      </c>
      <c r="N26" s="352" t="s">
        <v>497</v>
      </c>
      <c r="P26" s="320"/>
    </row>
    <row r="27" spans="1:22" x14ac:dyDescent="0.2">
      <c r="A27" s="293">
        <v>19</v>
      </c>
      <c r="B27" s="686" t="s">
        <v>453</v>
      </c>
      <c r="C27" s="510" t="s">
        <v>443</v>
      </c>
      <c r="D27" s="671">
        <v>2007</v>
      </c>
      <c r="E27" s="294" t="s">
        <v>441</v>
      </c>
      <c r="F27" s="269" t="s">
        <v>708</v>
      </c>
      <c r="G27" s="354">
        <v>0.4</v>
      </c>
      <c r="H27" s="302" t="s">
        <v>712</v>
      </c>
      <c r="I27" s="297">
        <v>70.578947368421055</v>
      </c>
      <c r="J27" s="511" t="s">
        <v>113</v>
      </c>
      <c r="K27" s="257">
        <v>500</v>
      </c>
      <c r="L27" s="512" t="s">
        <v>426</v>
      </c>
      <c r="M27" s="351">
        <f>I27*C$62*G27/1000*2.2/2000*K27</f>
        <v>1.157875863157895E-2</v>
      </c>
      <c r="N27" s="352" t="s">
        <v>497</v>
      </c>
      <c r="P27" s="320"/>
    </row>
    <row r="28" spans="1:22" x14ac:dyDescent="0.2">
      <c r="A28" s="293">
        <v>20</v>
      </c>
      <c r="B28" s="686" t="s">
        <v>454</v>
      </c>
      <c r="C28" s="510" t="s">
        <v>443</v>
      </c>
      <c r="D28" s="671">
        <v>1976</v>
      </c>
      <c r="E28" s="294" t="s">
        <v>441</v>
      </c>
      <c r="F28" s="269" t="s">
        <v>500</v>
      </c>
      <c r="G28" s="354">
        <v>2.2000000000000001E-3</v>
      </c>
      <c r="H28" s="302" t="s">
        <v>501</v>
      </c>
      <c r="I28" s="297">
        <v>35.289473684210527</v>
      </c>
      <c r="J28" s="511" t="s">
        <v>113</v>
      </c>
      <c r="K28" s="257">
        <v>500</v>
      </c>
      <c r="L28" s="512" t="s">
        <v>426</v>
      </c>
      <c r="M28" s="351">
        <f>G28*I28*K28/$C$64</f>
        <v>1.9409210526315793E-2</v>
      </c>
      <c r="N28" s="352" t="s">
        <v>497</v>
      </c>
      <c r="P28" s="320"/>
    </row>
    <row r="29" spans="1:22" x14ac:dyDescent="0.2">
      <c r="A29" s="293">
        <v>21</v>
      </c>
      <c r="B29" s="686" t="s">
        <v>455</v>
      </c>
      <c r="C29" s="510" t="s">
        <v>443</v>
      </c>
      <c r="D29" s="671">
        <v>2001</v>
      </c>
      <c r="E29" s="294" t="s">
        <v>441</v>
      </c>
      <c r="F29" s="269" t="s">
        <v>500</v>
      </c>
      <c r="G29" s="354">
        <v>2.2000000000000001E-3</v>
      </c>
      <c r="H29" s="302" t="s">
        <v>501</v>
      </c>
      <c r="I29" s="297">
        <v>95</v>
      </c>
      <c r="J29" s="511" t="s">
        <v>113</v>
      </c>
      <c r="K29" s="257">
        <v>500</v>
      </c>
      <c r="L29" s="512" t="s">
        <v>426</v>
      </c>
      <c r="M29" s="351">
        <f>G29*I29*K29/$C$64</f>
        <v>5.2250000000000005E-2</v>
      </c>
      <c r="N29" s="352" t="s">
        <v>497</v>
      </c>
      <c r="P29" s="320"/>
    </row>
    <row r="30" spans="1:22" x14ac:dyDescent="0.2">
      <c r="A30" s="293">
        <v>22</v>
      </c>
      <c r="B30" s="686" t="s">
        <v>222</v>
      </c>
      <c r="C30" s="510" t="s">
        <v>443</v>
      </c>
      <c r="D30" s="671">
        <v>1989</v>
      </c>
      <c r="E30" s="294" t="s">
        <v>441</v>
      </c>
      <c r="F30" s="269" t="s">
        <v>500</v>
      </c>
      <c r="G30" s="354">
        <v>2.2000000000000001E-3</v>
      </c>
      <c r="H30" s="302" t="s">
        <v>501</v>
      </c>
      <c r="I30" s="297">
        <v>35.289473684210527</v>
      </c>
      <c r="J30" s="511" t="s">
        <v>113</v>
      </c>
      <c r="K30" s="257">
        <v>500</v>
      </c>
      <c r="L30" s="512" t="s">
        <v>426</v>
      </c>
      <c r="M30" s="351">
        <f>G30*I30*K30/$C$64</f>
        <v>1.9409210526315793E-2</v>
      </c>
      <c r="N30" s="352" t="s">
        <v>497</v>
      </c>
      <c r="P30" s="320"/>
    </row>
    <row r="31" spans="1:22" x14ac:dyDescent="0.2">
      <c r="A31" s="293">
        <v>23</v>
      </c>
      <c r="B31" s="686" t="s">
        <v>452</v>
      </c>
      <c r="C31" s="510" t="s">
        <v>443</v>
      </c>
      <c r="D31" s="671">
        <v>2003</v>
      </c>
      <c r="E31" s="294" t="s">
        <v>441</v>
      </c>
      <c r="F31" s="269" t="s">
        <v>500</v>
      </c>
      <c r="G31" s="354">
        <v>2.2000000000000001E-3</v>
      </c>
      <c r="H31" s="302" t="s">
        <v>501</v>
      </c>
      <c r="I31" s="297">
        <v>155.27368421052631</v>
      </c>
      <c r="J31" s="511" t="s">
        <v>113</v>
      </c>
      <c r="K31" s="257">
        <v>500</v>
      </c>
      <c r="L31" s="512" t="s">
        <v>426</v>
      </c>
      <c r="M31" s="351">
        <f>G31*I31*K31/$C$64</f>
        <v>8.5400526315789482E-2</v>
      </c>
      <c r="N31" s="352" t="s">
        <v>497</v>
      </c>
      <c r="P31" s="320"/>
    </row>
    <row r="32" spans="1:22" x14ac:dyDescent="0.2">
      <c r="A32" s="293">
        <v>24</v>
      </c>
      <c r="B32" s="686" t="s">
        <v>456</v>
      </c>
      <c r="C32" s="510" t="s">
        <v>443</v>
      </c>
      <c r="D32" s="671">
        <v>1993</v>
      </c>
      <c r="E32" s="294" t="s">
        <v>441</v>
      </c>
      <c r="F32" s="269" t="s">
        <v>500</v>
      </c>
      <c r="G32" s="354">
        <v>2.2000000000000001E-3</v>
      </c>
      <c r="H32" s="302" t="s">
        <v>501</v>
      </c>
      <c r="I32" s="297">
        <v>50</v>
      </c>
      <c r="J32" s="511" t="s">
        <v>113</v>
      </c>
      <c r="K32" s="257">
        <v>500</v>
      </c>
      <c r="L32" s="512" t="s">
        <v>426</v>
      </c>
      <c r="M32" s="351">
        <f>G32*I32*K32/$C$64</f>
        <v>2.75E-2</v>
      </c>
      <c r="N32" s="352" t="s">
        <v>497</v>
      </c>
      <c r="P32" s="320"/>
    </row>
    <row r="33" spans="1:16" x14ac:dyDescent="0.2">
      <c r="A33" s="293">
        <v>25</v>
      </c>
      <c r="B33" s="686" t="s">
        <v>457</v>
      </c>
      <c r="C33" s="510" t="s">
        <v>443</v>
      </c>
      <c r="D33" s="671">
        <v>2011</v>
      </c>
      <c r="E33" s="294" t="s">
        <v>441</v>
      </c>
      <c r="F33" s="269" t="s">
        <v>708</v>
      </c>
      <c r="G33" s="354">
        <v>0.4</v>
      </c>
      <c r="H33" s="302" t="s">
        <v>712</v>
      </c>
      <c r="I33" s="297">
        <v>18.350526315789473</v>
      </c>
      <c r="J33" s="511" t="s">
        <v>113</v>
      </c>
      <c r="K33" s="257">
        <v>500</v>
      </c>
      <c r="L33" s="512" t="s">
        <v>426</v>
      </c>
      <c r="M33" s="351">
        <f>I33*C$62*G33/1000*2.2/2000*K33</f>
        <v>3.0104772442105265E-3</v>
      </c>
      <c r="N33" s="352" t="s">
        <v>497</v>
      </c>
      <c r="P33" s="320"/>
    </row>
    <row r="34" spans="1:16" x14ac:dyDescent="0.2">
      <c r="A34" s="293">
        <v>26</v>
      </c>
      <c r="B34" s="686" t="s">
        <v>458</v>
      </c>
      <c r="C34" s="510" t="s">
        <v>443</v>
      </c>
      <c r="D34" s="671">
        <v>2003</v>
      </c>
      <c r="E34" s="294" t="s">
        <v>441</v>
      </c>
      <c r="F34" s="269" t="s">
        <v>500</v>
      </c>
      <c r="G34" s="354">
        <v>2.2000000000000001E-3</v>
      </c>
      <c r="H34" s="302" t="s">
        <v>501</v>
      </c>
      <c r="I34" s="297">
        <v>68</v>
      </c>
      <c r="J34" s="511" t="s">
        <v>113</v>
      </c>
      <c r="K34" s="257">
        <v>500</v>
      </c>
      <c r="L34" s="512" t="s">
        <v>426</v>
      </c>
      <c r="M34" s="351">
        <f>G34*I34*K34/$C$64</f>
        <v>3.7400000000000003E-2</v>
      </c>
      <c r="N34" s="352" t="s">
        <v>497</v>
      </c>
      <c r="P34" s="320"/>
    </row>
    <row r="35" spans="1:16" x14ac:dyDescent="0.2">
      <c r="A35" s="293">
        <v>27</v>
      </c>
      <c r="B35" s="266" t="s">
        <v>459</v>
      </c>
      <c r="C35" s="510" t="s">
        <v>443</v>
      </c>
      <c r="D35" s="671">
        <v>2010</v>
      </c>
      <c r="E35" s="294" t="s">
        <v>441</v>
      </c>
      <c r="F35" s="269" t="s">
        <v>708</v>
      </c>
      <c r="G35" s="354">
        <v>0.2</v>
      </c>
      <c r="H35" s="302" t="s">
        <v>712</v>
      </c>
      <c r="I35" s="297">
        <v>274</v>
      </c>
      <c r="J35" s="511" t="s">
        <v>113</v>
      </c>
      <c r="K35" s="257">
        <v>500</v>
      </c>
      <c r="L35" s="512" t="s">
        <v>426</v>
      </c>
      <c r="M35" s="351">
        <f>I35*C$62*G35/1000*2.2/2000*K35</f>
        <v>2.2475398000000004E-2</v>
      </c>
      <c r="N35" s="352" t="s">
        <v>497</v>
      </c>
      <c r="P35" s="320"/>
    </row>
    <row r="36" spans="1:16" x14ac:dyDescent="0.2">
      <c r="A36" s="293">
        <v>28</v>
      </c>
      <c r="B36" s="266" t="s">
        <v>459</v>
      </c>
      <c r="C36" s="510" t="s">
        <v>443</v>
      </c>
      <c r="D36" s="671">
        <v>2010</v>
      </c>
      <c r="E36" s="294" t="s">
        <v>441</v>
      </c>
      <c r="F36" s="269" t="s">
        <v>708</v>
      </c>
      <c r="G36" s="354">
        <v>0.2</v>
      </c>
      <c r="H36" s="302" t="s">
        <v>712</v>
      </c>
      <c r="I36" s="297">
        <v>274</v>
      </c>
      <c r="J36" s="511" t="s">
        <v>113</v>
      </c>
      <c r="K36" s="257">
        <v>500</v>
      </c>
      <c r="L36" s="512" t="s">
        <v>426</v>
      </c>
      <c r="M36" s="351">
        <f>I36*C$62*G36/1000*2.2/2000*K36</f>
        <v>2.2475398000000004E-2</v>
      </c>
      <c r="N36" s="352" t="s">
        <v>497</v>
      </c>
      <c r="P36" s="320"/>
    </row>
    <row r="37" spans="1:16" x14ac:dyDescent="0.2">
      <c r="A37" s="293" t="s">
        <v>748</v>
      </c>
      <c r="B37" s="266" t="s">
        <v>763</v>
      </c>
      <c r="C37" s="510" t="s">
        <v>460</v>
      </c>
      <c r="D37" s="671">
        <v>2014</v>
      </c>
      <c r="E37" s="294" t="s">
        <v>441</v>
      </c>
      <c r="F37" s="269" t="s">
        <v>708</v>
      </c>
      <c r="G37" s="354">
        <v>0.03</v>
      </c>
      <c r="H37" s="302" t="s">
        <v>712</v>
      </c>
      <c r="I37" s="297">
        <v>74</v>
      </c>
      <c r="J37" s="511" t="s">
        <v>113</v>
      </c>
      <c r="K37" s="257">
        <v>500</v>
      </c>
      <c r="L37" s="512" t="s">
        <v>426</v>
      </c>
      <c r="M37" s="351">
        <f>I37*C$62*G37/1000*2.2/2000*K37</f>
        <v>9.1049970000000007E-4</v>
      </c>
      <c r="N37" s="352" t="s">
        <v>497</v>
      </c>
      <c r="P37" s="320"/>
    </row>
    <row r="38" spans="1:16" x14ac:dyDescent="0.2">
      <c r="A38" s="293">
        <v>30</v>
      </c>
      <c r="B38" s="266" t="s">
        <v>461</v>
      </c>
      <c r="C38" s="510" t="s">
        <v>460</v>
      </c>
      <c r="D38" s="671">
        <v>1952</v>
      </c>
      <c r="E38" s="294" t="s">
        <v>441</v>
      </c>
      <c r="F38" s="269" t="s">
        <v>500</v>
      </c>
      <c r="G38" s="354">
        <v>2.2000000000000001E-3</v>
      </c>
      <c r="H38" s="302" t="s">
        <v>501</v>
      </c>
      <c r="I38" s="297">
        <v>75</v>
      </c>
      <c r="J38" s="511" t="s">
        <v>113</v>
      </c>
      <c r="K38" s="257">
        <v>500</v>
      </c>
      <c r="L38" s="512" t="s">
        <v>426</v>
      </c>
      <c r="M38" s="351">
        <f>G38*I38*K38/$C$64</f>
        <v>4.1250000000000002E-2</v>
      </c>
      <c r="N38" s="352" t="s">
        <v>497</v>
      </c>
      <c r="P38" s="320"/>
    </row>
    <row r="39" spans="1:16" x14ac:dyDescent="0.2">
      <c r="A39" s="293" t="s">
        <v>749</v>
      </c>
      <c r="B39" s="266" t="s">
        <v>763</v>
      </c>
      <c r="C39" s="510" t="s">
        <v>460</v>
      </c>
      <c r="D39" s="671">
        <v>2014</v>
      </c>
      <c r="E39" s="294" t="s">
        <v>441</v>
      </c>
      <c r="F39" s="269" t="s">
        <v>708</v>
      </c>
      <c r="G39" s="354">
        <v>0.03</v>
      </c>
      <c r="H39" s="302" t="s">
        <v>712</v>
      </c>
      <c r="I39" s="297">
        <v>74</v>
      </c>
      <c r="J39" s="511" t="s">
        <v>113</v>
      </c>
      <c r="K39" s="257">
        <v>500</v>
      </c>
      <c r="L39" s="512" t="s">
        <v>426</v>
      </c>
      <c r="M39" s="351">
        <f>I39*C$62*G39/1000*2.2/2000*K39</f>
        <v>9.1049970000000007E-4</v>
      </c>
      <c r="N39" s="352" t="s">
        <v>497</v>
      </c>
      <c r="P39" s="320"/>
    </row>
    <row r="40" spans="1:16" x14ac:dyDescent="0.2">
      <c r="A40" s="293">
        <v>32</v>
      </c>
      <c r="B40" s="266" t="s">
        <v>462</v>
      </c>
      <c r="C40" s="510" t="s">
        <v>460</v>
      </c>
      <c r="D40" s="671">
        <v>1955</v>
      </c>
      <c r="E40" s="294" t="s">
        <v>441</v>
      </c>
      <c r="F40" s="269" t="s">
        <v>500</v>
      </c>
      <c r="G40" s="354">
        <v>2.2000000000000001E-3</v>
      </c>
      <c r="H40" s="302" t="s">
        <v>501</v>
      </c>
      <c r="I40" s="297">
        <v>75</v>
      </c>
      <c r="J40" s="511" t="s">
        <v>113</v>
      </c>
      <c r="K40" s="257">
        <v>500</v>
      </c>
      <c r="L40" s="512" t="s">
        <v>426</v>
      </c>
      <c r="M40" s="351">
        <f>G40*I40*K40/$C$64</f>
        <v>4.1250000000000002E-2</v>
      </c>
      <c r="N40" s="352" t="s">
        <v>497</v>
      </c>
      <c r="P40" s="320"/>
    </row>
    <row r="41" spans="1:16" x14ac:dyDescent="0.2">
      <c r="A41" s="293">
        <v>33</v>
      </c>
      <c r="B41" s="266" t="s">
        <v>462</v>
      </c>
      <c r="C41" s="510" t="s">
        <v>460</v>
      </c>
      <c r="D41" s="671">
        <v>1994</v>
      </c>
      <c r="E41" s="294" t="s">
        <v>441</v>
      </c>
      <c r="F41" s="269" t="s">
        <v>500</v>
      </c>
      <c r="G41" s="354">
        <v>2.2000000000000001E-3</v>
      </c>
      <c r="H41" s="302" t="s">
        <v>501</v>
      </c>
      <c r="I41" s="297">
        <v>75</v>
      </c>
      <c r="J41" s="511" t="s">
        <v>113</v>
      </c>
      <c r="K41" s="257">
        <v>500</v>
      </c>
      <c r="L41" s="512" t="s">
        <v>426</v>
      </c>
      <c r="M41" s="351">
        <f>G41*I41*K41/$C$64</f>
        <v>4.1250000000000002E-2</v>
      </c>
      <c r="N41" s="352" t="s">
        <v>497</v>
      </c>
      <c r="P41" s="320"/>
    </row>
    <row r="42" spans="1:16" x14ac:dyDescent="0.2">
      <c r="A42" s="293">
        <v>34</v>
      </c>
      <c r="B42" s="266" t="s">
        <v>464</v>
      </c>
      <c r="C42" s="510" t="s">
        <v>463</v>
      </c>
      <c r="D42" s="671">
        <v>1995</v>
      </c>
      <c r="E42" s="294" t="s">
        <v>441</v>
      </c>
      <c r="F42" s="269" t="s">
        <v>500</v>
      </c>
      <c r="G42" s="354">
        <v>2.2000000000000001E-3</v>
      </c>
      <c r="H42" s="302" t="s">
        <v>501</v>
      </c>
      <c r="I42" s="297">
        <v>220</v>
      </c>
      <c r="J42" s="511" t="s">
        <v>113</v>
      </c>
      <c r="K42" s="257">
        <v>500</v>
      </c>
      <c r="L42" s="512" t="s">
        <v>426</v>
      </c>
      <c r="M42" s="351">
        <f>G42*I42*K42/$C$64</f>
        <v>0.12100000000000001</v>
      </c>
      <c r="N42" s="352" t="s">
        <v>497</v>
      </c>
      <c r="P42" s="320"/>
    </row>
    <row r="43" spans="1:16" x14ac:dyDescent="0.2">
      <c r="A43" s="293">
        <v>35</v>
      </c>
      <c r="B43" s="266" t="s">
        <v>465</v>
      </c>
      <c r="C43" s="510" t="s">
        <v>463</v>
      </c>
      <c r="D43" s="671">
        <v>2009</v>
      </c>
      <c r="E43" s="294" t="s">
        <v>441</v>
      </c>
      <c r="F43" s="269" t="s">
        <v>708</v>
      </c>
      <c r="G43" s="354">
        <v>0.4</v>
      </c>
      <c r="H43" s="302" t="s">
        <v>712</v>
      </c>
      <c r="I43" s="297">
        <v>55</v>
      </c>
      <c r="J43" s="511" t="s">
        <v>113</v>
      </c>
      <c r="K43" s="257">
        <v>500</v>
      </c>
      <c r="L43" s="512" t="s">
        <v>426</v>
      </c>
      <c r="M43" s="351">
        <f>I43*C$62*G43/1000*2.2/2000*K43</f>
        <v>9.0229700000000017E-3</v>
      </c>
      <c r="N43" s="352" t="s">
        <v>497</v>
      </c>
      <c r="P43" s="320"/>
    </row>
    <row r="44" spans="1:16" x14ac:dyDescent="0.2">
      <c r="A44" s="293">
        <v>36</v>
      </c>
      <c r="B44" s="266" t="s">
        <v>466</v>
      </c>
      <c r="C44" s="510" t="s">
        <v>463</v>
      </c>
      <c r="D44" s="671">
        <v>1995</v>
      </c>
      <c r="E44" s="294" t="s">
        <v>441</v>
      </c>
      <c r="F44" s="269" t="s">
        <v>500</v>
      </c>
      <c r="G44" s="354">
        <v>2.2000000000000001E-3</v>
      </c>
      <c r="H44" s="302" t="s">
        <v>501</v>
      </c>
      <c r="I44" s="297">
        <v>220</v>
      </c>
      <c r="J44" s="511" t="s">
        <v>113</v>
      </c>
      <c r="K44" s="257">
        <v>500</v>
      </c>
      <c r="L44" s="512" t="s">
        <v>426</v>
      </c>
      <c r="M44" s="351">
        <f>G44*I44*K44/$C$64</f>
        <v>0.12100000000000001</v>
      </c>
      <c r="N44" s="352" t="s">
        <v>497</v>
      </c>
      <c r="P44" s="320"/>
    </row>
    <row r="45" spans="1:16" x14ac:dyDescent="0.2">
      <c r="A45" s="293" t="s">
        <v>56</v>
      </c>
      <c r="B45" s="510" t="s">
        <v>467</v>
      </c>
      <c r="C45" s="510"/>
      <c r="D45" s="671">
        <v>1993</v>
      </c>
      <c r="E45" s="294" t="s">
        <v>49</v>
      </c>
      <c r="F45" s="1247" t="s">
        <v>978</v>
      </c>
      <c r="G45" s="1248"/>
      <c r="H45" s="1248"/>
      <c r="I45" s="297">
        <v>3620</v>
      </c>
      <c r="J45" s="511" t="s">
        <v>117</v>
      </c>
      <c r="K45" s="257">
        <v>4380</v>
      </c>
      <c r="L45" s="316" t="s">
        <v>426</v>
      </c>
      <c r="M45" s="357">
        <f>'7 DU Ash Handling'!M7</f>
        <v>0.17643905735421272</v>
      </c>
      <c r="N45" s="352" t="s">
        <v>497</v>
      </c>
      <c r="P45" s="320"/>
    </row>
    <row r="46" spans="1:16" x14ac:dyDescent="0.2">
      <c r="A46" s="293" t="s">
        <v>57</v>
      </c>
      <c r="B46" s="510" t="s">
        <v>469</v>
      </c>
      <c r="C46" s="510"/>
      <c r="D46" s="671">
        <v>1994</v>
      </c>
      <c r="E46" s="294" t="s">
        <v>49</v>
      </c>
      <c r="F46" s="1247" t="s">
        <v>978</v>
      </c>
      <c r="G46" s="1248"/>
      <c r="H46" s="1248"/>
      <c r="I46" s="297">
        <v>3620</v>
      </c>
      <c r="J46" s="511" t="s">
        <v>117</v>
      </c>
      <c r="K46" s="257">
        <v>4380</v>
      </c>
      <c r="L46" s="316" t="s">
        <v>426</v>
      </c>
      <c r="M46" s="357">
        <f>'7 DU Ash Handling'!M8</f>
        <v>0.17643905735421272</v>
      </c>
      <c r="N46" s="352" t="s">
        <v>497</v>
      </c>
      <c r="P46" s="320"/>
    </row>
    <row r="47" spans="1:16" x14ac:dyDescent="0.2">
      <c r="A47" s="293">
        <v>52</v>
      </c>
      <c r="B47" s="510" t="s">
        <v>470</v>
      </c>
      <c r="C47" s="510"/>
      <c r="D47" s="671" t="s">
        <v>761</v>
      </c>
      <c r="E47" s="294" t="s">
        <v>49</v>
      </c>
      <c r="F47" s="1247" t="s">
        <v>979</v>
      </c>
      <c r="G47" s="1248"/>
      <c r="H47" s="1248"/>
      <c r="I47" s="1240" t="s">
        <v>49</v>
      </c>
      <c r="J47" s="1241"/>
      <c r="K47" s="257">
        <f>'4a PM25 Base Case '!I47</f>
        <v>82049</v>
      </c>
      <c r="L47" s="316" t="s">
        <v>497</v>
      </c>
      <c r="M47" s="357">
        <v>3.22</v>
      </c>
      <c r="N47" s="352" t="s">
        <v>497</v>
      </c>
      <c r="P47" s="320"/>
    </row>
    <row r="48" spans="1:16" ht="17.25" thickBot="1" x14ac:dyDescent="0.35">
      <c r="A48" s="1218" t="s">
        <v>765</v>
      </c>
      <c r="B48" s="1219"/>
      <c r="C48" s="1219"/>
      <c r="D48" s="1219"/>
      <c r="E48" s="1219"/>
      <c r="F48" s="1219"/>
      <c r="G48" s="1219"/>
      <c r="H48" s="1219"/>
      <c r="I48" s="1219"/>
      <c r="J48" s="1219"/>
      <c r="K48" s="1219"/>
      <c r="L48" s="1220"/>
      <c r="M48" s="325">
        <f>SUM(M7:M47)</f>
        <v>74.288146618212323</v>
      </c>
      <c r="N48" s="326" t="s">
        <v>497</v>
      </c>
    </row>
    <row r="49" spans="1:14" ht="15.75" thickBot="1" x14ac:dyDescent="0.3">
      <c r="A49" s="1213" t="s">
        <v>471</v>
      </c>
      <c r="B49" s="1214"/>
      <c r="C49" s="1214"/>
      <c r="D49" s="1214"/>
      <c r="E49" s="1214"/>
      <c r="F49" s="1214"/>
      <c r="G49" s="1214"/>
      <c r="H49" s="1214"/>
      <c r="I49" s="1214"/>
      <c r="J49" s="1214"/>
      <c r="K49" s="1214"/>
      <c r="L49" s="1214"/>
      <c r="M49" s="1214"/>
      <c r="N49" s="1215"/>
    </row>
    <row r="50" spans="1:14" ht="15" thickTop="1" x14ac:dyDescent="0.2">
      <c r="A50" s="293" t="s">
        <v>49</v>
      </c>
      <c r="B50" s="510" t="s">
        <v>472</v>
      </c>
      <c r="C50" s="510"/>
      <c r="D50" s="510"/>
      <c r="E50" s="294" t="s">
        <v>49</v>
      </c>
      <c r="F50" s="1247" t="s">
        <v>978</v>
      </c>
      <c r="G50" s="1248"/>
      <c r="H50" s="1248"/>
      <c r="I50" s="297">
        <v>1460</v>
      </c>
      <c r="J50" s="511" t="s">
        <v>117</v>
      </c>
      <c r="K50" s="513">
        <v>4380</v>
      </c>
      <c r="L50" s="514" t="s">
        <v>426</v>
      </c>
      <c r="M50" s="515">
        <f>'7 DU Ash Handling'!M10</f>
        <v>7.1160503794792968E-2</v>
      </c>
      <c r="N50" s="328" t="s">
        <v>497</v>
      </c>
    </row>
    <row r="51" spans="1:14" x14ac:dyDescent="0.2">
      <c r="A51" s="293" t="s">
        <v>49</v>
      </c>
      <c r="B51" s="510" t="s">
        <v>474</v>
      </c>
      <c r="C51" s="510"/>
      <c r="D51" s="510"/>
      <c r="E51" s="294" t="s">
        <v>49</v>
      </c>
      <c r="F51" s="1247" t="s">
        <v>978</v>
      </c>
      <c r="G51" s="1248"/>
      <c r="H51" s="1248"/>
      <c r="I51" s="1240" t="s">
        <v>49</v>
      </c>
      <c r="J51" s="1241"/>
      <c r="K51" s="516">
        <f>'4a PM25 Base Case '!I51</f>
        <v>28560.000000000004</v>
      </c>
      <c r="L51" s="359" t="s">
        <v>497</v>
      </c>
      <c r="M51" s="517">
        <f>'7 DU Ash Handling'!M11</f>
        <v>6.4260000000000001E-4</v>
      </c>
      <c r="N51" s="518" t="s">
        <v>497</v>
      </c>
    </row>
    <row r="52" spans="1:14" x14ac:dyDescent="0.2">
      <c r="A52" s="293" t="s">
        <v>49</v>
      </c>
      <c r="B52" s="510" t="s">
        <v>476</v>
      </c>
      <c r="C52" s="510"/>
      <c r="D52" s="510"/>
      <c r="E52" s="294" t="s">
        <v>478</v>
      </c>
      <c r="F52" s="241" t="s">
        <v>49</v>
      </c>
      <c r="G52" s="1155" t="s">
        <v>49</v>
      </c>
      <c r="H52" s="1156"/>
      <c r="I52" s="1240" t="s">
        <v>49</v>
      </c>
      <c r="J52" s="1241"/>
      <c r="K52" s="1252" t="s">
        <v>49</v>
      </c>
      <c r="L52" s="1253"/>
      <c r="M52" s="519">
        <v>0</v>
      </c>
      <c r="N52" s="518" t="s">
        <v>497</v>
      </c>
    </row>
    <row r="53" spans="1:14" x14ac:dyDescent="0.2">
      <c r="A53" s="293" t="s">
        <v>49</v>
      </c>
      <c r="B53" s="510" t="s">
        <v>479</v>
      </c>
      <c r="C53" s="510"/>
      <c r="D53" s="510"/>
      <c r="E53" s="294" t="s">
        <v>478</v>
      </c>
      <c r="F53" s="241" t="s">
        <v>49</v>
      </c>
      <c r="G53" s="1148" t="s">
        <v>49</v>
      </c>
      <c r="H53" s="1148"/>
      <c r="I53" s="1240" t="s">
        <v>49</v>
      </c>
      <c r="J53" s="1241"/>
      <c r="K53" s="1252" t="s">
        <v>49</v>
      </c>
      <c r="L53" s="1253"/>
      <c r="M53" s="519">
        <v>0</v>
      </c>
      <c r="N53" s="518" t="s">
        <v>497</v>
      </c>
    </row>
    <row r="54" spans="1:14" s="374" customFormat="1" ht="16.5" x14ac:dyDescent="0.3">
      <c r="A54" s="1234" t="s">
        <v>766</v>
      </c>
      <c r="B54" s="1235"/>
      <c r="C54" s="1235"/>
      <c r="D54" s="1235"/>
      <c r="E54" s="1235"/>
      <c r="F54" s="1235"/>
      <c r="G54" s="1235"/>
      <c r="H54" s="1235"/>
      <c r="I54" s="1235"/>
      <c r="J54" s="1235"/>
      <c r="K54" s="1235"/>
      <c r="L54" s="1236"/>
      <c r="M54" s="365">
        <f>SUM(M50:M53)</f>
        <v>7.1803103794792961E-2</v>
      </c>
      <c r="N54" s="332" t="s">
        <v>497</v>
      </c>
    </row>
    <row r="55" spans="1:14" ht="15" x14ac:dyDescent="0.25">
      <c r="A55" s="366"/>
      <c r="B55" s="367"/>
      <c r="C55" s="669"/>
      <c r="D55" s="669"/>
      <c r="E55" s="367"/>
      <c r="F55" s="367"/>
      <c r="G55" s="368"/>
      <c r="H55" s="368"/>
      <c r="I55" s="369"/>
      <c r="J55" s="368"/>
      <c r="K55" s="370"/>
      <c r="L55" s="371"/>
      <c r="M55" s="337"/>
      <c r="N55" s="520"/>
    </row>
    <row r="56" spans="1:14" ht="18.75" thickBot="1" x14ac:dyDescent="0.35">
      <c r="A56" s="1218" t="s">
        <v>675</v>
      </c>
      <c r="B56" s="1219"/>
      <c r="C56" s="1219"/>
      <c r="D56" s="1219"/>
      <c r="E56" s="1219"/>
      <c r="F56" s="1219"/>
      <c r="G56" s="1219"/>
      <c r="H56" s="1219"/>
      <c r="I56" s="1219"/>
      <c r="J56" s="1219"/>
      <c r="K56" s="1219"/>
      <c r="L56" s="1220"/>
      <c r="M56" s="325">
        <f>SUM(M48,M54)</f>
        <v>74.359949722007116</v>
      </c>
      <c r="N56" s="326" t="s">
        <v>676</v>
      </c>
    </row>
    <row r="57" spans="1:14" ht="15" x14ac:dyDescent="0.25">
      <c r="A57" s="122"/>
      <c r="B57" s="283"/>
      <c r="C57" s="283"/>
      <c r="D57" s="283"/>
      <c r="E57" s="283"/>
      <c r="F57" s="283"/>
      <c r="G57" s="283"/>
      <c r="H57" s="283"/>
      <c r="I57" s="283"/>
      <c r="J57" s="283"/>
      <c r="K57" s="283"/>
      <c r="L57" s="335"/>
      <c r="M57" s="336"/>
      <c r="N57" s="337"/>
    </row>
    <row r="58" spans="1:14" x14ac:dyDescent="0.2">
      <c r="A58" s="125" t="s">
        <v>239</v>
      </c>
      <c r="F58" s="126"/>
    </row>
    <row r="59" spans="1:14" x14ac:dyDescent="0.2">
      <c r="A59" s="1308" t="s">
        <v>980</v>
      </c>
      <c r="B59" s="1308"/>
      <c r="C59" s="1308"/>
      <c r="D59" s="1308"/>
      <c r="E59" s="1308"/>
      <c r="F59" s="1308"/>
      <c r="G59" s="1308"/>
      <c r="H59" s="1308"/>
      <c r="I59" s="1308"/>
      <c r="J59" s="1308"/>
      <c r="K59" s="1308"/>
      <c r="L59" s="1308"/>
      <c r="M59" s="1308"/>
      <c r="N59" s="1308"/>
    </row>
    <row r="60" spans="1:14" x14ac:dyDescent="0.2">
      <c r="A60" s="689" t="s">
        <v>764</v>
      </c>
      <c r="B60" s="521"/>
      <c r="C60" s="672"/>
      <c r="D60" s="672"/>
      <c r="E60" s="521"/>
      <c r="F60" s="521"/>
      <c r="G60" s="521"/>
      <c r="H60" s="521"/>
      <c r="I60" s="521"/>
      <c r="J60" s="521"/>
      <c r="K60" s="521"/>
      <c r="L60" s="521"/>
      <c r="M60" s="521"/>
      <c r="N60" s="521"/>
    </row>
    <row r="61" spans="1:14" x14ac:dyDescent="0.2">
      <c r="A61" s="125" t="s">
        <v>483</v>
      </c>
    </row>
    <row r="62" spans="1:14" x14ac:dyDescent="0.2">
      <c r="B62" s="338" t="s">
        <v>709</v>
      </c>
      <c r="C62" s="125">
        <f>'2b DU NOx Proposed'!E58</f>
        <v>0.74570000000000003</v>
      </c>
      <c r="D62" s="125" t="s">
        <v>116</v>
      </c>
    </row>
    <row r="63" spans="1:14" x14ac:dyDescent="0.2">
      <c r="B63" s="338" t="s">
        <v>503</v>
      </c>
      <c r="C63" s="375">
        <v>453.6</v>
      </c>
      <c r="D63" s="125" t="s">
        <v>504</v>
      </c>
    </row>
    <row r="64" spans="1:14" x14ac:dyDescent="0.2">
      <c r="B64" s="338" t="s">
        <v>503</v>
      </c>
      <c r="C64" s="339">
        <v>2000</v>
      </c>
      <c r="D64" s="125" t="s">
        <v>496</v>
      </c>
    </row>
    <row r="65" spans="1:6" x14ac:dyDescent="0.2">
      <c r="B65" s="338" t="s">
        <v>505</v>
      </c>
      <c r="C65" s="341">
        <v>15.12</v>
      </c>
      <c r="D65" s="125" t="s">
        <v>506</v>
      </c>
      <c r="E65" s="342" t="s">
        <v>507</v>
      </c>
      <c r="F65" s="66"/>
    </row>
    <row r="66" spans="1:6" x14ac:dyDescent="0.2">
      <c r="F66" s="66"/>
    </row>
    <row r="67" spans="1:6" x14ac:dyDescent="0.2">
      <c r="A67" s="125" t="s">
        <v>928</v>
      </c>
      <c r="F67" s="66"/>
    </row>
    <row r="68" spans="1:6" x14ac:dyDescent="0.2">
      <c r="F68" s="66"/>
    </row>
    <row r="69" spans="1:6" x14ac:dyDescent="0.2">
      <c r="F69" s="66"/>
    </row>
    <row r="70" spans="1:6" x14ac:dyDescent="0.2">
      <c r="F70" s="66"/>
    </row>
    <row r="71" spans="1:6" x14ac:dyDescent="0.2">
      <c r="F71" s="66"/>
    </row>
    <row r="72" spans="1:6" x14ac:dyDescent="0.2">
      <c r="F72" s="66"/>
    </row>
    <row r="73" spans="1:6" x14ac:dyDescent="0.2">
      <c r="F73" s="66"/>
    </row>
    <row r="74" spans="1:6" x14ac:dyDescent="0.2">
      <c r="F74" s="66"/>
    </row>
    <row r="75" spans="1:6" x14ac:dyDescent="0.2">
      <c r="F75" s="66"/>
    </row>
    <row r="76" spans="1:6" x14ac:dyDescent="0.2">
      <c r="F76" s="66"/>
    </row>
    <row r="77" spans="1:6" x14ac:dyDescent="0.2">
      <c r="F77" s="66"/>
    </row>
    <row r="78" spans="1:6" x14ac:dyDescent="0.2">
      <c r="F78" s="66"/>
    </row>
    <row r="79" spans="1:6" x14ac:dyDescent="0.2">
      <c r="F79" s="66"/>
    </row>
    <row r="80" spans="1:6" x14ac:dyDescent="0.2">
      <c r="F80" s="66"/>
    </row>
    <row r="81" spans="6:6" x14ac:dyDescent="0.2">
      <c r="F81" s="66"/>
    </row>
    <row r="82" spans="6:6" x14ac:dyDescent="0.2">
      <c r="F82" s="66"/>
    </row>
    <row r="83" spans="6:6" x14ac:dyDescent="0.2">
      <c r="F83" s="66"/>
    </row>
    <row r="84" spans="6:6" x14ac:dyDescent="0.2">
      <c r="F84" s="66"/>
    </row>
    <row r="85" spans="6:6" x14ac:dyDescent="0.2">
      <c r="F85" s="66"/>
    </row>
    <row r="86" spans="6:6" x14ac:dyDescent="0.2">
      <c r="F86" s="66"/>
    </row>
    <row r="87" spans="6:6" x14ac:dyDescent="0.2">
      <c r="F87" s="66"/>
    </row>
    <row r="88" spans="6:6" x14ac:dyDescent="0.2">
      <c r="F88" s="66"/>
    </row>
    <row r="89" spans="6:6" x14ac:dyDescent="0.2">
      <c r="F89" s="66"/>
    </row>
    <row r="90" spans="6:6" x14ac:dyDescent="0.2">
      <c r="F90" s="66"/>
    </row>
    <row r="91" spans="6:6" x14ac:dyDescent="0.2">
      <c r="F91" s="66"/>
    </row>
    <row r="92" spans="6:6" x14ac:dyDescent="0.2">
      <c r="F92" s="66"/>
    </row>
    <row r="93" spans="6:6" x14ac:dyDescent="0.2">
      <c r="F93" s="66"/>
    </row>
    <row r="94" spans="6:6" x14ac:dyDescent="0.2">
      <c r="F94" s="66"/>
    </row>
    <row r="95" spans="6:6" x14ac:dyDescent="0.2">
      <c r="F95" s="66"/>
    </row>
    <row r="96" spans="6:6" x14ac:dyDescent="0.2">
      <c r="F96" s="66"/>
    </row>
    <row r="97" spans="6:6" x14ac:dyDescent="0.2">
      <c r="F97" s="66"/>
    </row>
    <row r="98" spans="6:6" x14ac:dyDescent="0.2">
      <c r="F98" s="66"/>
    </row>
    <row r="99" spans="6:6" x14ac:dyDescent="0.2">
      <c r="F99" s="66"/>
    </row>
    <row r="100" spans="6:6" x14ac:dyDescent="0.2">
      <c r="F100" s="66"/>
    </row>
    <row r="101" spans="6:6" x14ac:dyDescent="0.2">
      <c r="F101" s="66"/>
    </row>
    <row r="102" spans="6:6" x14ac:dyDescent="0.2">
      <c r="F102" s="66"/>
    </row>
    <row r="103" spans="6:6" x14ac:dyDescent="0.2">
      <c r="F103" s="66"/>
    </row>
    <row r="104" spans="6:6" x14ac:dyDescent="0.2">
      <c r="F104" s="66"/>
    </row>
    <row r="105" spans="6:6" x14ac:dyDescent="0.2">
      <c r="F105" s="66"/>
    </row>
    <row r="106" spans="6:6" x14ac:dyDescent="0.2">
      <c r="F106" s="66"/>
    </row>
    <row r="107" spans="6:6" x14ac:dyDescent="0.2">
      <c r="F107" s="66"/>
    </row>
    <row r="108" spans="6:6" x14ac:dyDescent="0.2">
      <c r="F108" s="66"/>
    </row>
    <row r="109" spans="6:6" x14ac:dyDescent="0.2">
      <c r="F109" s="66"/>
    </row>
    <row r="110" spans="6:6" x14ac:dyDescent="0.2">
      <c r="F110" s="66"/>
    </row>
    <row r="111" spans="6:6" x14ac:dyDescent="0.2">
      <c r="F111" s="66"/>
    </row>
    <row r="112" spans="6:6" x14ac:dyDescent="0.2">
      <c r="F112" s="66"/>
    </row>
    <row r="113" spans="6:6" x14ac:dyDescent="0.2">
      <c r="F113" s="66"/>
    </row>
    <row r="114" spans="6:6" x14ac:dyDescent="0.2">
      <c r="F114" s="66"/>
    </row>
    <row r="115" spans="6:6" x14ac:dyDescent="0.2">
      <c r="F115" s="66"/>
    </row>
    <row r="116" spans="6:6" x14ac:dyDescent="0.2">
      <c r="F116" s="66"/>
    </row>
    <row r="117" spans="6:6" x14ac:dyDescent="0.2">
      <c r="F117" s="66"/>
    </row>
    <row r="118" spans="6:6" x14ac:dyDescent="0.2">
      <c r="F118" s="66"/>
    </row>
    <row r="119" spans="6:6" x14ac:dyDescent="0.2">
      <c r="F119" s="66"/>
    </row>
    <row r="120" spans="6:6" x14ac:dyDescent="0.2">
      <c r="F120" s="66"/>
    </row>
  </sheetData>
  <mergeCells count="32">
    <mergeCell ref="F51:H51"/>
    <mergeCell ref="I51:J51"/>
    <mergeCell ref="F46:H46"/>
    <mergeCell ref="F47:H47"/>
    <mergeCell ref="I47:J47"/>
    <mergeCell ref="A48:L48"/>
    <mergeCell ref="A49:N49"/>
    <mergeCell ref="F50:H50"/>
    <mergeCell ref="A54:L54"/>
    <mergeCell ref="A56:L56"/>
    <mergeCell ref="A59:N59"/>
    <mergeCell ref="G52:H52"/>
    <mergeCell ref="I52:J52"/>
    <mergeCell ref="K52:L52"/>
    <mergeCell ref="G53:H53"/>
    <mergeCell ref="I53:J53"/>
    <mergeCell ref="K53:L53"/>
    <mergeCell ref="A6:N6"/>
    <mergeCell ref="F45:H45"/>
    <mergeCell ref="L7:L12"/>
    <mergeCell ref="F7:F12"/>
    <mergeCell ref="K7:K12"/>
    <mergeCell ref="M7:M12"/>
    <mergeCell ref="N7:N12"/>
    <mergeCell ref="F13:H15"/>
    <mergeCell ref="I5:J5"/>
    <mergeCell ref="M5:N5"/>
    <mergeCell ref="A1:N1"/>
    <mergeCell ref="A2:N2"/>
    <mergeCell ref="A4:B4"/>
    <mergeCell ref="I4:J4"/>
    <mergeCell ref="M4:N4"/>
  </mergeCells>
  <printOptions horizontalCentered="1"/>
  <pageMargins left="0.25" right="0.25" top="0.75" bottom="0.75" header="0.3" footer="0.3"/>
  <pageSetup scale="62" fitToHeight="2" orientation="landscape" useFirstPageNumber="1" r:id="rId1"/>
  <headerFooter alignWithMargins="0"/>
  <rowBreaks count="1" manualBreakCount="1">
    <brk id="48" max="11"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E120"/>
  <sheetViews>
    <sheetView view="pageLayout" topLeftCell="B1" zoomScaleNormal="100" zoomScaleSheetLayoutView="100" workbookViewId="0">
      <selection activeCell="Z29" sqref="Z29"/>
    </sheetView>
  </sheetViews>
  <sheetFormatPr defaultColWidth="9.140625" defaultRowHeight="14.25" x14ac:dyDescent="0.2"/>
  <cols>
    <col min="1" max="1" width="12.7109375" style="125" customWidth="1"/>
    <col min="2" max="2" width="43" style="125" customWidth="1"/>
    <col min="3" max="3" width="24.140625" style="125" customWidth="1"/>
    <col min="4" max="4" width="15.7109375" style="125" customWidth="1"/>
    <col min="5" max="5" width="11.7109375" style="125" customWidth="1"/>
    <col min="6" max="6" width="29.28515625" style="125" customWidth="1"/>
    <col min="7" max="7" width="10.5703125" style="125" customWidth="1"/>
    <col min="8" max="8" width="12.5703125" style="125" customWidth="1"/>
    <col min="9" max="9" width="8.42578125" style="125" customWidth="1"/>
    <col min="10" max="10" width="12.140625" style="125" customWidth="1"/>
    <col min="11" max="11" width="11.140625" style="125" customWidth="1"/>
    <col min="12" max="12" width="9.85546875" style="125" customWidth="1"/>
    <col min="13" max="13" width="8.85546875" style="287" customWidth="1"/>
    <col min="14" max="14" width="8.7109375" style="125" customWidth="1"/>
    <col min="15" max="15" width="13.140625" style="824" customWidth="1"/>
    <col min="16" max="16" width="11.5703125" style="125" customWidth="1"/>
    <col min="17" max="17" width="13.5703125" style="879" customWidth="1"/>
    <col min="18" max="18" width="13.5703125" style="824" customWidth="1"/>
    <col min="19" max="19" width="13.5703125" style="737" customWidth="1"/>
    <col min="20" max="20" width="13.5703125" style="879" customWidth="1"/>
    <col min="21" max="21" width="13.5703125" style="824" customWidth="1"/>
    <col min="22" max="22" width="13.5703125" style="737" customWidth="1"/>
    <col min="23" max="23" width="13.5703125" style="824" customWidth="1"/>
    <col min="24" max="24" width="9.140625" style="125"/>
    <col min="25" max="25" width="14.5703125" style="125" customWidth="1"/>
    <col min="26" max="26" width="10" style="125" customWidth="1"/>
    <col min="27" max="27" width="9.140625" style="125"/>
    <col min="28" max="28" width="10" style="125" customWidth="1"/>
    <col min="29" max="16384" width="9.140625" style="125"/>
  </cols>
  <sheetData>
    <row r="1" spans="1:31" ht="16.5" x14ac:dyDescent="0.3">
      <c r="A1" s="1197" t="s">
        <v>947</v>
      </c>
      <c r="B1" s="1197"/>
      <c r="C1" s="1197"/>
      <c r="D1" s="1197"/>
      <c r="E1" s="1197"/>
      <c r="F1" s="1197"/>
      <c r="G1" s="1197"/>
      <c r="H1" s="1197"/>
      <c r="I1" s="1197"/>
      <c r="J1" s="1197"/>
      <c r="K1" s="1197"/>
      <c r="L1" s="1197"/>
      <c r="M1" s="1197"/>
      <c r="N1" s="1197"/>
      <c r="O1" s="823"/>
      <c r="P1" s="730"/>
      <c r="Q1" s="878"/>
      <c r="R1" s="823"/>
      <c r="S1" s="736"/>
      <c r="T1" s="878"/>
      <c r="U1" s="823"/>
      <c r="V1" s="736"/>
      <c r="W1" s="823"/>
    </row>
    <row r="2" spans="1:31" ht="15" x14ac:dyDescent="0.25">
      <c r="A2" s="1197" t="s">
        <v>416</v>
      </c>
      <c r="B2" s="1197"/>
      <c r="C2" s="1197"/>
      <c r="D2" s="1197"/>
      <c r="E2" s="1197"/>
      <c r="F2" s="1197"/>
      <c r="G2" s="1197"/>
      <c r="H2" s="1197"/>
      <c r="I2" s="1197"/>
      <c r="J2" s="1197"/>
      <c r="K2" s="1197"/>
      <c r="L2" s="1197"/>
      <c r="M2" s="1197"/>
      <c r="N2" s="1197"/>
      <c r="O2" s="823"/>
      <c r="P2" s="730"/>
      <c r="Q2" s="878"/>
      <c r="R2" s="823"/>
      <c r="S2" s="736"/>
      <c r="T2" s="878"/>
      <c r="U2" s="823"/>
      <c r="V2" s="736"/>
      <c r="W2" s="823"/>
    </row>
    <row r="3" spans="1:31" ht="15.75" thickBot="1" x14ac:dyDescent="0.25">
      <c r="B3" s="343"/>
      <c r="C3" s="343"/>
      <c r="D3" s="343"/>
    </row>
    <row r="4" spans="1:31" ht="43.5" customHeight="1" x14ac:dyDescent="0.3">
      <c r="A4" s="1198" t="s">
        <v>417</v>
      </c>
      <c r="B4" s="1011"/>
      <c r="C4" s="733"/>
      <c r="D4" s="733" t="s">
        <v>760</v>
      </c>
      <c r="E4" s="733" t="s">
        <v>418</v>
      </c>
      <c r="F4" s="731" t="s">
        <v>488</v>
      </c>
      <c r="G4" s="289" t="s">
        <v>673</v>
      </c>
      <c r="H4" s="289"/>
      <c r="I4" s="1199" t="s">
        <v>417</v>
      </c>
      <c r="J4" s="1199"/>
      <c r="K4" s="344" t="s">
        <v>490</v>
      </c>
      <c r="L4" s="344"/>
      <c r="M4" s="1202" t="s">
        <v>378</v>
      </c>
      <c r="N4" s="1310"/>
      <c r="O4" s="1329" t="s">
        <v>818</v>
      </c>
      <c r="P4" s="1327" t="s">
        <v>878</v>
      </c>
      <c r="Q4" s="1329" t="s">
        <v>815</v>
      </c>
      <c r="R4" s="1329" t="s">
        <v>877</v>
      </c>
      <c r="S4" s="1327" t="s">
        <v>878</v>
      </c>
      <c r="T4" s="1329" t="s">
        <v>815</v>
      </c>
      <c r="U4" s="1329" t="s">
        <v>819</v>
      </c>
      <c r="V4" s="1327" t="s">
        <v>878</v>
      </c>
      <c r="W4" s="1329" t="s">
        <v>815</v>
      </c>
    </row>
    <row r="5" spans="1:31" ht="16.5" x14ac:dyDescent="0.3">
      <c r="A5" s="290" t="s">
        <v>157</v>
      </c>
      <c r="B5" s="238" t="s">
        <v>420</v>
      </c>
      <c r="C5" s="729"/>
      <c r="D5" s="729"/>
      <c r="E5" s="729" t="s">
        <v>421</v>
      </c>
      <c r="F5" s="291" t="s">
        <v>491</v>
      </c>
      <c r="G5" s="292" t="s">
        <v>492</v>
      </c>
      <c r="H5" s="292"/>
      <c r="I5" s="1230" t="s">
        <v>493</v>
      </c>
      <c r="J5" s="1230"/>
      <c r="K5" s="345" t="s">
        <v>494</v>
      </c>
      <c r="L5" s="345"/>
      <c r="M5" s="1204" t="s">
        <v>674</v>
      </c>
      <c r="N5" s="1309"/>
      <c r="O5" s="1330"/>
      <c r="P5" s="1328"/>
      <c r="Q5" s="1330"/>
      <c r="R5" s="1330"/>
      <c r="S5" s="1328"/>
      <c r="T5" s="1330"/>
      <c r="U5" s="1330"/>
      <c r="V5" s="1328"/>
      <c r="W5" s="1330"/>
    </row>
    <row r="6" spans="1:31" ht="15.75" thickBot="1" x14ac:dyDescent="0.3">
      <c r="A6" s="1206" t="s">
        <v>422</v>
      </c>
      <c r="B6" s="1207"/>
      <c r="C6" s="1207"/>
      <c r="D6" s="1207"/>
      <c r="E6" s="1207"/>
      <c r="F6" s="1207"/>
      <c r="G6" s="1207"/>
      <c r="H6" s="1207"/>
      <c r="I6" s="1207"/>
      <c r="J6" s="1207"/>
      <c r="K6" s="1207"/>
      <c r="L6" s="1207"/>
      <c r="M6" s="1207"/>
      <c r="N6" s="1311"/>
      <c r="O6" s="887"/>
      <c r="P6" s="888"/>
      <c r="Q6" s="887"/>
      <c r="R6" s="887"/>
      <c r="S6" s="889"/>
      <c r="T6" s="887"/>
      <c r="U6" s="887"/>
      <c r="V6" s="889"/>
      <c r="W6" s="887"/>
    </row>
    <row r="7" spans="1:31" ht="15" hidden="1" customHeight="1" thickTop="1" x14ac:dyDescent="0.2">
      <c r="A7" s="509">
        <v>1</v>
      </c>
      <c r="B7" s="510" t="s">
        <v>423</v>
      </c>
      <c r="C7" s="510"/>
      <c r="D7" s="726">
        <v>1953</v>
      </c>
      <c r="E7" s="726" t="s">
        <v>425</v>
      </c>
      <c r="F7" s="1312" t="s">
        <v>757</v>
      </c>
      <c r="G7" s="1315">
        <f>0.032*5</f>
        <v>0.16</v>
      </c>
      <c r="H7" s="1318" t="s">
        <v>496</v>
      </c>
      <c r="I7" s="297">
        <v>230</v>
      </c>
      <c r="J7" s="296" t="str">
        <f>'2b DU NOx Proposed'!J7</f>
        <v>MMBtu/hr</v>
      </c>
      <c r="K7" s="1321">
        <v>336000</v>
      </c>
      <c r="L7" s="1324" t="s">
        <v>747</v>
      </c>
      <c r="M7" s="300">
        <f>K$7*G$7/6/2000</f>
        <v>4.4800000000000004</v>
      </c>
      <c r="N7" s="880" t="s">
        <v>497</v>
      </c>
      <c r="O7" s="890"/>
      <c r="P7" s="891"/>
      <c r="Q7" s="890"/>
      <c r="R7" s="890"/>
      <c r="S7" s="892"/>
      <c r="T7" s="890"/>
      <c r="U7" s="890"/>
      <c r="V7" s="892"/>
      <c r="W7" s="890"/>
      <c r="X7" s="340"/>
    </row>
    <row r="8" spans="1:31" hidden="1" x14ac:dyDescent="0.2">
      <c r="A8" s="293">
        <v>2</v>
      </c>
      <c r="B8" s="510" t="s">
        <v>427</v>
      </c>
      <c r="C8" s="510"/>
      <c r="D8" s="726">
        <v>1953</v>
      </c>
      <c r="E8" s="726" t="s">
        <v>425</v>
      </c>
      <c r="F8" s="1313"/>
      <c r="G8" s="1316"/>
      <c r="H8" s="1319"/>
      <c r="I8" s="297">
        <v>230</v>
      </c>
      <c r="J8" s="296" t="str">
        <f>'2b DU NOx Proposed'!J8</f>
        <v>MMBtu/hr</v>
      </c>
      <c r="K8" s="1322"/>
      <c r="L8" s="1325"/>
      <c r="M8" s="304">
        <f t="shared" ref="M8:M12" si="0">K$7*G$7/6/2000</f>
        <v>4.4800000000000004</v>
      </c>
      <c r="N8" s="881" t="s">
        <v>497</v>
      </c>
      <c r="O8" s="890"/>
      <c r="P8" s="891"/>
      <c r="Q8" s="890"/>
      <c r="R8" s="890"/>
      <c r="S8" s="892"/>
      <c r="T8" s="890"/>
      <c r="U8" s="890"/>
      <c r="V8" s="892"/>
      <c r="W8" s="890"/>
    </row>
    <row r="9" spans="1:31" ht="14.25" hidden="1" customHeight="1" x14ac:dyDescent="0.2">
      <c r="A9" s="293">
        <v>3</v>
      </c>
      <c r="B9" s="510" t="s">
        <v>429</v>
      </c>
      <c r="C9" s="510"/>
      <c r="D9" s="726">
        <v>1953</v>
      </c>
      <c r="E9" s="726" t="s">
        <v>425</v>
      </c>
      <c r="F9" s="1313"/>
      <c r="G9" s="1316"/>
      <c r="H9" s="1319"/>
      <c r="I9" s="297">
        <v>230</v>
      </c>
      <c r="J9" s="296" t="str">
        <f>'2b DU NOx Proposed'!J9</f>
        <v>MMBtu/hr</v>
      </c>
      <c r="K9" s="1322"/>
      <c r="L9" s="1325"/>
      <c r="M9" s="304">
        <f t="shared" si="0"/>
        <v>4.4800000000000004</v>
      </c>
      <c r="N9" s="881" t="s">
        <v>497</v>
      </c>
      <c r="O9" s="890"/>
      <c r="P9" s="891"/>
      <c r="Q9" s="890"/>
      <c r="R9" s="890"/>
      <c r="S9" s="892"/>
      <c r="T9" s="890"/>
      <c r="U9" s="890"/>
      <c r="V9" s="892"/>
      <c r="W9" s="890"/>
      <c r="X9" s="306"/>
      <c r="Y9" s="307"/>
      <c r="Z9" s="307"/>
      <c r="AA9" s="307"/>
      <c r="AB9" s="307"/>
      <c r="AC9" s="307"/>
      <c r="AD9" s="307"/>
      <c r="AE9" s="307"/>
    </row>
    <row r="10" spans="1:31" hidden="1" x14ac:dyDescent="0.2">
      <c r="A10" s="293">
        <v>4</v>
      </c>
      <c r="B10" s="510" t="s">
        <v>430</v>
      </c>
      <c r="C10" s="510"/>
      <c r="D10" s="726">
        <v>1953</v>
      </c>
      <c r="E10" s="726" t="s">
        <v>425</v>
      </c>
      <c r="F10" s="1313"/>
      <c r="G10" s="1316"/>
      <c r="H10" s="1319"/>
      <c r="I10" s="297">
        <v>230</v>
      </c>
      <c r="J10" s="296" t="str">
        <f>'2b DU NOx Proposed'!J10</f>
        <v>MMBtu/hr</v>
      </c>
      <c r="K10" s="1322"/>
      <c r="L10" s="1325"/>
      <c r="M10" s="304">
        <f t="shared" si="0"/>
        <v>4.4800000000000004</v>
      </c>
      <c r="N10" s="881" t="s">
        <v>497</v>
      </c>
      <c r="O10" s="890"/>
      <c r="P10" s="891"/>
      <c r="Q10" s="890"/>
      <c r="R10" s="890"/>
      <c r="S10" s="892"/>
      <c r="T10" s="890"/>
      <c r="U10" s="890"/>
      <c r="V10" s="892"/>
      <c r="W10" s="890"/>
      <c r="X10" s="306"/>
      <c r="Y10" s="307"/>
      <c r="Z10" s="307"/>
      <c r="AA10" s="307"/>
      <c r="AB10" s="307"/>
      <c r="AC10" s="307"/>
      <c r="AD10" s="307"/>
      <c r="AE10" s="307"/>
    </row>
    <row r="11" spans="1:31" hidden="1" x14ac:dyDescent="0.2">
      <c r="A11" s="293">
        <v>5</v>
      </c>
      <c r="B11" s="510" t="s">
        <v>431</v>
      </c>
      <c r="C11" s="510"/>
      <c r="D11" s="726">
        <v>1953</v>
      </c>
      <c r="E11" s="726" t="s">
        <v>425</v>
      </c>
      <c r="F11" s="1313"/>
      <c r="G11" s="1316"/>
      <c r="H11" s="1319"/>
      <c r="I11" s="297">
        <v>230</v>
      </c>
      <c r="J11" s="296" t="str">
        <f>'2b DU NOx Proposed'!J11</f>
        <v>MMBtu/hr</v>
      </c>
      <c r="K11" s="1322"/>
      <c r="L11" s="1325"/>
      <c r="M11" s="304">
        <f t="shared" si="0"/>
        <v>4.4800000000000004</v>
      </c>
      <c r="N11" s="881" t="s">
        <v>497</v>
      </c>
      <c r="O11" s="890"/>
      <c r="P11" s="891"/>
      <c r="Q11" s="890"/>
      <c r="R11" s="890"/>
      <c r="S11" s="892"/>
      <c r="T11" s="890"/>
      <c r="U11" s="890"/>
      <c r="V11" s="892"/>
      <c r="W11" s="890"/>
      <c r="X11" s="287"/>
      <c r="Y11" s="308"/>
    </row>
    <row r="12" spans="1:31" ht="14.25" hidden="1" customHeight="1" x14ac:dyDescent="0.2">
      <c r="A12" s="293">
        <v>6</v>
      </c>
      <c r="B12" s="510" t="s">
        <v>432</v>
      </c>
      <c r="C12" s="510"/>
      <c r="D12" s="726">
        <v>1953</v>
      </c>
      <c r="E12" s="726" t="s">
        <v>425</v>
      </c>
      <c r="F12" s="1314"/>
      <c r="G12" s="1317"/>
      <c r="H12" s="1320"/>
      <c r="I12" s="297">
        <v>230</v>
      </c>
      <c r="J12" s="296" t="str">
        <f>'2b DU NOx Proposed'!J12</f>
        <v>MMBtu/hr</v>
      </c>
      <c r="K12" s="1323"/>
      <c r="L12" s="1326"/>
      <c r="M12" s="304">
        <f t="shared" si="0"/>
        <v>4.4800000000000004</v>
      </c>
      <c r="N12" s="881" t="s">
        <v>497</v>
      </c>
      <c r="O12" s="890"/>
      <c r="P12" s="891"/>
      <c r="Q12" s="890"/>
      <c r="R12" s="890"/>
      <c r="S12" s="892"/>
      <c r="T12" s="890"/>
      <c r="U12" s="890"/>
      <c r="V12" s="892"/>
      <c r="W12" s="890"/>
      <c r="Y12" s="308"/>
    </row>
    <row r="13" spans="1:31" ht="14.25" hidden="1" customHeight="1" x14ac:dyDescent="0.2">
      <c r="A13" s="293" t="s">
        <v>53</v>
      </c>
      <c r="B13" s="510" t="s">
        <v>433</v>
      </c>
      <c r="C13" s="510"/>
      <c r="D13" s="726">
        <v>2001</v>
      </c>
      <c r="E13" s="726" t="s">
        <v>49</v>
      </c>
      <c r="F13" s="1249" t="s">
        <v>512</v>
      </c>
      <c r="G13" s="1250"/>
      <c r="H13" s="1250"/>
      <c r="I13" s="297">
        <v>13150</v>
      </c>
      <c r="J13" s="511" t="s">
        <v>117</v>
      </c>
      <c r="K13" s="257">
        <v>8584.7999999999993</v>
      </c>
      <c r="L13" s="512" t="s">
        <v>426</v>
      </c>
      <c r="M13" s="351">
        <f>'5 Coal Prep 7a 7b 7c'!M7</f>
        <v>4.4941101026276721E-2</v>
      </c>
      <c r="N13" s="882" t="s">
        <v>497</v>
      </c>
      <c r="O13" s="893"/>
      <c r="P13" s="894"/>
      <c r="Q13" s="893"/>
      <c r="R13" s="893"/>
      <c r="S13" s="895"/>
      <c r="T13" s="893"/>
      <c r="U13" s="893"/>
      <c r="V13" s="895"/>
      <c r="W13" s="893"/>
      <c r="X13" s="306"/>
      <c r="Y13" s="307"/>
      <c r="Z13" s="307"/>
      <c r="AA13" s="307"/>
      <c r="AB13" s="307"/>
      <c r="AC13" s="307"/>
      <c r="AD13" s="307"/>
      <c r="AE13" s="307"/>
    </row>
    <row r="14" spans="1:31" ht="14.25" hidden="1" customHeight="1" x14ac:dyDescent="0.2">
      <c r="A14" s="293" t="s">
        <v>54</v>
      </c>
      <c r="B14" s="510" t="s">
        <v>436</v>
      </c>
      <c r="C14" s="510"/>
      <c r="D14" s="726">
        <v>2005</v>
      </c>
      <c r="E14" s="726" t="s">
        <v>49</v>
      </c>
      <c r="F14" s="1249" t="s">
        <v>512</v>
      </c>
      <c r="G14" s="1250"/>
      <c r="H14" s="1250"/>
      <c r="I14" s="297">
        <v>884</v>
      </c>
      <c r="J14" s="511" t="s">
        <v>117</v>
      </c>
      <c r="K14" s="257">
        <v>8760</v>
      </c>
      <c r="L14" s="512" t="s">
        <v>426</v>
      </c>
      <c r="M14" s="351">
        <f>'5 Coal Prep 7a 7b 7c'!M8</f>
        <v>1.1010972620380884E-3</v>
      </c>
      <c r="N14" s="882" t="s">
        <v>497</v>
      </c>
      <c r="O14" s="893"/>
      <c r="P14" s="894"/>
      <c r="Q14" s="893"/>
      <c r="R14" s="893"/>
      <c r="S14" s="895"/>
      <c r="T14" s="893"/>
      <c r="U14" s="893"/>
      <c r="V14" s="895"/>
      <c r="W14" s="893"/>
      <c r="X14" s="306"/>
      <c r="Y14" s="307"/>
      <c r="Z14" s="307"/>
      <c r="AA14" s="307"/>
      <c r="AB14" s="307"/>
      <c r="AC14" s="307"/>
      <c r="AD14" s="307"/>
      <c r="AE14" s="307"/>
    </row>
    <row r="15" spans="1:31" ht="14.25" hidden="1" customHeight="1" x14ac:dyDescent="0.2">
      <c r="A15" s="293" t="s">
        <v>55</v>
      </c>
      <c r="B15" s="510" t="s">
        <v>438</v>
      </c>
      <c r="C15" s="510"/>
      <c r="D15" s="726">
        <v>2004</v>
      </c>
      <c r="E15" s="726" t="s">
        <v>49</v>
      </c>
      <c r="F15" s="1249" t="s">
        <v>512</v>
      </c>
      <c r="G15" s="1250"/>
      <c r="H15" s="1250"/>
      <c r="I15" s="297">
        <v>9250</v>
      </c>
      <c r="J15" s="511" t="s">
        <v>117</v>
      </c>
      <c r="K15" s="257">
        <v>175.20000000000002</v>
      </c>
      <c r="L15" s="512" t="s">
        <v>426</v>
      </c>
      <c r="M15" s="351">
        <f>'5 Coal Prep 7a 7b 7c'!M9</f>
        <v>5.1847481371420168E-3</v>
      </c>
      <c r="N15" s="882" t="s">
        <v>497</v>
      </c>
      <c r="O15" s="893"/>
      <c r="P15" s="894"/>
      <c r="Q15" s="893"/>
      <c r="R15" s="893"/>
      <c r="S15" s="895"/>
      <c r="T15" s="893"/>
      <c r="U15" s="893"/>
      <c r="V15" s="895"/>
      <c r="W15" s="893"/>
      <c r="X15" s="306"/>
      <c r="Y15" s="307"/>
      <c r="Z15" s="307"/>
      <c r="AA15" s="307"/>
      <c r="AB15" s="307"/>
      <c r="AC15" s="307"/>
      <c r="AD15" s="307"/>
      <c r="AE15" s="307"/>
    </row>
    <row r="16" spans="1:31" ht="15" thickTop="1" x14ac:dyDescent="0.2">
      <c r="A16" s="293">
        <v>8</v>
      </c>
      <c r="B16" s="722" t="s">
        <v>440</v>
      </c>
      <c r="C16" s="510" t="s">
        <v>921</v>
      </c>
      <c r="D16" s="726">
        <v>2009</v>
      </c>
      <c r="E16" s="726" t="s">
        <v>441</v>
      </c>
      <c r="F16" s="745" t="s">
        <v>708</v>
      </c>
      <c r="G16" s="688">
        <v>0.2</v>
      </c>
      <c r="H16" s="302" t="s">
        <v>712</v>
      </c>
      <c r="I16" s="297">
        <v>2937</v>
      </c>
      <c r="J16" s="511" t="s">
        <v>113</v>
      </c>
      <c r="K16" s="257">
        <v>500</v>
      </c>
      <c r="L16" s="512" t="s">
        <v>426</v>
      </c>
      <c r="M16" s="351">
        <f>I16*C$62*G16/1000*2.2/2000*K16</f>
        <v>0.24091329900000003</v>
      </c>
      <c r="N16" s="882" t="s">
        <v>497</v>
      </c>
      <c r="O16" s="893">
        <f>I16*C$66</f>
        <v>111606</v>
      </c>
      <c r="P16" s="896">
        <f>M16*C$67</f>
        <v>0.20477630415</v>
      </c>
      <c r="Q16" s="893">
        <f>O16/P16</f>
        <v>545014.2313255535</v>
      </c>
      <c r="R16" s="893">
        <f>C$68</f>
        <v>5750</v>
      </c>
      <c r="S16" s="895">
        <f>$M16*C$69</f>
        <v>0.21682196910000004</v>
      </c>
      <c r="T16" s="893">
        <f>R16/S16</f>
        <v>26519.452912762976</v>
      </c>
      <c r="U16" s="893">
        <f>C$70</f>
        <v>1500</v>
      </c>
      <c r="V16" s="895">
        <f>$M16*C$71</f>
        <v>7.2273989699999999E-2</v>
      </c>
      <c r="W16" s="893">
        <f>U16/V16</f>
        <v>20754.35445346668</v>
      </c>
      <c r="X16" s="306"/>
      <c r="Y16" s="307"/>
      <c r="Z16" s="307"/>
      <c r="AA16" s="307"/>
      <c r="AB16" s="307"/>
      <c r="AC16" s="307"/>
      <c r="AD16" s="307"/>
      <c r="AE16" s="307"/>
    </row>
    <row r="17" spans="1:31" x14ac:dyDescent="0.2">
      <c r="A17" s="293">
        <v>9</v>
      </c>
      <c r="B17" s="261" t="s">
        <v>444</v>
      </c>
      <c r="C17" s="510" t="s">
        <v>443</v>
      </c>
      <c r="D17" s="726">
        <v>1988</v>
      </c>
      <c r="E17" s="726" t="s">
        <v>441</v>
      </c>
      <c r="F17" s="269" t="s">
        <v>500</v>
      </c>
      <c r="G17" s="354">
        <v>2.2000000000000001E-3</v>
      </c>
      <c r="H17" s="302" t="s">
        <v>501</v>
      </c>
      <c r="I17" s="297">
        <v>352.89473684210526</v>
      </c>
      <c r="J17" s="511" t="s">
        <v>113</v>
      </c>
      <c r="K17" s="257">
        <v>500</v>
      </c>
      <c r="L17" s="512" t="s">
        <v>426</v>
      </c>
      <c r="M17" s="351">
        <f>G17*I17*K17/$C$64</f>
        <v>0.1940921052631579</v>
      </c>
      <c r="N17" s="882" t="s">
        <v>497</v>
      </c>
      <c r="O17" s="893">
        <f t="shared" ref="O17:O44" si="1">I17*C$66</f>
        <v>13410</v>
      </c>
      <c r="P17" s="896">
        <f t="shared" ref="P17:P44" si="2">M17*C$67</f>
        <v>0.1649782894736842</v>
      </c>
      <c r="Q17" s="893">
        <f t="shared" ref="Q17:Q44" si="3">O17/P17</f>
        <v>81283.422459893045</v>
      </c>
      <c r="R17" s="893">
        <f t="shared" ref="R17:R44" si="4">C$68</f>
        <v>5750</v>
      </c>
      <c r="S17" s="895">
        <f t="shared" ref="S17:S44" si="5">$M17*C$69</f>
        <v>0.17468289473684212</v>
      </c>
      <c r="T17" s="893">
        <f t="shared" ref="T17:T44" si="6">R17/S17</f>
        <v>32916.789068914346</v>
      </c>
      <c r="U17" s="893">
        <f t="shared" ref="U17:U44" si="7">C$70</f>
        <v>1500</v>
      </c>
      <c r="V17" s="895">
        <f t="shared" ref="V17:V44" si="8">$M17*C$71</f>
        <v>5.8227631578947364E-2</v>
      </c>
      <c r="W17" s="893">
        <f t="shared" ref="W17:W44" si="9">U17/V17</f>
        <v>25760.965358280795</v>
      </c>
      <c r="X17" s="306"/>
      <c r="Y17" s="307"/>
      <c r="Z17" s="307"/>
      <c r="AA17" s="307"/>
      <c r="AB17" s="307"/>
      <c r="AC17" s="307"/>
      <c r="AD17" s="307"/>
      <c r="AE17" s="307"/>
    </row>
    <row r="18" spans="1:31" s="284" customFormat="1" x14ac:dyDescent="0.2">
      <c r="A18" s="293">
        <v>10</v>
      </c>
      <c r="B18" s="686" t="s">
        <v>446</v>
      </c>
      <c r="C18" s="510" t="s">
        <v>443</v>
      </c>
      <c r="D18" s="726">
        <v>2010</v>
      </c>
      <c r="E18" s="726" t="s">
        <v>441</v>
      </c>
      <c r="F18" s="269" t="s">
        <v>708</v>
      </c>
      <c r="G18" s="355">
        <v>0.2</v>
      </c>
      <c r="H18" s="302" t="s">
        <v>712</v>
      </c>
      <c r="I18" s="297">
        <v>762</v>
      </c>
      <c r="J18" s="511" t="s">
        <v>113</v>
      </c>
      <c r="K18" s="257">
        <v>500</v>
      </c>
      <c r="L18" s="512" t="s">
        <v>426</v>
      </c>
      <c r="M18" s="351">
        <f>I18*C$62*G18/1000*2.2/2000*K18</f>
        <v>6.2504574000000007E-2</v>
      </c>
      <c r="N18" s="882" t="s">
        <v>497</v>
      </c>
      <c r="O18" s="893">
        <f t="shared" si="1"/>
        <v>28956</v>
      </c>
      <c r="P18" s="896">
        <f t="shared" si="2"/>
        <v>5.3128887900000005E-2</v>
      </c>
      <c r="Q18" s="893">
        <f t="shared" si="3"/>
        <v>545014.2313255535</v>
      </c>
      <c r="R18" s="893">
        <f t="shared" si="4"/>
        <v>5750</v>
      </c>
      <c r="S18" s="895">
        <f t="shared" si="5"/>
        <v>5.6254116600000008E-2</v>
      </c>
      <c r="T18" s="893">
        <f t="shared" si="6"/>
        <v>102214.74173856281</v>
      </c>
      <c r="U18" s="893">
        <f t="shared" si="7"/>
        <v>1500</v>
      </c>
      <c r="V18" s="895">
        <f t="shared" si="8"/>
        <v>1.8751372200000001E-2</v>
      </c>
      <c r="W18" s="893">
        <f t="shared" si="9"/>
        <v>79994.145708440468</v>
      </c>
      <c r="Y18" s="319"/>
    </row>
    <row r="19" spans="1:31" x14ac:dyDescent="0.2">
      <c r="A19" s="293">
        <v>11</v>
      </c>
      <c r="B19" s="686" t="s">
        <v>446</v>
      </c>
      <c r="C19" s="510" t="s">
        <v>443</v>
      </c>
      <c r="D19" s="726">
        <v>2010</v>
      </c>
      <c r="E19" s="726" t="s">
        <v>441</v>
      </c>
      <c r="F19" s="269" t="s">
        <v>708</v>
      </c>
      <c r="G19" s="355">
        <v>0.2</v>
      </c>
      <c r="H19" s="302" t="s">
        <v>712</v>
      </c>
      <c r="I19" s="297">
        <v>762</v>
      </c>
      <c r="J19" s="511" t="s">
        <v>113</v>
      </c>
      <c r="K19" s="257">
        <v>500</v>
      </c>
      <c r="L19" s="512" t="s">
        <v>426</v>
      </c>
      <c r="M19" s="351">
        <f>I19*C$62*G19/1000*2.2/2000*K19</f>
        <v>6.2504574000000007E-2</v>
      </c>
      <c r="N19" s="882" t="s">
        <v>497</v>
      </c>
      <c r="O19" s="893">
        <f t="shared" si="1"/>
        <v>28956</v>
      </c>
      <c r="P19" s="896">
        <f t="shared" si="2"/>
        <v>5.3128887900000005E-2</v>
      </c>
      <c r="Q19" s="893">
        <f t="shared" si="3"/>
        <v>545014.2313255535</v>
      </c>
      <c r="R19" s="893">
        <f t="shared" si="4"/>
        <v>5750</v>
      </c>
      <c r="S19" s="895">
        <f t="shared" si="5"/>
        <v>5.6254116600000008E-2</v>
      </c>
      <c r="T19" s="893">
        <f t="shared" si="6"/>
        <v>102214.74173856281</v>
      </c>
      <c r="U19" s="893">
        <f t="shared" si="7"/>
        <v>1500</v>
      </c>
      <c r="V19" s="895">
        <f t="shared" si="8"/>
        <v>1.8751372200000001E-2</v>
      </c>
      <c r="W19" s="893">
        <f t="shared" si="9"/>
        <v>79994.145708440468</v>
      </c>
      <c r="Y19" s="320"/>
    </row>
    <row r="20" spans="1:31" x14ac:dyDescent="0.2">
      <c r="A20" s="293">
        <v>12</v>
      </c>
      <c r="B20" s="261" t="s">
        <v>447</v>
      </c>
      <c r="C20" s="510" t="s">
        <v>443</v>
      </c>
      <c r="D20" s="726">
        <v>2002</v>
      </c>
      <c r="E20" s="726" t="s">
        <v>441</v>
      </c>
      <c r="F20" s="269" t="s">
        <v>500</v>
      </c>
      <c r="G20" s="354">
        <v>2.2000000000000001E-3</v>
      </c>
      <c r="H20" s="302" t="s">
        <v>501</v>
      </c>
      <c r="I20" s="297">
        <v>82</v>
      </c>
      <c r="J20" s="511" t="s">
        <v>113</v>
      </c>
      <c r="K20" s="257">
        <v>500</v>
      </c>
      <c r="L20" s="512" t="s">
        <v>426</v>
      </c>
      <c r="M20" s="351">
        <f>G20*I20*K20/$C$64</f>
        <v>4.5100000000000001E-2</v>
      </c>
      <c r="N20" s="882" t="s">
        <v>497</v>
      </c>
      <c r="O20" s="893">
        <f t="shared" si="1"/>
        <v>3116</v>
      </c>
      <c r="P20" s="896">
        <f t="shared" si="2"/>
        <v>3.8335000000000001E-2</v>
      </c>
      <c r="Q20" s="893">
        <f t="shared" si="3"/>
        <v>81283.422459893045</v>
      </c>
      <c r="R20" s="893">
        <f t="shared" si="4"/>
        <v>5750</v>
      </c>
      <c r="S20" s="895">
        <f t="shared" si="5"/>
        <v>4.0590000000000001E-2</v>
      </c>
      <c r="T20" s="893">
        <f t="shared" si="6"/>
        <v>141660.50751416603</v>
      </c>
      <c r="U20" s="893">
        <f t="shared" si="7"/>
        <v>1500</v>
      </c>
      <c r="V20" s="895">
        <f t="shared" si="8"/>
        <v>1.353E-2</v>
      </c>
      <c r="W20" s="893">
        <f t="shared" si="9"/>
        <v>110864.74501108647</v>
      </c>
      <c r="Y20" s="320"/>
    </row>
    <row r="21" spans="1:31" x14ac:dyDescent="0.2">
      <c r="A21" s="293">
        <v>13</v>
      </c>
      <c r="B21" s="268" t="s">
        <v>448</v>
      </c>
      <c r="C21" s="510" t="s">
        <v>443</v>
      </c>
      <c r="D21" s="726">
        <v>2008</v>
      </c>
      <c r="E21" s="726" t="s">
        <v>441</v>
      </c>
      <c r="F21" s="269" t="s">
        <v>708</v>
      </c>
      <c r="G21" s="354">
        <v>0.2</v>
      </c>
      <c r="H21" s="302" t="s">
        <v>712</v>
      </c>
      <c r="I21" s="297">
        <v>587</v>
      </c>
      <c r="J21" s="511" t="s">
        <v>113</v>
      </c>
      <c r="K21" s="257">
        <v>500</v>
      </c>
      <c r="L21" s="512" t="s">
        <v>426</v>
      </c>
      <c r="M21" s="351">
        <f>I21*C$62*G21/1000*2.2/2000*K21</f>
        <v>4.8149849000000008E-2</v>
      </c>
      <c r="N21" s="882" t="s">
        <v>497</v>
      </c>
      <c r="O21" s="893">
        <f t="shared" si="1"/>
        <v>22306</v>
      </c>
      <c r="P21" s="896">
        <f t="shared" si="2"/>
        <v>4.0927371650000009E-2</v>
      </c>
      <c r="Q21" s="893">
        <f t="shared" si="3"/>
        <v>545014.23132555338</v>
      </c>
      <c r="R21" s="893">
        <f t="shared" si="4"/>
        <v>5750</v>
      </c>
      <c r="S21" s="895">
        <f t="shared" si="5"/>
        <v>4.3334864100000009E-2</v>
      </c>
      <c r="T21" s="893">
        <f t="shared" si="6"/>
        <v>132687.62045108154</v>
      </c>
      <c r="U21" s="893">
        <f t="shared" si="7"/>
        <v>1500</v>
      </c>
      <c r="V21" s="895">
        <f t="shared" si="8"/>
        <v>1.4444954700000002E-2</v>
      </c>
      <c r="W21" s="893">
        <f t="shared" si="9"/>
        <v>103842.48557041163</v>
      </c>
      <c r="Y21" s="320"/>
    </row>
    <row r="22" spans="1:31" x14ac:dyDescent="0.2">
      <c r="A22" s="293">
        <v>14</v>
      </c>
      <c r="B22" s="261" t="s">
        <v>449</v>
      </c>
      <c r="C22" s="510" t="s">
        <v>443</v>
      </c>
      <c r="D22" s="726">
        <v>2008</v>
      </c>
      <c r="E22" s="726" t="s">
        <v>441</v>
      </c>
      <c r="F22" s="269" t="s">
        <v>708</v>
      </c>
      <c r="G22" s="354">
        <v>0.2</v>
      </c>
      <c r="H22" s="302" t="s">
        <v>712</v>
      </c>
      <c r="I22" s="297">
        <v>320</v>
      </c>
      <c r="J22" s="511" t="s">
        <v>113</v>
      </c>
      <c r="K22" s="257">
        <v>500</v>
      </c>
      <c r="L22" s="512" t="s">
        <v>426</v>
      </c>
      <c r="M22" s="351">
        <f>I22*C$62*G22/1000*2.2/2000*K22</f>
        <v>2.6248640000000007E-2</v>
      </c>
      <c r="N22" s="882" t="s">
        <v>497</v>
      </c>
      <c r="O22" s="893">
        <f t="shared" si="1"/>
        <v>12160</v>
      </c>
      <c r="P22" s="896">
        <f t="shared" si="2"/>
        <v>2.2311344000000004E-2</v>
      </c>
      <c r="Q22" s="893">
        <f t="shared" si="3"/>
        <v>545014.23132555338</v>
      </c>
      <c r="R22" s="893">
        <f t="shared" si="4"/>
        <v>5750</v>
      </c>
      <c r="S22" s="895">
        <f t="shared" si="5"/>
        <v>2.3623776000000006E-2</v>
      </c>
      <c r="T22" s="893">
        <f t="shared" si="6"/>
        <v>243398.85376495268</v>
      </c>
      <c r="U22" s="893">
        <f t="shared" si="7"/>
        <v>1500</v>
      </c>
      <c r="V22" s="895">
        <f t="shared" si="8"/>
        <v>7.8745920000000014E-3</v>
      </c>
      <c r="W22" s="893">
        <f t="shared" si="9"/>
        <v>190486.05946822383</v>
      </c>
      <c r="Y22" s="320"/>
    </row>
    <row r="23" spans="1:31" x14ac:dyDescent="0.2">
      <c r="A23" s="293">
        <v>15</v>
      </c>
      <c r="B23" s="261" t="s">
        <v>450</v>
      </c>
      <c r="C23" s="510" t="s">
        <v>443</v>
      </c>
      <c r="D23" s="726">
        <v>2005</v>
      </c>
      <c r="E23" s="726" t="s">
        <v>441</v>
      </c>
      <c r="F23" s="242" t="s">
        <v>792</v>
      </c>
      <c r="G23" s="355">
        <v>0.09</v>
      </c>
      <c r="H23" s="302" t="s">
        <v>165</v>
      </c>
      <c r="I23" s="297">
        <v>1058.6842105263158</v>
      </c>
      <c r="J23" s="511" t="s">
        <v>113</v>
      </c>
      <c r="K23" s="257">
        <v>500</v>
      </c>
      <c r="L23" s="512" t="s">
        <v>426</v>
      </c>
      <c r="M23" s="351">
        <f>G23*I23*K23/1000*2.2/2000</f>
        <v>5.2404868421052631E-2</v>
      </c>
      <c r="N23" s="882" t="s">
        <v>497</v>
      </c>
      <c r="O23" s="893">
        <f t="shared" si="1"/>
        <v>40230</v>
      </c>
      <c r="P23" s="896">
        <f t="shared" si="2"/>
        <v>4.4544138157894736E-2</v>
      </c>
      <c r="Q23" s="893">
        <f t="shared" si="3"/>
        <v>903149.13844325615</v>
      </c>
      <c r="R23" s="893">
        <f t="shared" si="4"/>
        <v>5750</v>
      </c>
      <c r="S23" s="895">
        <f t="shared" si="5"/>
        <v>4.7164381578947367E-2</v>
      </c>
      <c r="T23" s="893">
        <f t="shared" si="6"/>
        <v>121914.03358857166</v>
      </c>
      <c r="U23" s="893">
        <f t="shared" si="7"/>
        <v>1500</v>
      </c>
      <c r="V23" s="895">
        <f t="shared" si="8"/>
        <v>1.5721460526315789E-2</v>
      </c>
      <c r="W23" s="893">
        <f t="shared" si="9"/>
        <v>95410.982808447385</v>
      </c>
      <c r="Y23" s="320"/>
    </row>
    <row r="24" spans="1:31" x14ac:dyDescent="0.2">
      <c r="A24" s="293">
        <v>16</v>
      </c>
      <c r="B24" s="686" t="s">
        <v>451</v>
      </c>
      <c r="C24" s="510" t="s">
        <v>443</v>
      </c>
      <c r="D24" s="726">
        <v>2005</v>
      </c>
      <c r="E24" s="726" t="s">
        <v>441</v>
      </c>
      <c r="F24" s="269" t="s">
        <v>500</v>
      </c>
      <c r="G24" s="354">
        <v>2.2000000000000001E-3</v>
      </c>
      <c r="H24" s="302" t="s">
        <v>501</v>
      </c>
      <c r="I24" s="297">
        <v>211.73684210526318</v>
      </c>
      <c r="J24" s="511" t="s">
        <v>113</v>
      </c>
      <c r="K24" s="257">
        <v>500</v>
      </c>
      <c r="L24" s="512" t="s">
        <v>426</v>
      </c>
      <c r="M24" s="351">
        <f>G24*I24*K24/$C$64</f>
        <v>0.11645526315789476</v>
      </c>
      <c r="N24" s="882" t="s">
        <v>497</v>
      </c>
      <c r="O24" s="893">
        <f t="shared" si="1"/>
        <v>8046.0000000000009</v>
      </c>
      <c r="P24" s="896">
        <f t="shared" si="2"/>
        <v>9.8986973684210541E-2</v>
      </c>
      <c r="Q24" s="893">
        <f t="shared" si="3"/>
        <v>81283.422459893045</v>
      </c>
      <c r="R24" s="893">
        <f t="shared" si="4"/>
        <v>5750</v>
      </c>
      <c r="S24" s="895">
        <f t="shared" si="5"/>
        <v>0.10480973684210529</v>
      </c>
      <c r="T24" s="893">
        <f t="shared" si="6"/>
        <v>54861.315114857236</v>
      </c>
      <c r="U24" s="893">
        <f t="shared" si="7"/>
        <v>1500</v>
      </c>
      <c r="V24" s="895">
        <f t="shared" si="8"/>
        <v>3.4936578947368423E-2</v>
      </c>
      <c r="W24" s="893">
        <f t="shared" si="9"/>
        <v>42934.94226380132</v>
      </c>
      <c r="Y24" s="320"/>
    </row>
    <row r="25" spans="1:31" x14ac:dyDescent="0.2">
      <c r="A25" s="293">
        <v>17</v>
      </c>
      <c r="B25" s="686" t="s">
        <v>451</v>
      </c>
      <c r="C25" s="510" t="s">
        <v>443</v>
      </c>
      <c r="D25" s="726">
        <v>2007</v>
      </c>
      <c r="E25" s="726" t="s">
        <v>441</v>
      </c>
      <c r="F25" s="269" t="s">
        <v>708</v>
      </c>
      <c r="G25" s="354">
        <v>0.3</v>
      </c>
      <c r="H25" s="302" t="s">
        <v>712</v>
      </c>
      <c r="I25" s="297">
        <v>176.44736842105263</v>
      </c>
      <c r="J25" s="511" t="s">
        <v>113</v>
      </c>
      <c r="K25" s="257">
        <v>500</v>
      </c>
      <c r="L25" s="512" t="s">
        <v>426</v>
      </c>
      <c r="M25" s="351">
        <f>I25*C$62*G25/1000*2.2/2000*K25</f>
        <v>2.1710172434210528E-2</v>
      </c>
      <c r="N25" s="882" t="s">
        <v>497</v>
      </c>
      <c r="O25" s="893">
        <f t="shared" si="1"/>
        <v>6705</v>
      </c>
      <c r="P25" s="896">
        <f t="shared" si="2"/>
        <v>1.8453646569078948E-2</v>
      </c>
      <c r="Q25" s="893">
        <f t="shared" si="3"/>
        <v>363342.82088370231</v>
      </c>
      <c r="R25" s="893">
        <f t="shared" si="4"/>
        <v>5750</v>
      </c>
      <c r="S25" s="895">
        <f t="shared" si="5"/>
        <v>1.9539155190789477E-2</v>
      </c>
      <c r="T25" s="893">
        <f t="shared" si="6"/>
        <v>294280.89105461841</v>
      </c>
      <c r="U25" s="893">
        <f t="shared" si="7"/>
        <v>1500</v>
      </c>
      <c r="V25" s="895">
        <f t="shared" si="8"/>
        <v>6.5130517302631587E-3</v>
      </c>
      <c r="W25" s="893">
        <f t="shared" si="9"/>
        <v>230306.78430361443</v>
      </c>
      <c r="Y25" s="320"/>
    </row>
    <row r="26" spans="1:31" x14ac:dyDescent="0.2">
      <c r="A26" s="293">
        <v>18</v>
      </c>
      <c r="B26" s="686" t="s">
        <v>452</v>
      </c>
      <c r="C26" s="510" t="s">
        <v>443</v>
      </c>
      <c r="D26" s="726">
        <v>2005</v>
      </c>
      <c r="E26" s="726" t="s">
        <v>441</v>
      </c>
      <c r="F26" s="269" t="s">
        <v>500</v>
      </c>
      <c r="G26" s="354">
        <v>2.2000000000000001E-3</v>
      </c>
      <c r="H26" s="302" t="s">
        <v>501</v>
      </c>
      <c r="I26" s="297">
        <v>211.73684210526318</v>
      </c>
      <c r="J26" s="511" t="s">
        <v>113</v>
      </c>
      <c r="K26" s="257">
        <v>500</v>
      </c>
      <c r="L26" s="512" t="s">
        <v>426</v>
      </c>
      <c r="M26" s="351">
        <f>G26*I26*K26/$C$64</f>
        <v>0.11645526315789476</v>
      </c>
      <c r="N26" s="882" t="s">
        <v>497</v>
      </c>
      <c r="O26" s="893">
        <f t="shared" si="1"/>
        <v>8046.0000000000009</v>
      </c>
      <c r="P26" s="896">
        <f t="shared" si="2"/>
        <v>9.8986973684210541E-2</v>
      </c>
      <c r="Q26" s="893">
        <f t="shared" si="3"/>
        <v>81283.422459893045</v>
      </c>
      <c r="R26" s="893">
        <f t="shared" si="4"/>
        <v>5750</v>
      </c>
      <c r="S26" s="895">
        <f t="shared" si="5"/>
        <v>0.10480973684210529</v>
      </c>
      <c r="T26" s="893">
        <f t="shared" si="6"/>
        <v>54861.315114857236</v>
      </c>
      <c r="U26" s="893">
        <f t="shared" si="7"/>
        <v>1500</v>
      </c>
      <c r="V26" s="895">
        <f t="shared" si="8"/>
        <v>3.4936578947368423E-2</v>
      </c>
      <c r="W26" s="893">
        <f t="shared" si="9"/>
        <v>42934.94226380132</v>
      </c>
      <c r="Y26" s="320"/>
    </row>
    <row r="27" spans="1:31" x14ac:dyDescent="0.2">
      <c r="A27" s="293">
        <v>19</v>
      </c>
      <c r="B27" s="686" t="s">
        <v>453</v>
      </c>
      <c r="C27" s="510" t="s">
        <v>443</v>
      </c>
      <c r="D27" s="726">
        <v>2007</v>
      </c>
      <c r="E27" s="726" t="s">
        <v>441</v>
      </c>
      <c r="F27" s="269" t="s">
        <v>708</v>
      </c>
      <c r="G27" s="354">
        <v>0.4</v>
      </c>
      <c r="H27" s="302" t="s">
        <v>712</v>
      </c>
      <c r="I27" s="297">
        <v>70.578947368421055</v>
      </c>
      <c r="J27" s="511" t="s">
        <v>113</v>
      </c>
      <c r="K27" s="257">
        <v>500</v>
      </c>
      <c r="L27" s="512" t="s">
        <v>426</v>
      </c>
      <c r="M27" s="351">
        <f>I27*C$62*G27/1000*2.2/2000*K27</f>
        <v>1.157875863157895E-2</v>
      </c>
      <c r="N27" s="882" t="s">
        <v>497</v>
      </c>
      <c r="O27" s="893">
        <f t="shared" si="1"/>
        <v>2682</v>
      </c>
      <c r="P27" s="896">
        <f t="shared" si="2"/>
        <v>9.8419448368421078E-3</v>
      </c>
      <c r="Q27" s="893">
        <f t="shared" si="3"/>
        <v>272507.11566277669</v>
      </c>
      <c r="R27" s="893">
        <f t="shared" si="4"/>
        <v>5750</v>
      </c>
      <c r="S27" s="895">
        <f t="shared" si="5"/>
        <v>1.0420882768421055E-2</v>
      </c>
      <c r="T27" s="893">
        <f t="shared" si="6"/>
        <v>551776.67072740954</v>
      </c>
      <c r="U27" s="893">
        <f t="shared" si="7"/>
        <v>1500</v>
      </c>
      <c r="V27" s="895">
        <f t="shared" si="8"/>
        <v>3.4736275894736851E-3</v>
      </c>
      <c r="W27" s="893">
        <f t="shared" si="9"/>
        <v>431825.22056927701</v>
      </c>
      <c r="Y27" s="320"/>
    </row>
    <row r="28" spans="1:31" x14ac:dyDescent="0.2">
      <c r="A28" s="293">
        <v>20</v>
      </c>
      <c r="B28" s="686" t="s">
        <v>454</v>
      </c>
      <c r="C28" s="510" t="s">
        <v>443</v>
      </c>
      <c r="D28" s="726">
        <v>1976</v>
      </c>
      <c r="E28" s="726" t="s">
        <v>441</v>
      </c>
      <c r="F28" s="269" t="s">
        <v>500</v>
      </c>
      <c r="G28" s="354">
        <v>2.2000000000000001E-3</v>
      </c>
      <c r="H28" s="302" t="s">
        <v>501</v>
      </c>
      <c r="I28" s="297">
        <v>35.289473684210527</v>
      </c>
      <c r="J28" s="511" t="s">
        <v>113</v>
      </c>
      <c r="K28" s="257">
        <v>500</v>
      </c>
      <c r="L28" s="512" t="s">
        <v>426</v>
      </c>
      <c r="M28" s="351">
        <f>G28*I28*K28/$C$64</f>
        <v>1.9409210526315793E-2</v>
      </c>
      <c r="N28" s="882" t="s">
        <v>497</v>
      </c>
      <c r="O28" s="893">
        <f t="shared" si="1"/>
        <v>1341</v>
      </c>
      <c r="P28" s="896">
        <f t="shared" si="2"/>
        <v>1.6497828947368422E-2</v>
      </c>
      <c r="Q28" s="893">
        <f t="shared" si="3"/>
        <v>81283.422459893045</v>
      </c>
      <c r="R28" s="893">
        <f t="shared" si="4"/>
        <v>5750</v>
      </c>
      <c r="S28" s="895">
        <f t="shared" si="5"/>
        <v>1.7468289473684215E-2</v>
      </c>
      <c r="T28" s="893">
        <f t="shared" si="6"/>
        <v>329167.89068914339</v>
      </c>
      <c r="U28" s="893">
        <f t="shared" si="7"/>
        <v>1500</v>
      </c>
      <c r="V28" s="895">
        <f t="shared" si="8"/>
        <v>5.822763157894738E-3</v>
      </c>
      <c r="W28" s="893">
        <f t="shared" si="9"/>
        <v>257609.65358280789</v>
      </c>
      <c r="Y28" s="320"/>
    </row>
    <row r="29" spans="1:31" x14ac:dyDescent="0.2">
      <c r="A29" s="293">
        <v>21</v>
      </c>
      <c r="B29" s="686" t="s">
        <v>455</v>
      </c>
      <c r="C29" s="510" t="s">
        <v>443</v>
      </c>
      <c r="D29" s="726">
        <v>2001</v>
      </c>
      <c r="E29" s="726" t="s">
        <v>441</v>
      </c>
      <c r="F29" s="269" t="s">
        <v>500</v>
      </c>
      <c r="G29" s="354">
        <v>2.2000000000000001E-3</v>
      </c>
      <c r="H29" s="302" t="s">
        <v>501</v>
      </c>
      <c r="I29" s="297">
        <v>95</v>
      </c>
      <c r="J29" s="511" t="s">
        <v>113</v>
      </c>
      <c r="K29" s="257">
        <v>500</v>
      </c>
      <c r="L29" s="512" t="s">
        <v>426</v>
      </c>
      <c r="M29" s="351">
        <f>G29*I29*K29/$C$64</f>
        <v>5.2250000000000005E-2</v>
      </c>
      <c r="N29" s="882" t="s">
        <v>497</v>
      </c>
      <c r="O29" s="893">
        <f t="shared" si="1"/>
        <v>3610</v>
      </c>
      <c r="P29" s="896">
        <f t="shared" si="2"/>
        <v>4.4412500000000001E-2</v>
      </c>
      <c r="Q29" s="893">
        <f t="shared" si="3"/>
        <v>81283.422459893045</v>
      </c>
      <c r="R29" s="893">
        <f t="shared" si="4"/>
        <v>5750</v>
      </c>
      <c r="S29" s="895">
        <f t="shared" si="5"/>
        <v>4.7025000000000004E-2</v>
      </c>
      <c r="T29" s="893">
        <f t="shared" si="6"/>
        <v>122275.38543328016</v>
      </c>
      <c r="U29" s="893">
        <f t="shared" si="7"/>
        <v>1500</v>
      </c>
      <c r="V29" s="895">
        <f t="shared" si="8"/>
        <v>1.5675000000000001E-2</v>
      </c>
      <c r="W29" s="893">
        <f t="shared" si="9"/>
        <v>95693.779904306211</v>
      </c>
      <c r="Y29" s="320"/>
    </row>
    <row r="30" spans="1:31" x14ac:dyDescent="0.2">
      <c r="A30" s="293">
        <v>22</v>
      </c>
      <c r="B30" s="686" t="s">
        <v>222</v>
      </c>
      <c r="C30" s="510" t="s">
        <v>443</v>
      </c>
      <c r="D30" s="726">
        <v>1989</v>
      </c>
      <c r="E30" s="726" t="s">
        <v>441</v>
      </c>
      <c r="F30" s="269" t="s">
        <v>500</v>
      </c>
      <c r="G30" s="354">
        <v>2.2000000000000001E-3</v>
      </c>
      <c r="H30" s="302" t="s">
        <v>501</v>
      </c>
      <c r="I30" s="297">
        <v>35.289473684210527</v>
      </c>
      <c r="J30" s="511" t="s">
        <v>113</v>
      </c>
      <c r="K30" s="257">
        <v>500</v>
      </c>
      <c r="L30" s="512" t="s">
        <v>426</v>
      </c>
      <c r="M30" s="351">
        <f>G30*I30*K30/$C$64</f>
        <v>1.9409210526315793E-2</v>
      </c>
      <c r="N30" s="882" t="s">
        <v>497</v>
      </c>
      <c r="O30" s="893">
        <f t="shared" si="1"/>
        <v>1341</v>
      </c>
      <c r="P30" s="896">
        <f t="shared" si="2"/>
        <v>1.6497828947368422E-2</v>
      </c>
      <c r="Q30" s="893">
        <f t="shared" si="3"/>
        <v>81283.422459893045</v>
      </c>
      <c r="R30" s="893">
        <f t="shared" si="4"/>
        <v>5750</v>
      </c>
      <c r="S30" s="895">
        <f t="shared" si="5"/>
        <v>1.7468289473684215E-2</v>
      </c>
      <c r="T30" s="893">
        <f t="shared" si="6"/>
        <v>329167.89068914339</v>
      </c>
      <c r="U30" s="893">
        <f t="shared" si="7"/>
        <v>1500</v>
      </c>
      <c r="V30" s="895">
        <f t="shared" si="8"/>
        <v>5.822763157894738E-3</v>
      </c>
      <c r="W30" s="893">
        <f t="shared" si="9"/>
        <v>257609.65358280789</v>
      </c>
      <c r="Y30" s="320"/>
    </row>
    <row r="31" spans="1:31" x14ac:dyDescent="0.2">
      <c r="A31" s="293">
        <v>23</v>
      </c>
      <c r="B31" s="686" t="s">
        <v>452</v>
      </c>
      <c r="C31" s="510" t="s">
        <v>443</v>
      </c>
      <c r="D31" s="726">
        <v>2003</v>
      </c>
      <c r="E31" s="726" t="s">
        <v>441</v>
      </c>
      <c r="F31" s="269" t="s">
        <v>500</v>
      </c>
      <c r="G31" s="354">
        <v>2.2000000000000001E-3</v>
      </c>
      <c r="H31" s="302" t="s">
        <v>501</v>
      </c>
      <c r="I31" s="297">
        <v>155.27368421052631</v>
      </c>
      <c r="J31" s="511" t="s">
        <v>113</v>
      </c>
      <c r="K31" s="257">
        <v>500</v>
      </c>
      <c r="L31" s="512" t="s">
        <v>426</v>
      </c>
      <c r="M31" s="351">
        <f>G31*I31*K31/$C$64</f>
        <v>8.5400526315789482E-2</v>
      </c>
      <c r="N31" s="882" t="s">
        <v>497</v>
      </c>
      <c r="O31" s="893">
        <f t="shared" si="1"/>
        <v>5900.4</v>
      </c>
      <c r="P31" s="896">
        <f t="shared" si="2"/>
        <v>7.259044736842106E-2</v>
      </c>
      <c r="Q31" s="893">
        <f t="shared" si="3"/>
        <v>81283.42245989303</v>
      </c>
      <c r="R31" s="893">
        <f t="shared" si="4"/>
        <v>5750</v>
      </c>
      <c r="S31" s="895">
        <f t="shared" si="5"/>
        <v>7.6860473684210534E-2</v>
      </c>
      <c r="T31" s="893">
        <f t="shared" si="6"/>
        <v>74810.884247532609</v>
      </c>
      <c r="U31" s="893">
        <f t="shared" si="7"/>
        <v>1500</v>
      </c>
      <c r="V31" s="895">
        <f t="shared" si="8"/>
        <v>2.5620157894736845E-2</v>
      </c>
      <c r="W31" s="893">
        <f t="shared" si="9"/>
        <v>58547.648541547256</v>
      </c>
      <c r="Y31" s="320"/>
    </row>
    <row r="32" spans="1:31" x14ac:dyDescent="0.2">
      <c r="A32" s="293">
        <v>24</v>
      </c>
      <c r="B32" s="686" t="s">
        <v>456</v>
      </c>
      <c r="C32" s="510" t="s">
        <v>443</v>
      </c>
      <c r="D32" s="726">
        <v>1993</v>
      </c>
      <c r="E32" s="726" t="s">
        <v>441</v>
      </c>
      <c r="F32" s="269" t="s">
        <v>500</v>
      </c>
      <c r="G32" s="354">
        <v>2.2000000000000001E-3</v>
      </c>
      <c r="H32" s="302" t="s">
        <v>501</v>
      </c>
      <c r="I32" s="297">
        <v>50</v>
      </c>
      <c r="J32" s="511" t="s">
        <v>113</v>
      </c>
      <c r="K32" s="257">
        <v>500</v>
      </c>
      <c r="L32" s="512" t="s">
        <v>426</v>
      </c>
      <c r="M32" s="351">
        <f>G32*I32*K32/$C$64</f>
        <v>2.75E-2</v>
      </c>
      <c r="N32" s="882" t="s">
        <v>497</v>
      </c>
      <c r="O32" s="893">
        <f t="shared" si="1"/>
        <v>1900</v>
      </c>
      <c r="P32" s="896">
        <f t="shared" si="2"/>
        <v>2.3375E-2</v>
      </c>
      <c r="Q32" s="893">
        <f t="shared" si="3"/>
        <v>81283.422459893045</v>
      </c>
      <c r="R32" s="893">
        <f t="shared" si="4"/>
        <v>5750</v>
      </c>
      <c r="S32" s="895">
        <f t="shared" si="5"/>
        <v>2.4750000000000001E-2</v>
      </c>
      <c r="T32" s="893">
        <f t="shared" si="6"/>
        <v>232323.23232323231</v>
      </c>
      <c r="U32" s="893">
        <f t="shared" si="7"/>
        <v>1500</v>
      </c>
      <c r="V32" s="895">
        <f t="shared" si="8"/>
        <v>8.2500000000000004E-3</v>
      </c>
      <c r="W32" s="893">
        <f t="shared" si="9"/>
        <v>181818.18181818182</v>
      </c>
      <c r="Y32" s="320"/>
    </row>
    <row r="33" spans="1:25" x14ac:dyDescent="0.2">
      <c r="A33" s="293">
        <v>25</v>
      </c>
      <c r="B33" s="686" t="s">
        <v>457</v>
      </c>
      <c r="C33" s="510" t="s">
        <v>443</v>
      </c>
      <c r="D33" s="726">
        <v>2011</v>
      </c>
      <c r="E33" s="726" t="s">
        <v>441</v>
      </c>
      <c r="F33" s="269" t="s">
        <v>708</v>
      </c>
      <c r="G33" s="354">
        <v>0.4</v>
      </c>
      <c r="H33" s="302" t="s">
        <v>712</v>
      </c>
      <c r="I33" s="297">
        <v>18.350526315789473</v>
      </c>
      <c r="J33" s="511" t="s">
        <v>113</v>
      </c>
      <c r="K33" s="257">
        <v>500</v>
      </c>
      <c r="L33" s="512" t="s">
        <v>426</v>
      </c>
      <c r="M33" s="351">
        <f>I33*C$62*G33/1000*2.2/2000*K33</f>
        <v>3.0104772442105265E-3</v>
      </c>
      <c r="N33" s="882" t="s">
        <v>497</v>
      </c>
      <c r="O33" s="893">
        <f t="shared" si="1"/>
        <v>697.31999999999994</v>
      </c>
      <c r="P33" s="896">
        <f t="shared" si="2"/>
        <v>2.5589056575789472E-3</v>
      </c>
      <c r="Q33" s="893">
        <f t="shared" si="3"/>
        <v>272507.11566277675</v>
      </c>
      <c r="R33" s="893">
        <f t="shared" si="4"/>
        <v>5750</v>
      </c>
      <c r="S33" s="895">
        <f t="shared" si="5"/>
        <v>2.7094295197894738E-3</v>
      </c>
      <c r="T33" s="893">
        <f t="shared" si="6"/>
        <v>2122217.9643361908</v>
      </c>
      <c r="U33" s="893">
        <f t="shared" si="7"/>
        <v>1500</v>
      </c>
      <c r="V33" s="895">
        <f t="shared" si="8"/>
        <v>9.0314317326315786E-4</v>
      </c>
      <c r="W33" s="893">
        <f t="shared" si="9"/>
        <v>1660866.232958758</v>
      </c>
      <c r="Y33" s="320"/>
    </row>
    <row r="34" spans="1:25" x14ac:dyDescent="0.2">
      <c r="A34" s="293">
        <v>26</v>
      </c>
      <c r="B34" s="686" t="s">
        <v>458</v>
      </c>
      <c r="C34" s="510" t="s">
        <v>443</v>
      </c>
      <c r="D34" s="726">
        <v>2003</v>
      </c>
      <c r="E34" s="726" t="s">
        <v>441</v>
      </c>
      <c r="F34" s="269" t="s">
        <v>500</v>
      </c>
      <c r="G34" s="354">
        <v>2.2000000000000001E-3</v>
      </c>
      <c r="H34" s="302" t="s">
        <v>501</v>
      </c>
      <c r="I34" s="297">
        <v>68</v>
      </c>
      <c r="J34" s="511" t="s">
        <v>113</v>
      </c>
      <c r="K34" s="257">
        <v>500</v>
      </c>
      <c r="L34" s="512" t="s">
        <v>426</v>
      </c>
      <c r="M34" s="351">
        <f>G34*I34*K34/$C$64</f>
        <v>3.7400000000000003E-2</v>
      </c>
      <c r="N34" s="882" t="s">
        <v>497</v>
      </c>
      <c r="O34" s="893">
        <f t="shared" si="1"/>
        <v>2584</v>
      </c>
      <c r="P34" s="896">
        <f t="shared" si="2"/>
        <v>3.1789999999999999E-2</v>
      </c>
      <c r="Q34" s="893">
        <f t="shared" si="3"/>
        <v>81283.422459893045</v>
      </c>
      <c r="R34" s="893">
        <f t="shared" si="4"/>
        <v>5750</v>
      </c>
      <c r="S34" s="895">
        <f t="shared" si="5"/>
        <v>3.3660000000000002E-2</v>
      </c>
      <c r="T34" s="893">
        <f t="shared" si="6"/>
        <v>170825.90612002375</v>
      </c>
      <c r="U34" s="893">
        <f t="shared" si="7"/>
        <v>1500</v>
      </c>
      <c r="V34" s="895">
        <f t="shared" si="8"/>
        <v>1.1220000000000001E-2</v>
      </c>
      <c r="W34" s="893">
        <f t="shared" si="9"/>
        <v>133689.83957219249</v>
      </c>
      <c r="Y34" s="320"/>
    </row>
    <row r="35" spans="1:25" x14ac:dyDescent="0.2">
      <c r="A35" s="293">
        <v>27</v>
      </c>
      <c r="B35" s="266" t="s">
        <v>459</v>
      </c>
      <c r="C35" s="510" t="s">
        <v>443</v>
      </c>
      <c r="D35" s="726">
        <v>2010</v>
      </c>
      <c r="E35" s="726" t="s">
        <v>441</v>
      </c>
      <c r="F35" s="269" t="s">
        <v>708</v>
      </c>
      <c r="G35" s="354">
        <v>0.2</v>
      </c>
      <c r="H35" s="302" t="s">
        <v>712</v>
      </c>
      <c r="I35" s="297">
        <v>274</v>
      </c>
      <c r="J35" s="511" t="s">
        <v>113</v>
      </c>
      <c r="K35" s="257">
        <v>500</v>
      </c>
      <c r="L35" s="512" t="s">
        <v>426</v>
      </c>
      <c r="M35" s="351">
        <f>I35*C$62*G35/1000*2.2/2000*K35</f>
        <v>2.2475398000000004E-2</v>
      </c>
      <c r="N35" s="882" t="s">
        <v>497</v>
      </c>
      <c r="O35" s="893">
        <f t="shared" si="1"/>
        <v>10412</v>
      </c>
      <c r="P35" s="896">
        <f t="shared" si="2"/>
        <v>1.9104088300000002E-2</v>
      </c>
      <c r="Q35" s="893">
        <f t="shared" si="3"/>
        <v>545014.23132555338</v>
      </c>
      <c r="R35" s="893">
        <f t="shared" si="4"/>
        <v>5750</v>
      </c>
      <c r="S35" s="895">
        <f t="shared" si="5"/>
        <v>2.0227858200000004E-2</v>
      </c>
      <c r="T35" s="893">
        <f t="shared" si="6"/>
        <v>284261.43505395931</v>
      </c>
      <c r="U35" s="893">
        <f t="shared" si="7"/>
        <v>1500</v>
      </c>
      <c r="V35" s="895">
        <f t="shared" si="8"/>
        <v>6.742619400000001E-3</v>
      </c>
      <c r="W35" s="893">
        <f t="shared" si="9"/>
        <v>222465.47091179428</v>
      </c>
      <c r="Y35" s="320"/>
    </row>
    <row r="36" spans="1:25" x14ac:dyDescent="0.2">
      <c r="A36" s="293">
        <v>28</v>
      </c>
      <c r="B36" s="266" t="s">
        <v>459</v>
      </c>
      <c r="C36" s="510" t="s">
        <v>443</v>
      </c>
      <c r="D36" s="726">
        <v>2010</v>
      </c>
      <c r="E36" s="726" t="s">
        <v>441</v>
      </c>
      <c r="F36" s="269" t="s">
        <v>708</v>
      </c>
      <c r="G36" s="354">
        <v>0.2</v>
      </c>
      <c r="H36" s="302" t="s">
        <v>712</v>
      </c>
      <c r="I36" s="297">
        <v>274</v>
      </c>
      <c r="J36" s="511" t="s">
        <v>113</v>
      </c>
      <c r="K36" s="257">
        <v>500</v>
      </c>
      <c r="L36" s="512" t="s">
        <v>426</v>
      </c>
      <c r="M36" s="351">
        <f>I36*C$62*G36/1000*2.2/2000*K36</f>
        <v>2.2475398000000004E-2</v>
      </c>
      <c r="N36" s="882" t="s">
        <v>497</v>
      </c>
      <c r="O36" s="893">
        <f t="shared" si="1"/>
        <v>10412</v>
      </c>
      <c r="P36" s="896">
        <f t="shared" si="2"/>
        <v>1.9104088300000002E-2</v>
      </c>
      <c r="Q36" s="893">
        <f t="shared" si="3"/>
        <v>545014.23132555338</v>
      </c>
      <c r="R36" s="893">
        <f t="shared" si="4"/>
        <v>5750</v>
      </c>
      <c r="S36" s="895">
        <f t="shared" si="5"/>
        <v>2.0227858200000004E-2</v>
      </c>
      <c r="T36" s="893">
        <f t="shared" si="6"/>
        <v>284261.43505395931</v>
      </c>
      <c r="U36" s="893">
        <f t="shared" si="7"/>
        <v>1500</v>
      </c>
      <c r="V36" s="895">
        <f t="shared" si="8"/>
        <v>6.742619400000001E-3</v>
      </c>
      <c r="W36" s="893">
        <f t="shared" si="9"/>
        <v>222465.47091179428</v>
      </c>
      <c r="Y36" s="320"/>
    </row>
    <row r="37" spans="1:25" x14ac:dyDescent="0.2">
      <c r="A37" s="293" t="s">
        <v>748</v>
      </c>
      <c r="B37" s="266" t="s">
        <v>763</v>
      </c>
      <c r="C37" s="510" t="s">
        <v>460</v>
      </c>
      <c r="D37" s="726">
        <v>2014</v>
      </c>
      <c r="E37" s="726" t="s">
        <v>441</v>
      </c>
      <c r="F37" s="269" t="s">
        <v>708</v>
      </c>
      <c r="G37" s="354">
        <v>0.03</v>
      </c>
      <c r="H37" s="302" t="s">
        <v>712</v>
      </c>
      <c r="I37" s="297">
        <v>74</v>
      </c>
      <c r="J37" s="511" t="s">
        <v>113</v>
      </c>
      <c r="K37" s="257">
        <v>500</v>
      </c>
      <c r="L37" s="512" t="s">
        <v>426</v>
      </c>
      <c r="M37" s="351">
        <f>I37*C$62*G37/1000*2.2/2000*K37</f>
        <v>9.1049970000000007E-4</v>
      </c>
      <c r="N37" s="882" t="s">
        <v>497</v>
      </c>
      <c r="O37" s="893">
        <f t="shared" si="1"/>
        <v>2812</v>
      </c>
      <c r="P37" s="896">
        <f t="shared" si="2"/>
        <v>7.73924745E-4</v>
      </c>
      <c r="Q37" s="893">
        <f t="shared" si="3"/>
        <v>3633428.2088370235</v>
      </c>
      <c r="R37" s="893">
        <f t="shared" si="4"/>
        <v>5750</v>
      </c>
      <c r="S37" s="895">
        <f t="shared" si="5"/>
        <v>8.194497300000001E-4</v>
      </c>
      <c r="T37" s="893">
        <f t="shared" si="6"/>
        <v>7016903.8923229612</v>
      </c>
      <c r="U37" s="893">
        <f t="shared" si="7"/>
        <v>1500</v>
      </c>
      <c r="V37" s="895">
        <f t="shared" si="8"/>
        <v>2.7314991000000003E-4</v>
      </c>
      <c r="W37" s="893">
        <f t="shared" si="9"/>
        <v>5491490.0026875343</v>
      </c>
      <c r="Y37" s="320"/>
    </row>
    <row r="38" spans="1:25" x14ac:dyDescent="0.2">
      <c r="A38" s="293">
        <v>30</v>
      </c>
      <c r="B38" s="266" t="s">
        <v>461</v>
      </c>
      <c r="C38" s="510" t="s">
        <v>460</v>
      </c>
      <c r="D38" s="726">
        <v>1952</v>
      </c>
      <c r="E38" s="726" t="s">
        <v>441</v>
      </c>
      <c r="F38" s="269" t="s">
        <v>500</v>
      </c>
      <c r="G38" s="354">
        <v>2.2000000000000001E-3</v>
      </c>
      <c r="H38" s="302" t="s">
        <v>501</v>
      </c>
      <c r="I38" s="297">
        <v>75</v>
      </c>
      <c r="J38" s="511" t="s">
        <v>113</v>
      </c>
      <c r="K38" s="257">
        <v>500</v>
      </c>
      <c r="L38" s="512" t="s">
        <v>426</v>
      </c>
      <c r="M38" s="351">
        <f>G38*I38*K38/$C$64</f>
        <v>4.1250000000000002E-2</v>
      </c>
      <c r="N38" s="882" t="s">
        <v>497</v>
      </c>
      <c r="O38" s="893">
        <f t="shared" si="1"/>
        <v>2850</v>
      </c>
      <c r="P38" s="896">
        <f t="shared" si="2"/>
        <v>3.5062500000000003E-2</v>
      </c>
      <c r="Q38" s="893">
        <f t="shared" si="3"/>
        <v>81283.422459893045</v>
      </c>
      <c r="R38" s="893">
        <f t="shared" si="4"/>
        <v>5750</v>
      </c>
      <c r="S38" s="895">
        <f t="shared" si="5"/>
        <v>3.7125000000000005E-2</v>
      </c>
      <c r="T38" s="893">
        <f t="shared" si="6"/>
        <v>154882.15488215486</v>
      </c>
      <c r="U38" s="893">
        <f t="shared" si="7"/>
        <v>1500</v>
      </c>
      <c r="V38" s="895">
        <f t="shared" si="8"/>
        <v>1.2375000000000001E-2</v>
      </c>
      <c r="W38" s="893">
        <f t="shared" si="9"/>
        <v>121212.1212121212</v>
      </c>
      <c r="Y38" s="320"/>
    </row>
    <row r="39" spans="1:25" x14ac:dyDescent="0.2">
      <c r="A39" s="293" t="s">
        <v>749</v>
      </c>
      <c r="B39" s="266" t="s">
        <v>763</v>
      </c>
      <c r="C39" s="510" t="s">
        <v>460</v>
      </c>
      <c r="D39" s="726">
        <v>2014</v>
      </c>
      <c r="E39" s="726" t="s">
        <v>441</v>
      </c>
      <c r="F39" s="269" t="s">
        <v>708</v>
      </c>
      <c r="G39" s="354">
        <v>0.03</v>
      </c>
      <c r="H39" s="302" t="s">
        <v>712</v>
      </c>
      <c r="I39" s="297">
        <v>74</v>
      </c>
      <c r="J39" s="511" t="s">
        <v>113</v>
      </c>
      <c r="K39" s="257">
        <v>500</v>
      </c>
      <c r="L39" s="512" t="s">
        <v>426</v>
      </c>
      <c r="M39" s="351">
        <f>I39*C$62*G39/1000*2.2/2000*K39</f>
        <v>9.1049970000000007E-4</v>
      </c>
      <c r="N39" s="882" t="s">
        <v>497</v>
      </c>
      <c r="O39" s="893">
        <f t="shared" si="1"/>
        <v>2812</v>
      </c>
      <c r="P39" s="896">
        <f t="shared" si="2"/>
        <v>7.73924745E-4</v>
      </c>
      <c r="Q39" s="893">
        <f t="shared" si="3"/>
        <v>3633428.2088370235</v>
      </c>
      <c r="R39" s="893">
        <f t="shared" si="4"/>
        <v>5750</v>
      </c>
      <c r="S39" s="897">
        <f t="shared" si="5"/>
        <v>8.194497300000001E-4</v>
      </c>
      <c r="T39" s="893">
        <f t="shared" si="6"/>
        <v>7016903.8923229612</v>
      </c>
      <c r="U39" s="893">
        <f t="shared" si="7"/>
        <v>1500</v>
      </c>
      <c r="V39" s="895">
        <f t="shared" si="8"/>
        <v>2.7314991000000003E-4</v>
      </c>
      <c r="W39" s="893">
        <f t="shared" si="9"/>
        <v>5491490.0026875343</v>
      </c>
      <c r="Y39" s="320"/>
    </row>
    <row r="40" spans="1:25" x14ac:dyDescent="0.2">
      <c r="A40" s="293">
        <v>32</v>
      </c>
      <c r="B40" s="266" t="s">
        <v>462</v>
      </c>
      <c r="C40" s="510" t="s">
        <v>460</v>
      </c>
      <c r="D40" s="726">
        <v>1955</v>
      </c>
      <c r="E40" s="726" t="s">
        <v>441</v>
      </c>
      <c r="F40" s="269" t="s">
        <v>500</v>
      </c>
      <c r="G40" s="354">
        <v>2.2000000000000001E-3</v>
      </c>
      <c r="H40" s="302" t="s">
        <v>501</v>
      </c>
      <c r="I40" s="297">
        <v>75</v>
      </c>
      <c r="J40" s="511" t="s">
        <v>113</v>
      </c>
      <c r="K40" s="257">
        <v>500</v>
      </c>
      <c r="L40" s="512" t="s">
        <v>426</v>
      </c>
      <c r="M40" s="351">
        <f>G40*I40*K40/$C$64</f>
        <v>4.1250000000000002E-2</v>
      </c>
      <c r="N40" s="882" t="s">
        <v>497</v>
      </c>
      <c r="O40" s="893">
        <f t="shared" si="1"/>
        <v>2850</v>
      </c>
      <c r="P40" s="896">
        <f t="shared" si="2"/>
        <v>3.5062500000000003E-2</v>
      </c>
      <c r="Q40" s="893">
        <f t="shared" si="3"/>
        <v>81283.422459893045</v>
      </c>
      <c r="R40" s="893">
        <f t="shared" si="4"/>
        <v>5750</v>
      </c>
      <c r="S40" s="895">
        <f t="shared" si="5"/>
        <v>3.7125000000000005E-2</v>
      </c>
      <c r="T40" s="893">
        <f t="shared" si="6"/>
        <v>154882.15488215486</v>
      </c>
      <c r="U40" s="893">
        <f t="shared" si="7"/>
        <v>1500</v>
      </c>
      <c r="V40" s="895">
        <f t="shared" si="8"/>
        <v>1.2375000000000001E-2</v>
      </c>
      <c r="W40" s="893">
        <f t="shared" si="9"/>
        <v>121212.1212121212</v>
      </c>
      <c r="Y40" s="320"/>
    </row>
    <row r="41" spans="1:25" x14ac:dyDescent="0.2">
      <c r="A41" s="293">
        <v>33</v>
      </c>
      <c r="B41" s="266" t="s">
        <v>462</v>
      </c>
      <c r="C41" s="510" t="s">
        <v>460</v>
      </c>
      <c r="D41" s="726">
        <v>1994</v>
      </c>
      <c r="E41" s="726" t="s">
        <v>441</v>
      </c>
      <c r="F41" s="269" t="s">
        <v>500</v>
      </c>
      <c r="G41" s="354">
        <v>2.2000000000000001E-3</v>
      </c>
      <c r="H41" s="302" t="s">
        <v>501</v>
      </c>
      <c r="I41" s="297">
        <v>75</v>
      </c>
      <c r="J41" s="511" t="s">
        <v>113</v>
      </c>
      <c r="K41" s="257">
        <v>500</v>
      </c>
      <c r="L41" s="512" t="s">
        <v>426</v>
      </c>
      <c r="M41" s="351">
        <f>G41*I41*K41/$C$64</f>
        <v>4.1250000000000002E-2</v>
      </c>
      <c r="N41" s="882" t="s">
        <v>497</v>
      </c>
      <c r="O41" s="893">
        <f t="shared" si="1"/>
        <v>2850</v>
      </c>
      <c r="P41" s="896">
        <f t="shared" si="2"/>
        <v>3.5062500000000003E-2</v>
      </c>
      <c r="Q41" s="893">
        <f t="shared" si="3"/>
        <v>81283.422459893045</v>
      </c>
      <c r="R41" s="893">
        <f t="shared" si="4"/>
        <v>5750</v>
      </c>
      <c r="S41" s="895">
        <f t="shared" si="5"/>
        <v>3.7125000000000005E-2</v>
      </c>
      <c r="T41" s="893">
        <f t="shared" si="6"/>
        <v>154882.15488215486</v>
      </c>
      <c r="U41" s="893">
        <f t="shared" si="7"/>
        <v>1500</v>
      </c>
      <c r="V41" s="895">
        <f t="shared" si="8"/>
        <v>1.2375000000000001E-2</v>
      </c>
      <c r="W41" s="893">
        <f t="shared" si="9"/>
        <v>121212.1212121212</v>
      </c>
      <c r="Y41" s="320"/>
    </row>
    <row r="42" spans="1:25" x14ac:dyDescent="0.2">
      <c r="A42" s="293">
        <v>34</v>
      </c>
      <c r="B42" s="266" t="s">
        <v>464</v>
      </c>
      <c r="C42" s="510" t="s">
        <v>463</v>
      </c>
      <c r="D42" s="726">
        <v>1995</v>
      </c>
      <c r="E42" s="726" t="s">
        <v>441</v>
      </c>
      <c r="F42" s="269" t="s">
        <v>500</v>
      </c>
      <c r="G42" s="354">
        <v>2.2000000000000001E-3</v>
      </c>
      <c r="H42" s="302" t="s">
        <v>501</v>
      </c>
      <c r="I42" s="297">
        <v>220</v>
      </c>
      <c r="J42" s="511" t="s">
        <v>113</v>
      </c>
      <c r="K42" s="257">
        <v>500</v>
      </c>
      <c r="L42" s="512" t="s">
        <v>426</v>
      </c>
      <c r="M42" s="351">
        <f>G42*I42*K42/$C$64</f>
        <v>0.12100000000000001</v>
      </c>
      <c r="N42" s="882" t="s">
        <v>497</v>
      </c>
      <c r="O42" s="893">
        <f t="shared" si="1"/>
        <v>8360</v>
      </c>
      <c r="P42" s="896">
        <f t="shared" si="2"/>
        <v>0.10285000000000001</v>
      </c>
      <c r="Q42" s="893">
        <f t="shared" si="3"/>
        <v>81283.422459893045</v>
      </c>
      <c r="R42" s="893">
        <f t="shared" si="4"/>
        <v>5750</v>
      </c>
      <c r="S42" s="895">
        <f t="shared" si="5"/>
        <v>0.10890000000000001</v>
      </c>
      <c r="T42" s="893">
        <f t="shared" si="6"/>
        <v>52800.734618916431</v>
      </c>
      <c r="U42" s="893">
        <f t="shared" si="7"/>
        <v>1500</v>
      </c>
      <c r="V42" s="895">
        <f t="shared" si="8"/>
        <v>3.6299999999999999E-2</v>
      </c>
      <c r="W42" s="893">
        <f t="shared" si="9"/>
        <v>41322.314049586777</v>
      </c>
      <c r="Y42" s="320"/>
    </row>
    <row r="43" spans="1:25" x14ac:dyDescent="0.2">
      <c r="A43" s="293">
        <v>35</v>
      </c>
      <c r="B43" s="266" t="s">
        <v>465</v>
      </c>
      <c r="C43" s="510" t="s">
        <v>463</v>
      </c>
      <c r="D43" s="726">
        <v>2009</v>
      </c>
      <c r="E43" s="726" t="s">
        <v>441</v>
      </c>
      <c r="F43" s="269" t="s">
        <v>708</v>
      </c>
      <c r="G43" s="354">
        <v>0.4</v>
      </c>
      <c r="H43" s="302" t="s">
        <v>712</v>
      </c>
      <c r="I43" s="297">
        <v>55</v>
      </c>
      <c r="J43" s="511" t="s">
        <v>113</v>
      </c>
      <c r="K43" s="257">
        <v>500</v>
      </c>
      <c r="L43" s="512" t="s">
        <v>426</v>
      </c>
      <c r="M43" s="351">
        <f>I43*C$62*G43/1000*2.2/2000*K43</f>
        <v>9.0229700000000017E-3</v>
      </c>
      <c r="N43" s="882" t="s">
        <v>497</v>
      </c>
      <c r="O43" s="893">
        <f t="shared" si="1"/>
        <v>2090</v>
      </c>
      <c r="P43" s="896">
        <f t="shared" si="2"/>
        <v>7.6695245000000011E-3</v>
      </c>
      <c r="Q43" s="893">
        <f t="shared" si="3"/>
        <v>272507.11566277669</v>
      </c>
      <c r="R43" s="893">
        <f t="shared" si="4"/>
        <v>5750</v>
      </c>
      <c r="S43" s="895">
        <f t="shared" si="5"/>
        <v>8.1206730000000019E-3</v>
      </c>
      <c r="T43" s="893">
        <f t="shared" si="6"/>
        <v>708069.3927707714</v>
      </c>
      <c r="U43" s="893">
        <f t="shared" si="7"/>
        <v>1500</v>
      </c>
      <c r="V43" s="895">
        <f t="shared" si="8"/>
        <v>2.7068910000000003E-3</v>
      </c>
      <c r="W43" s="893">
        <f t="shared" si="9"/>
        <v>554141.26390756026</v>
      </c>
      <c r="Y43" s="320"/>
    </row>
    <row r="44" spans="1:25" x14ac:dyDescent="0.2">
      <c r="A44" s="293">
        <v>36</v>
      </c>
      <c r="B44" s="266" t="s">
        <v>466</v>
      </c>
      <c r="C44" s="510" t="s">
        <v>463</v>
      </c>
      <c r="D44" s="726">
        <v>1995</v>
      </c>
      <c r="E44" s="726" t="s">
        <v>441</v>
      </c>
      <c r="F44" s="269" t="s">
        <v>500</v>
      </c>
      <c r="G44" s="354">
        <v>2.2000000000000001E-3</v>
      </c>
      <c r="H44" s="302" t="s">
        <v>501</v>
      </c>
      <c r="I44" s="297">
        <v>220</v>
      </c>
      <c r="J44" s="511" t="s">
        <v>113</v>
      </c>
      <c r="K44" s="257">
        <v>500</v>
      </c>
      <c r="L44" s="512" t="s">
        <v>426</v>
      </c>
      <c r="M44" s="351">
        <f>G44*I44*K44/$C$64</f>
        <v>0.12100000000000001</v>
      </c>
      <c r="N44" s="882" t="s">
        <v>497</v>
      </c>
      <c r="O44" s="893">
        <f t="shared" si="1"/>
        <v>8360</v>
      </c>
      <c r="P44" s="896">
        <f t="shared" si="2"/>
        <v>0.10285000000000001</v>
      </c>
      <c r="Q44" s="893">
        <f t="shared" si="3"/>
        <v>81283.422459893045</v>
      </c>
      <c r="R44" s="893">
        <f t="shared" si="4"/>
        <v>5750</v>
      </c>
      <c r="S44" s="895">
        <f t="shared" si="5"/>
        <v>0.10890000000000001</v>
      </c>
      <c r="T44" s="893">
        <f t="shared" si="6"/>
        <v>52800.734618916431</v>
      </c>
      <c r="U44" s="893">
        <f t="shared" si="7"/>
        <v>1500</v>
      </c>
      <c r="V44" s="895">
        <f t="shared" si="8"/>
        <v>3.6299999999999999E-2</v>
      </c>
      <c r="W44" s="893">
        <f t="shared" si="9"/>
        <v>41322.314049586777</v>
      </c>
      <c r="Y44" s="320"/>
    </row>
    <row r="45" spans="1:25" hidden="1" x14ac:dyDescent="0.2">
      <c r="A45" s="293" t="s">
        <v>56</v>
      </c>
      <c r="B45" s="510" t="s">
        <v>467</v>
      </c>
      <c r="C45" s="510"/>
      <c r="D45" s="726">
        <v>1993</v>
      </c>
      <c r="E45" s="726" t="s">
        <v>49</v>
      </c>
      <c r="F45" s="1247" t="s">
        <v>513</v>
      </c>
      <c r="G45" s="1248"/>
      <c r="H45" s="1248"/>
      <c r="I45" s="297">
        <v>3620</v>
      </c>
      <c r="J45" s="511" t="s">
        <v>117</v>
      </c>
      <c r="K45" s="257">
        <v>500</v>
      </c>
      <c r="L45" s="316" t="s">
        <v>426</v>
      </c>
      <c r="M45" s="357">
        <f>'7 DU Ash Handling'!M7</f>
        <v>0.17643905735421272</v>
      </c>
      <c r="N45" s="882" t="s">
        <v>497</v>
      </c>
      <c r="O45" s="893"/>
      <c r="P45" s="898"/>
      <c r="Q45" s="899"/>
      <c r="R45" s="899"/>
      <c r="S45" s="900"/>
      <c r="T45" s="899"/>
      <c r="U45" s="899"/>
      <c r="V45" s="900"/>
      <c r="W45" s="899"/>
      <c r="Y45" s="320"/>
    </row>
    <row r="46" spans="1:25" hidden="1" x14ac:dyDescent="0.2">
      <c r="A46" s="293" t="s">
        <v>57</v>
      </c>
      <c r="B46" s="510" t="s">
        <v>469</v>
      </c>
      <c r="C46" s="510"/>
      <c r="D46" s="726">
        <v>1994</v>
      </c>
      <c r="E46" s="726" t="s">
        <v>49</v>
      </c>
      <c r="F46" s="1247" t="s">
        <v>513</v>
      </c>
      <c r="G46" s="1248"/>
      <c r="H46" s="1248"/>
      <c r="I46" s="297">
        <v>3620</v>
      </c>
      <c r="J46" s="511" t="s">
        <v>117</v>
      </c>
      <c r="K46" s="257">
        <v>500</v>
      </c>
      <c r="L46" s="316" t="s">
        <v>426</v>
      </c>
      <c r="M46" s="357">
        <f>'7 DU Ash Handling'!M8</f>
        <v>0.17643905735421272</v>
      </c>
      <c r="N46" s="882" t="s">
        <v>497</v>
      </c>
      <c r="O46" s="893"/>
      <c r="P46" s="898"/>
      <c r="Q46" s="899"/>
      <c r="R46" s="899"/>
      <c r="S46" s="900"/>
      <c r="T46" s="899"/>
      <c r="U46" s="899"/>
      <c r="V46" s="900"/>
      <c r="W46" s="899"/>
      <c r="Y46" s="320"/>
    </row>
    <row r="47" spans="1:25" hidden="1" x14ac:dyDescent="0.2">
      <c r="A47" s="293">
        <v>52</v>
      </c>
      <c r="B47" s="510" t="s">
        <v>470</v>
      </c>
      <c r="C47" s="510"/>
      <c r="D47" s="726" t="s">
        <v>761</v>
      </c>
      <c r="E47" s="726" t="s">
        <v>49</v>
      </c>
      <c r="F47" s="1247" t="s">
        <v>514</v>
      </c>
      <c r="G47" s="1248"/>
      <c r="H47" s="1248"/>
      <c r="I47" s="1240" t="s">
        <v>49</v>
      </c>
      <c r="J47" s="1241"/>
      <c r="K47" s="257">
        <v>180643.5</v>
      </c>
      <c r="L47" s="316" t="s">
        <v>740</v>
      </c>
      <c r="M47" s="357">
        <f>'6 DU Coal Pile'!N14</f>
        <v>3.22</v>
      </c>
      <c r="N47" s="882" t="s">
        <v>497</v>
      </c>
      <c r="O47" s="893"/>
      <c r="P47" s="898"/>
      <c r="Q47" s="899"/>
      <c r="R47" s="899"/>
      <c r="S47" s="900"/>
      <c r="T47" s="899"/>
      <c r="U47" s="899"/>
      <c r="V47" s="900"/>
      <c r="W47" s="899"/>
      <c r="Y47" s="320"/>
    </row>
    <row r="48" spans="1:25" ht="17.25" hidden="1" thickBot="1" x14ac:dyDescent="0.35">
      <c r="A48" s="1218" t="s">
        <v>765</v>
      </c>
      <c r="B48" s="1219"/>
      <c r="C48" s="1219"/>
      <c r="D48" s="1219"/>
      <c r="E48" s="1219"/>
      <c r="F48" s="1219"/>
      <c r="G48" s="1219"/>
      <c r="H48" s="1219"/>
      <c r="I48" s="1219"/>
      <c r="J48" s="1219"/>
      <c r="K48" s="1219"/>
      <c r="L48" s="1220"/>
      <c r="M48" s="325">
        <f>SUM(M7:M47)</f>
        <v>32.168146618212319</v>
      </c>
      <c r="N48" s="883" t="s">
        <v>497</v>
      </c>
      <c r="O48" s="901"/>
      <c r="P48" s="902"/>
      <c r="Q48" s="901"/>
      <c r="R48" s="901"/>
      <c r="S48" s="903"/>
      <c r="T48" s="901"/>
      <c r="U48" s="901"/>
      <c r="V48" s="903"/>
      <c r="W48" s="901"/>
    </row>
    <row r="49" spans="1:23" ht="15.75" hidden="1" thickBot="1" x14ac:dyDescent="0.3">
      <c r="A49" s="1213" t="s">
        <v>471</v>
      </c>
      <c r="B49" s="1214"/>
      <c r="C49" s="1214"/>
      <c r="D49" s="1214"/>
      <c r="E49" s="1214"/>
      <c r="F49" s="1214"/>
      <c r="G49" s="1214"/>
      <c r="H49" s="1214"/>
      <c r="I49" s="1214"/>
      <c r="J49" s="1214"/>
      <c r="K49" s="1214"/>
      <c r="L49" s="1214"/>
      <c r="M49" s="1214"/>
      <c r="N49" s="1331"/>
      <c r="O49" s="904"/>
      <c r="P49" s="905"/>
      <c r="Q49" s="904"/>
      <c r="R49" s="904"/>
      <c r="S49" s="906"/>
      <c r="T49" s="904"/>
      <c r="U49" s="904"/>
      <c r="V49" s="906"/>
      <c r="W49" s="904"/>
    </row>
    <row r="50" spans="1:23" ht="15" hidden="1" thickTop="1" x14ac:dyDescent="0.2">
      <c r="A50" s="293" t="s">
        <v>49</v>
      </c>
      <c r="B50" s="510" t="s">
        <v>472</v>
      </c>
      <c r="C50" s="510"/>
      <c r="D50" s="510"/>
      <c r="E50" s="726" t="s">
        <v>49</v>
      </c>
      <c r="F50" s="1247" t="s">
        <v>513</v>
      </c>
      <c r="G50" s="1248"/>
      <c r="H50" s="1248"/>
      <c r="I50" s="297">
        <v>1460</v>
      </c>
      <c r="J50" s="511" t="s">
        <v>117</v>
      </c>
      <c r="K50" s="513">
        <v>8760</v>
      </c>
      <c r="L50" s="514" t="s">
        <v>426</v>
      </c>
      <c r="M50" s="515">
        <f>'7 DU Ash Handling'!K10</f>
        <v>0.47440335863195315</v>
      </c>
      <c r="N50" s="884" t="s">
        <v>497</v>
      </c>
      <c r="O50" s="907"/>
      <c r="P50" s="908"/>
      <c r="Q50" s="907"/>
      <c r="R50" s="907"/>
      <c r="S50" s="909"/>
      <c r="T50" s="907"/>
      <c r="U50" s="907"/>
      <c r="V50" s="909"/>
      <c r="W50" s="907"/>
    </row>
    <row r="51" spans="1:23" hidden="1" x14ac:dyDescent="0.2">
      <c r="A51" s="293" t="s">
        <v>49</v>
      </c>
      <c r="B51" s="510" t="s">
        <v>474</v>
      </c>
      <c r="C51" s="510"/>
      <c r="D51" s="510"/>
      <c r="E51" s="726" t="s">
        <v>49</v>
      </c>
      <c r="F51" s="1247" t="s">
        <v>513</v>
      </c>
      <c r="G51" s="1248"/>
      <c r="H51" s="1248"/>
      <c r="I51" s="1240" t="s">
        <v>49</v>
      </c>
      <c r="J51" s="1241"/>
      <c r="K51" s="516">
        <v>67959.523809523816</v>
      </c>
      <c r="L51" s="359" t="s">
        <v>741</v>
      </c>
      <c r="M51" s="517">
        <f>'7 DU Ash Handling'!K11</f>
        <v>4.2840000000000005E-3</v>
      </c>
      <c r="N51" s="885" t="s">
        <v>497</v>
      </c>
      <c r="O51" s="910"/>
      <c r="P51" s="911"/>
      <c r="Q51" s="910"/>
      <c r="R51" s="910"/>
      <c r="S51" s="912"/>
      <c r="T51" s="910"/>
      <c r="U51" s="910"/>
      <c r="V51" s="912"/>
      <c r="W51" s="910"/>
    </row>
    <row r="52" spans="1:23" hidden="1" x14ac:dyDescent="0.2">
      <c r="A52" s="293" t="s">
        <v>49</v>
      </c>
      <c r="B52" s="510" t="s">
        <v>476</v>
      </c>
      <c r="C52" s="510"/>
      <c r="D52" s="510"/>
      <c r="E52" s="726" t="s">
        <v>478</v>
      </c>
      <c r="F52" s="722" t="s">
        <v>49</v>
      </c>
      <c r="G52" s="1155" t="s">
        <v>49</v>
      </c>
      <c r="H52" s="1156"/>
      <c r="I52" s="1240" t="s">
        <v>49</v>
      </c>
      <c r="J52" s="1241"/>
      <c r="K52" s="1252" t="s">
        <v>49</v>
      </c>
      <c r="L52" s="1253"/>
      <c r="M52" s="519">
        <v>0</v>
      </c>
      <c r="N52" s="885" t="s">
        <v>497</v>
      </c>
      <c r="O52" s="910"/>
      <c r="P52" s="911"/>
      <c r="Q52" s="910"/>
      <c r="R52" s="910"/>
      <c r="S52" s="912"/>
      <c r="T52" s="910"/>
      <c r="U52" s="910"/>
      <c r="V52" s="912"/>
      <c r="W52" s="910"/>
    </row>
    <row r="53" spans="1:23" hidden="1" x14ac:dyDescent="0.2">
      <c r="A53" s="293" t="s">
        <v>49</v>
      </c>
      <c r="B53" s="510" t="s">
        <v>479</v>
      </c>
      <c r="C53" s="510"/>
      <c r="D53" s="510"/>
      <c r="E53" s="726" t="s">
        <v>478</v>
      </c>
      <c r="F53" s="722" t="s">
        <v>49</v>
      </c>
      <c r="G53" s="1148" t="s">
        <v>49</v>
      </c>
      <c r="H53" s="1148"/>
      <c r="I53" s="1240" t="s">
        <v>49</v>
      </c>
      <c r="J53" s="1241"/>
      <c r="K53" s="1252" t="s">
        <v>49</v>
      </c>
      <c r="L53" s="1253"/>
      <c r="M53" s="519">
        <v>0</v>
      </c>
      <c r="N53" s="885" t="s">
        <v>497</v>
      </c>
      <c r="O53" s="910"/>
      <c r="P53" s="911"/>
      <c r="Q53" s="910"/>
      <c r="R53" s="910"/>
      <c r="S53" s="912"/>
      <c r="T53" s="910"/>
      <c r="U53" s="910"/>
      <c r="V53" s="912"/>
      <c r="W53" s="910"/>
    </row>
    <row r="54" spans="1:23" s="374" customFormat="1" ht="16.5" hidden="1" x14ac:dyDescent="0.3">
      <c r="A54" s="1234" t="s">
        <v>766</v>
      </c>
      <c r="B54" s="1235"/>
      <c r="C54" s="1235"/>
      <c r="D54" s="1235"/>
      <c r="E54" s="1235"/>
      <c r="F54" s="1235"/>
      <c r="G54" s="1235"/>
      <c r="H54" s="1235"/>
      <c r="I54" s="1235"/>
      <c r="J54" s="1235"/>
      <c r="K54" s="1235"/>
      <c r="L54" s="1236"/>
      <c r="M54" s="365">
        <f>SUM(M50:M53)</f>
        <v>0.47868735863195316</v>
      </c>
      <c r="N54" s="886" t="s">
        <v>497</v>
      </c>
      <c r="O54" s="901"/>
      <c r="P54" s="902"/>
      <c r="Q54" s="901"/>
      <c r="R54" s="901"/>
      <c r="S54" s="903"/>
      <c r="T54" s="901"/>
      <c r="U54" s="901"/>
      <c r="V54" s="903"/>
      <c r="W54" s="901"/>
    </row>
    <row r="55" spans="1:23" ht="15" hidden="1" x14ac:dyDescent="0.25">
      <c r="A55" s="727"/>
      <c r="B55" s="728"/>
      <c r="C55" s="728"/>
      <c r="D55" s="728"/>
      <c r="E55" s="728"/>
      <c r="F55" s="728"/>
      <c r="G55" s="368"/>
      <c r="H55" s="368"/>
      <c r="I55" s="369"/>
      <c r="J55" s="368"/>
      <c r="K55" s="370"/>
      <c r="L55" s="371"/>
      <c r="M55" s="337"/>
      <c r="N55" s="337"/>
      <c r="O55" s="913"/>
      <c r="P55" s="914"/>
      <c r="Q55" s="913"/>
      <c r="R55" s="913"/>
      <c r="S55" s="915"/>
      <c r="T55" s="913"/>
      <c r="U55" s="913"/>
      <c r="V55" s="915"/>
      <c r="W55" s="913"/>
    </row>
    <row r="56" spans="1:23" ht="18.75" hidden="1" thickBot="1" x14ac:dyDescent="0.35">
      <c r="A56" s="1218" t="s">
        <v>675</v>
      </c>
      <c r="B56" s="1219"/>
      <c r="C56" s="1219"/>
      <c r="D56" s="1219"/>
      <c r="E56" s="1219"/>
      <c r="F56" s="1219"/>
      <c r="G56" s="1219"/>
      <c r="H56" s="1219"/>
      <c r="I56" s="1219"/>
      <c r="J56" s="1219"/>
      <c r="K56" s="1219"/>
      <c r="L56" s="1220"/>
      <c r="M56" s="325">
        <f>SUM(M48,M54)</f>
        <v>32.64683397684427</v>
      </c>
      <c r="N56" s="883" t="s">
        <v>676</v>
      </c>
      <c r="O56" s="901"/>
      <c r="P56" s="902"/>
      <c r="Q56" s="901"/>
      <c r="R56" s="901"/>
      <c r="S56" s="903"/>
      <c r="T56" s="901"/>
      <c r="U56" s="901"/>
      <c r="V56" s="903"/>
      <c r="W56" s="901"/>
    </row>
    <row r="57" spans="1:23" ht="15" x14ac:dyDescent="0.25">
      <c r="A57" s="122"/>
      <c r="B57" s="283"/>
      <c r="C57" s="283"/>
      <c r="D57" s="283"/>
      <c r="E57" s="283"/>
      <c r="F57" s="283"/>
      <c r="G57" s="283"/>
      <c r="H57" s="283"/>
      <c r="I57" s="283"/>
      <c r="J57" s="283"/>
      <c r="K57" s="283"/>
      <c r="L57" s="335"/>
      <c r="M57" s="336">
        <f>SUM(M16:M44)</f>
        <v>1.6640415570784215</v>
      </c>
      <c r="N57" s="337" t="s">
        <v>923</v>
      </c>
      <c r="O57" s="913"/>
      <c r="P57" s="916">
        <f>M57-SUM(P16:P44)</f>
        <v>0.24960623356176326</v>
      </c>
      <c r="Q57" s="913" t="s">
        <v>497</v>
      </c>
      <c r="R57" s="913"/>
      <c r="S57" s="916">
        <f>M57-SUM(S16:S44)</f>
        <v>0.16640415570784239</v>
      </c>
      <c r="T57" s="913" t="s">
        <v>497</v>
      </c>
      <c r="U57" s="913"/>
      <c r="V57" s="916">
        <f>M57-SUM(V16:V44)</f>
        <v>1.1648290899548952</v>
      </c>
      <c r="W57" s="913" t="s">
        <v>497</v>
      </c>
    </row>
    <row r="58" spans="1:23" x14ac:dyDescent="0.2">
      <c r="A58" s="125" t="s">
        <v>239</v>
      </c>
      <c r="F58" s="126"/>
      <c r="O58" s="899"/>
      <c r="P58" s="898"/>
      <c r="Q58" s="899"/>
      <c r="R58" s="899"/>
      <c r="S58" s="900"/>
      <c r="T58" s="899"/>
      <c r="U58" s="899"/>
      <c r="V58" s="900"/>
      <c r="W58" s="899"/>
    </row>
    <row r="59" spans="1:23" ht="15" x14ac:dyDescent="0.2">
      <c r="A59" s="1308" t="s">
        <v>924</v>
      </c>
      <c r="B59" s="1308"/>
      <c r="C59" s="1308"/>
      <c r="D59" s="1308"/>
      <c r="E59" s="1308"/>
      <c r="F59" s="1308"/>
      <c r="G59" s="1308"/>
      <c r="H59" s="1308"/>
      <c r="I59" s="1308"/>
      <c r="J59" s="1308"/>
      <c r="K59" s="1308"/>
      <c r="L59" s="1308"/>
      <c r="M59" s="1308"/>
      <c r="N59" s="1308"/>
      <c r="O59" s="917"/>
      <c r="P59" s="918" t="s">
        <v>828</v>
      </c>
      <c r="Q59" s="893">
        <f>MAX(Q16:Q44)</f>
        <v>3633428.2088370235</v>
      </c>
      <c r="R59" s="893"/>
      <c r="S59" s="895"/>
      <c r="T59" s="893">
        <f>MAX(T16:T44)</f>
        <v>7016903.8923229612</v>
      </c>
      <c r="U59" s="893"/>
      <c r="V59" s="895"/>
      <c r="W59" s="893">
        <f>MAX(W16:W44)</f>
        <v>5491490.0026875343</v>
      </c>
    </row>
    <row r="60" spans="1:23" ht="15" x14ac:dyDescent="0.2">
      <c r="A60" s="689" t="s">
        <v>764</v>
      </c>
      <c r="B60" s="732"/>
      <c r="C60" s="732"/>
      <c r="D60" s="732"/>
      <c r="E60" s="732"/>
      <c r="F60" s="732"/>
      <c r="G60" s="732"/>
      <c r="H60" s="732"/>
      <c r="I60" s="732"/>
      <c r="J60" s="732"/>
      <c r="K60" s="732"/>
      <c r="L60" s="732"/>
      <c r="M60" s="732"/>
      <c r="N60" s="732"/>
      <c r="O60" s="917"/>
      <c r="P60" s="918" t="s">
        <v>829</v>
      </c>
      <c r="Q60" s="893">
        <f>MIN(Q16:Q44)</f>
        <v>81283.42245989303</v>
      </c>
      <c r="R60" s="893"/>
      <c r="S60" s="895"/>
      <c r="T60" s="893">
        <f>MIN(T16:T44)</f>
        <v>26519.452912762976</v>
      </c>
      <c r="U60" s="893"/>
      <c r="V60" s="895"/>
      <c r="W60" s="893">
        <f>MIN(W16:W44)</f>
        <v>20754.35445346668</v>
      </c>
    </row>
    <row r="61" spans="1:23" ht="15" x14ac:dyDescent="0.2">
      <c r="A61" s="125" t="s">
        <v>483</v>
      </c>
      <c r="O61" s="919"/>
      <c r="P61" s="920" t="s">
        <v>830</v>
      </c>
      <c r="Q61" s="921">
        <f>AVERAGE(Q16:Q44)</f>
        <v>496042.09241953806</v>
      </c>
      <c r="R61" s="921"/>
      <c r="S61" s="922"/>
      <c r="T61" s="921">
        <f>AVERAGE(T16:T44)</f>
        <v>728301.51958747499</v>
      </c>
      <c r="U61" s="921"/>
      <c r="V61" s="922"/>
      <c r="W61" s="921">
        <f>AVERAGE(W16:W44)</f>
        <v>569975.10228584986</v>
      </c>
    </row>
    <row r="62" spans="1:23" x14ac:dyDescent="0.2">
      <c r="B62" s="338" t="s">
        <v>709</v>
      </c>
      <c r="C62" s="125">
        <f>'2b DU NOx Proposed'!E58</f>
        <v>0.74570000000000003</v>
      </c>
      <c r="D62" s="125" t="s">
        <v>116</v>
      </c>
      <c r="O62" s="923"/>
      <c r="P62" s="924"/>
      <c r="Q62" s="923"/>
      <c r="R62" s="923"/>
      <c r="S62" s="925"/>
      <c r="T62" s="923"/>
      <c r="U62" s="923"/>
      <c r="V62" s="925"/>
      <c r="W62" s="923"/>
    </row>
    <row r="63" spans="1:23" x14ac:dyDescent="0.2">
      <c r="B63" s="338" t="s">
        <v>503</v>
      </c>
      <c r="C63" s="375">
        <v>453.6</v>
      </c>
      <c r="D63" s="125" t="s">
        <v>504</v>
      </c>
      <c r="O63" s="926"/>
      <c r="P63" s="283"/>
      <c r="Q63" s="926"/>
      <c r="R63" s="926"/>
      <c r="S63" s="927"/>
      <c r="T63" s="926"/>
      <c r="U63" s="926"/>
      <c r="V63" s="927"/>
      <c r="W63" s="926"/>
    </row>
    <row r="64" spans="1:23" x14ac:dyDescent="0.2">
      <c r="B64" s="338" t="s">
        <v>503</v>
      </c>
      <c r="C64" s="339">
        <v>2000</v>
      </c>
      <c r="D64" s="125" t="s">
        <v>496</v>
      </c>
      <c r="O64" s="926"/>
      <c r="P64" s="283"/>
      <c r="Q64" s="926"/>
      <c r="R64" s="926"/>
      <c r="S64" s="927"/>
      <c r="T64" s="926"/>
      <c r="U64" s="926"/>
      <c r="V64" s="927"/>
      <c r="W64" s="926"/>
    </row>
    <row r="65" spans="1:23" x14ac:dyDescent="0.2">
      <c r="B65" s="338" t="s">
        <v>505</v>
      </c>
      <c r="C65" s="341">
        <v>15.12</v>
      </c>
      <c r="D65" s="125" t="s">
        <v>506</v>
      </c>
      <c r="E65" s="342" t="s">
        <v>507</v>
      </c>
      <c r="F65" s="578"/>
      <c r="O65" s="926"/>
      <c r="P65" s="283"/>
      <c r="Q65" s="926"/>
      <c r="R65" s="926"/>
      <c r="S65" s="927"/>
      <c r="T65" s="926"/>
      <c r="U65" s="926"/>
      <c r="V65" s="927"/>
      <c r="W65" s="926"/>
    </row>
    <row r="66" spans="1:23" x14ac:dyDescent="0.2">
      <c r="B66" s="125" t="s">
        <v>821</v>
      </c>
      <c r="C66" s="824">
        <v>38</v>
      </c>
      <c r="D66" s="125" t="s">
        <v>816</v>
      </c>
      <c r="F66" s="578"/>
      <c r="O66" s="926"/>
      <c r="P66" s="283"/>
      <c r="Q66" s="926"/>
      <c r="R66" s="926"/>
      <c r="S66" s="927"/>
      <c r="T66" s="926"/>
      <c r="U66" s="926"/>
      <c r="V66" s="927"/>
      <c r="W66" s="926"/>
    </row>
    <row r="67" spans="1:23" x14ac:dyDescent="0.2">
      <c r="B67" s="125" t="s">
        <v>822</v>
      </c>
      <c r="C67" s="734">
        <v>0.85</v>
      </c>
      <c r="D67" s="125" t="s">
        <v>817</v>
      </c>
      <c r="F67" s="578"/>
      <c r="O67" s="926"/>
      <c r="P67" s="283"/>
      <c r="Q67" s="926"/>
      <c r="R67" s="926"/>
      <c r="S67" s="927"/>
      <c r="T67" s="926"/>
      <c r="U67" s="926"/>
      <c r="V67" s="927"/>
      <c r="W67" s="926"/>
    </row>
    <row r="68" spans="1:23" x14ac:dyDescent="0.2">
      <c r="B68" s="125" t="s">
        <v>820</v>
      </c>
      <c r="C68" s="824">
        <f>AVERAGE(4000,7500)</f>
        <v>5750</v>
      </c>
      <c r="D68" s="125" t="s">
        <v>826</v>
      </c>
      <c r="E68" s="125" t="s">
        <v>831</v>
      </c>
      <c r="F68" s="578"/>
      <c r="O68" s="926"/>
      <c r="P68" s="283"/>
      <c r="Q68" s="926"/>
      <c r="R68" s="926"/>
      <c r="S68" s="927"/>
      <c r="T68" s="926"/>
      <c r="U68" s="926"/>
      <c r="V68" s="927"/>
      <c r="W68" s="926"/>
    </row>
    <row r="69" spans="1:23" x14ac:dyDescent="0.2">
      <c r="B69" s="125" t="s">
        <v>823</v>
      </c>
      <c r="C69" s="734">
        <v>0.9</v>
      </c>
      <c r="F69" s="578"/>
      <c r="O69" s="926"/>
      <c r="P69" s="283"/>
      <c r="Q69" s="926"/>
      <c r="R69" s="926"/>
      <c r="S69" s="927"/>
      <c r="T69" s="926"/>
      <c r="U69" s="926"/>
      <c r="V69" s="927"/>
      <c r="W69" s="926"/>
    </row>
    <row r="70" spans="1:23" x14ac:dyDescent="0.2">
      <c r="B70" s="125" t="s">
        <v>825</v>
      </c>
      <c r="C70" s="824">
        <f>AVERAGE(1000,2000)</f>
        <v>1500</v>
      </c>
      <c r="D70" s="125" t="s">
        <v>827</v>
      </c>
      <c r="E70" s="125" t="s">
        <v>831</v>
      </c>
      <c r="F70" s="578"/>
      <c r="O70" s="926"/>
      <c r="P70" s="283"/>
      <c r="Q70" s="926"/>
      <c r="R70" s="926"/>
      <c r="S70" s="927"/>
      <c r="T70" s="926"/>
      <c r="U70" s="926"/>
      <c r="V70" s="927"/>
      <c r="W70" s="926"/>
    </row>
    <row r="71" spans="1:23" x14ac:dyDescent="0.2">
      <c r="B71" s="125" t="s">
        <v>824</v>
      </c>
      <c r="C71" s="735">
        <v>0.3</v>
      </c>
      <c r="F71" s="578"/>
      <c r="O71" s="926"/>
      <c r="P71" s="283"/>
      <c r="Q71" s="926"/>
      <c r="R71" s="926"/>
      <c r="S71" s="927"/>
      <c r="T71" s="926"/>
      <c r="U71" s="926"/>
      <c r="V71" s="927"/>
      <c r="W71" s="926"/>
    </row>
    <row r="72" spans="1:23" x14ac:dyDescent="0.2">
      <c r="F72" s="578"/>
      <c r="O72" s="926"/>
      <c r="P72" s="283"/>
      <c r="Q72" s="926"/>
      <c r="R72" s="926"/>
      <c r="S72" s="927"/>
      <c r="T72" s="926"/>
      <c r="U72" s="926"/>
      <c r="V72" s="927"/>
      <c r="W72" s="926"/>
    </row>
    <row r="73" spans="1:23" x14ac:dyDescent="0.2">
      <c r="F73" s="578"/>
      <c r="O73" s="926"/>
      <c r="P73" s="283"/>
      <c r="Q73" s="926"/>
      <c r="R73" s="926"/>
      <c r="S73" s="927"/>
      <c r="T73" s="926"/>
      <c r="U73" s="926"/>
      <c r="V73" s="927"/>
      <c r="W73" s="926"/>
    </row>
    <row r="74" spans="1:23" x14ac:dyDescent="0.2">
      <c r="A74" s="125" t="s">
        <v>922</v>
      </c>
      <c r="B74" s="125" t="s">
        <v>993</v>
      </c>
      <c r="F74" s="578"/>
      <c r="O74" s="926"/>
      <c r="P74" s="283"/>
      <c r="Q74" s="926"/>
      <c r="R74" s="926"/>
      <c r="S74" s="927"/>
      <c r="T74" s="926"/>
      <c r="U74" s="926"/>
      <c r="V74" s="927"/>
      <c r="W74" s="926"/>
    </row>
    <row r="75" spans="1:23" x14ac:dyDescent="0.2">
      <c r="F75" s="578"/>
      <c r="O75" s="926"/>
      <c r="P75" s="283"/>
      <c r="Q75" s="926"/>
      <c r="R75" s="926"/>
      <c r="S75" s="927"/>
      <c r="T75" s="926"/>
      <c r="U75" s="926"/>
      <c r="V75" s="927"/>
      <c r="W75" s="926"/>
    </row>
    <row r="76" spans="1:23" x14ac:dyDescent="0.2">
      <c r="F76" s="578"/>
      <c r="O76" s="926"/>
      <c r="P76" s="283"/>
      <c r="Q76" s="926"/>
      <c r="R76" s="926"/>
      <c r="S76" s="927"/>
      <c r="T76" s="926"/>
      <c r="U76" s="926"/>
      <c r="V76" s="927"/>
      <c r="W76" s="926"/>
    </row>
    <row r="77" spans="1:23" x14ac:dyDescent="0.2">
      <c r="F77" s="578"/>
      <c r="O77" s="926"/>
      <c r="P77" s="283"/>
      <c r="Q77" s="926"/>
      <c r="R77" s="926"/>
      <c r="S77" s="927"/>
      <c r="T77" s="926"/>
      <c r="U77" s="926"/>
      <c r="V77" s="927"/>
      <c r="W77" s="926"/>
    </row>
    <row r="78" spans="1:23" x14ac:dyDescent="0.2">
      <c r="F78" s="578"/>
      <c r="O78" s="926"/>
      <c r="P78" s="283"/>
      <c r="Q78" s="926"/>
      <c r="R78" s="926"/>
      <c r="S78" s="927"/>
      <c r="T78" s="926"/>
      <c r="U78" s="926"/>
      <c r="V78" s="927"/>
      <c r="W78" s="926"/>
    </row>
    <row r="79" spans="1:23" x14ac:dyDescent="0.2">
      <c r="F79" s="578"/>
    </row>
    <row r="80" spans="1:23" x14ac:dyDescent="0.2">
      <c r="F80" s="578"/>
    </row>
    <row r="81" spans="6:6" x14ac:dyDescent="0.2">
      <c r="F81" s="578"/>
    </row>
    <row r="82" spans="6:6" x14ac:dyDescent="0.2">
      <c r="F82" s="578"/>
    </row>
    <row r="83" spans="6:6" x14ac:dyDescent="0.2">
      <c r="F83" s="578"/>
    </row>
    <row r="84" spans="6:6" x14ac:dyDescent="0.2">
      <c r="F84" s="578"/>
    </row>
    <row r="85" spans="6:6" x14ac:dyDescent="0.2">
      <c r="F85" s="578"/>
    </row>
    <row r="86" spans="6:6" x14ac:dyDescent="0.2">
      <c r="F86" s="578"/>
    </row>
    <row r="87" spans="6:6" x14ac:dyDescent="0.2">
      <c r="F87" s="578"/>
    </row>
    <row r="88" spans="6:6" x14ac:dyDescent="0.2">
      <c r="F88" s="578"/>
    </row>
    <row r="89" spans="6:6" x14ac:dyDescent="0.2">
      <c r="F89" s="578"/>
    </row>
    <row r="90" spans="6:6" x14ac:dyDescent="0.2">
      <c r="F90" s="578"/>
    </row>
    <row r="91" spans="6:6" x14ac:dyDescent="0.2">
      <c r="F91" s="578"/>
    </row>
    <row r="92" spans="6:6" x14ac:dyDescent="0.2">
      <c r="F92" s="578"/>
    </row>
    <row r="93" spans="6:6" x14ac:dyDescent="0.2">
      <c r="F93" s="578"/>
    </row>
    <row r="94" spans="6:6" x14ac:dyDescent="0.2">
      <c r="F94" s="578"/>
    </row>
    <row r="95" spans="6:6" x14ac:dyDescent="0.2">
      <c r="F95" s="578"/>
    </row>
    <row r="96" spans="6:6" x14ac:dyDescent="0.2">
      <c r="F96" s="578"/>
    </row>
    <row r="97" spans="6:6" x14ac:dyDescent="0.2">
      <c r="F97" s="578"/>
    </row>
    <row r="98" spans="6:6" x14ac:dyDescent="0.2">
      <c r="F98" s="578"/>
    </row>
    <row r="99" spans="6:6" x14ac:dyDescent="0.2">
      <c r="F99" s="578"/>
    </row>
    <row r="100" spans="6:6" x14ac:dyDescent="0.2">
      <c r="F100" s="578"/>
    </row>
    <row r="101" spans="6:6" x14ac:dyDescent="0.2">
      <c r="F101" s="578"/>
    </row>
    <row r="102" spans="6:6" x14ac:dyDescent="0.2">
      <c r="F102" s="578"/>
    </row>
    <row r="103" spans="6:6" x14ac:dyDescent="0.2">
      <c r="F103" s="578"/>
    </row>
    <row r="104" spans="6:6" x14ac:dyDescent="0.2">
      <c r="F104" s="578"/>
    </row>
    <row r="105" spans="6:6" x14ac:dyDescent="0.2">
      <c r="F105" s="578"/>
    </row>
    <row r="106" spans="6:6" x14ac:dyDescent="0.2">
      <c r="F106" s="578"/>
    </row>
    <row r="107" spans="6:6" x14ac:dyDescent="0.2">
      <c r="F107" s="578"/>
    </row>
    <row r="108" spans="6:6" x14ac:dyDescent="0.2">
      <c r="F108" s="578"/>
    </row>
    <row r="109" spans="6:6" x14ac:dyDescent="0.2">
      <c r="F109" s="578"/>
    </row>
    <row r="110" spans="6:6" x14ac:dyDescent="0.2">
      <c r="F110" s="578"/>
    </row>
    <row r="111" spans="6:6" x14ac:dyDescent="0.2">
      <c r="F111" s="578"/>
    </row>
    <row r="112" spans="6:6" x14ac:dyDescent="0.2">
      <c r="F112" s="578"/>
    </row>
    <row r="113" spans="6:6" x14ac:dyDescent="0.2">
      <c r="F113" s="578"/>
    </row>
    <row r="114" spans="6:6" x14ac:dyDescent="0.2">
      <c r="F114" s="578"/>
    </row>
    <row r="115" spans="6:6" x14ac:dyDescent="0.2">
      <c r="F115" s="578"/>
    </row>
    <row r="116" spans="6:6" x14ac:dyDescent="0.2">
      <c r="F116" s="578"/>
    </row>
    <row r="117" spans="6:6" x14ac:dyDescent="0.2">
      <c r="F117" s="578"/>
    </row>
    <row r="118" spans="6:6" x14ac:dyDescent="0.2">
      <c r="F118" s="578"/>
    </row>
    <row r="119" spans="6:6" x14ac:dyDescent="0.2">
      <c r="F119" s="578"/>
    </row>
    <row r="120" spans="6:6" x14ac:dyDescent="0.2">
      <c r="F120" s="578"/>
    </row>
  </sheetData>
  <mergeCells count="43">
    <mergeCell ref="U4:U5"/>
    <mergeCell ref="V4:V5"/>
    <mergeCell ref="W4:W5"/>
    <mergeCell ref="R4:R5"/>
    <mergeCell ref="S4:S5"/>
    <mergeCell ref="T4:T5"/>
    <mergeCell ref="A54:L54"/>
    <mergeCell ref="A56:L56"/>
    <mergeCell ref="A59:N59"/>
    <mergeCell ref="P4:P5"/>
    <mergeCell ref="Q4:Q5"/>
    <mergeCell ref="O4:O5"/>
    <mergeCell ref="G52:H52"/>
    <mergeCell ref="I52:J52"/>
    <mergeCell ref="K52:L52"/>
    <mergeCell ref="G53:H53"/>
    <mergeCell ref="I53:J53"/>
    <mergeCell ref="K53:L53"/>
    <mergeCell ref="I47:J47"/>
    <mergeCell ref="A48:L48"/>
    <mergeCell ref="A49:N49"/>
    <mergeCell ref="F50:H50"/>
    <mergeCell ref="F51:H51"/>
    <mergeCell ref="I51:J51"/>
    <mergeCell ref="F13:H13"/>
    <mergeCell ref="F14:H14"/>
    <mergeCell ref="F15:H15"/>
    <mergeCell ref="F45:H45"/>
    <mergeCell ref="F46:H46"/>
    <mergeCell ref="F47:H47"/>
    <mergeCell ref="A6:N6"/>
    <mergeCell ref="F7:F12"/>
    <mergeCell ref="G7:G12"/>
    <mergeCell ref="H7:H12"/>
    <mergeCell ref="K7:K12"/>
    <mergeCell ref="L7:L12"/>
    <mergeCell ref="I5:J5"/>
    <mergeCell ref="M5:N5"/>
    <mergeCell ref="A1:N1"/>
    <mergeCell ref="A2:N2"/>
    <mergeCell ref="A4:B4"/>
    <mergeCell ref="I4:J4"/>
    <mergeCell ref="M4:N4"/>
  </mergeCells>
  <printOptions horizontalCentered="1"/>
  <pageMargins left="0.25" right="0.25" top="0.75" bottom="0.75" header="0.3" footer="0.3"/>
  <pageSetup scale="39" orientation="landscape" useFirstPageNumber="1" r:id="rId1"/>
  <headerFooter alignWithMargins="0">
    <oddFooter>&amp;LSection D
Fort Wainwright (Privatized Emission Units)- Doyon Utilities
Operating Permit Renewal Application&amp;CPage D.2-8 Sheet &amp;P&amp;RMay 2013</oddFooter>
  </headerFooter>
  <rowBreaks count="1" manualBreakCount="1">
    <brk id="48" max="22"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P24"/>
  <sheetViews>
    <sheetView workbookViewId="0">
      <selection activeCell="B14" sqref="B14"/>
    </sheetView>
  </sheetViews>
  <sheetFormatPr defaultRowHeight="15" x14ac:dyDescent="0.25"/>
  <cols>
    <col min="1" max="1" width="9.140625" style="572"/>
    <col min="2" max="2" width="38" customWidth="1"/>
    <col min="9" max="9" width="58.85546875" customWidth="1"/>
    <col min="14" max="14" width="17.5703125" customWidth="1"/>
  </cols>
  <sheetData>
    <row r="1" spans="1:16" x14ac:dyDescent="0.25">
      <c r="C1" s="1333" t="s">
        <v>417</v>
      </c>
      <c r="D1" s="1333"/>
      <c r="E1" s="1333"/>
      <c r="F1" s="1333"/>
      <c r="G1" s="1333"/>
      <c r="H1" s="1333"/>
    </row>
    <row r="2" spans="1:16" ht="70.5" customHeight="1" x14ac:dyDescent="0.25">
      <c r="A2" s="1332" t="s">
        <v>925</v>
      </c>
      <c r="B2" s="1332"/>
      <c r="C2" s="851">
        <v>3</v>
      </c>
      <c r="D2" s="851">
        <v>4</v>
      </c>
      <c r="E2" s="851">
        <v>5</v>
      </c>
      <c r="F2" s="851">
        <v>6</v>
      </c>
      <c r="G2" s="851">
        <v>7</v>
      </c>
      <c r="H2" s="851">
        <v>8</v>
      </c>
      <c r="I2" t="s">
        <v>945</v>
      </c>
    </row>
    <row r="3" spans="1:16" x14ac:dyDescent="0.25">
      <c r="B3" t="s">
        <v>883</v>
      </c>
      <c r="C3">
        <v>39416</v>
      </c>
      <c r="D3">
        <v>38521</v>
      </c>
      <c r="E3">
        <v>38793</v>
      </c>
      <c r="F3">
        <v>37870</v>
      </c>
      <c r="G3">
        <v>39077</v>
      </c>
      <c r="H3">
        <v>38555</v>
      </c>
    </row>
    <row r="4" spans="1:16" x14ac:dyDescent="0.25">
      <c r="B4" t="s">
        <v>884</v>
      </c>
      <c r="C4">
        <v>9612</v>
      </c>
      <c r="D4" s="572">
        <v>9612</v>
      </c>
      <c r="E4" s="572">
        <v>9612</v>
      </c>
      <c r="F4" s="572">
        <v>9612</v>
      </c>
      <c r="G4" s="572">
        <v>9612</v>
      </c>
      <c r="H4" s="572">
        <v>9612</v>
      </c>
    </row>
    <row r="5" spans="1:16" s="572" customFormat="1" x14ac:dyDescent="0.25">
      <c r="B5" s="572" t="s">
        <v>888</v>
      </c>
      <c r="C5" s="572">
        <v>5.4</v>
      </c>
      <c r="D5" s="572">
        <v>4.8</v>
      </c>
      <c r="E5" s="572">
        <v>4.9000000000000004</v>
      </c>
      <c r="F5" s="572">
        <v>5</v>
      </c>
      <c r="G5" s="572">
        <v>5.0999999999999996</v>
      </c>
      <c r="H5" s="572">
        <v>4.5</v>
      </c>
    </row>
    <row r="6" spans="1:16" x14ac:dyDescent="0.25">
      <c r="B6" t="s">
        <v>885</v>
      </c>
      <c r="C6">
        <v>1E-3</v>
      </c>
      <c r="D6">
        <v>6.0000000000000001E-3</v>
      </c>
      <c r="E6">
        <v>1E-3</v>
      </c>
      <c r="F6">
        <v>2E-3</v>
      </c>
      <c r="G6">
        <v>1E-3</v>
      </c>
      <c r="H6">
        <v>2E-3</v>
      </c>
      <c r="I6" t="s">
        <v>927</v>
      </c>
      <c r="K6" s="572"/>
      <c r="L6" s="572"/>
      <c r="M6" s="572"/>
      <c r="N6" s="572"/>
      <c r="O6" s="572"/>
      <c r="P6" s="572"/>
    </row>
    <row r="7" spans="1:16" x14ac:dyDescent="0.25">
      <c r="B7" s="851" t="s">
        <v>886</v>
      </c>
      <c r="C7" s="852">
        <v>1.48E-3</v>
      </c>
      <c r="D7" s="852">
        <v>1.0999999999999999E-2</v>
      </c>
      <c r="E7" s="852">
        <v>9.9700000000000006E-4</v>
      </c>
      <c r="F7" s="852">
        <v>2.9499999999999999E-3</v>
      </c>
      <c r="G7" s="852">
        <v>1.06E-3</v>
      </c>
      <c r="H7" s="852">
        <v>3.8999999999999998E-3</v>
      </c>
    </row>
    <row r="8" spans="1:16" s="572" customFormat="1" x14ac:dyDescent="0.25">
      <c r="C8" s="853"/>
      <c r="D8" s="853"/>
      <c r="E8" s="853"/>
      <c r="F8" s="853"/>
      <c r="G8" s="853"/>
      <c r="H8" s="853"/>
    </row>
    <row r="9" spans="1:16" s="572" customFormat="1" ht="39" customHeight="1" x14ac:dyDescent="0.25">
      <c r="A9" s="1334" t="s">
        <v>926</v>
      </c>
      <c r="B9" s="1334"/>
    </row>
    <row r="10" spans="1:16" x14ac:dyDescent="0.25">
      <c r="B10" t="s">
        <v>887</v>
      </c>
      <c r="C10">
        <f t="shared" ref="C10:H10" si="0">0.013+0.002</f>
        <v>1.4999999999999999E-2</v>
      </c>
      <c r="D10" s="572">
        <f t="shared" si="0"/>
        <v>1.4999999999999999E-2</v>
      </c>
      <c r="E10" s="572">
        <f t="shared" si="0"/>
        <v>1.4999999999999999E-2</v>
      </c>
      <c r="F10" s="572">
        <f t="shared" si="0"/>
        <v>1.4999999999999999E-2</v>
      </c>
      <c r="G10" s="572">
        <f t="shared" si="0"/>
        <v>1.4999999999999999E-2</v>
      </c>
      <c r="H10" s="572">
        <f t="shared" si="0"/>
        <v>1.4999999999999999E-2</v>
      </c>
    </row>
    <row r="11" spans="1:16" x14ac:dyDescent="0.25">
      <c r="B11" t="s">
        <v>936</v>
      </c>
      <c r="C11">
        <f>C7+C10</f>
        <v>1.6479999999999998E-2</v>
      </c>
      <c r="D11" s="572">
        <f t="shared" ref="D11:H11" si="1">D7+D10</f>
        <v>2.5999999999999999E-2</v>
      </c>
      <c r="E11" s="572">
        <f t="shared" si="1"/>
        <v>1.5997000000000001E-2</v>
      </c>
      <c r="F11" s="572">
        <f t="shared" si="1"/>
        <v>1.7950000000000001E-2</v>
      </c>
      <c r="G11" s="572">
        <f t="shared" si="1"/>
        <v>1.6059999999999998E-2</v>
      </c>
      <c r="H11" s="572">
        <f t="shared" si="1"/>
        <v>1.89E-2</v>
      </c>
    </row>
    <row r="12" spans="1:16" x14ac:dyDescent="0.25">
      <c r="B12" s="951" t="s">
        <v>890</v>
      </c>
    </row>
    <row r="13" spans="1:16" x14ac:dyDescent="0.25">
      <c r="B13" t="s">
        <v>889</v>
      </c>
      <c r="C13" s="850">
        <f t="shared" ref="C13:H13" si="2">C11*453.593/C4*(20.9-C5)/20.9</f>
        <v>5.7676009015843427E-4</v>
      </c>
      <c r="D13" s="850">
        <f t="shared" si="2"/>
        <v>9.4516040455809808E-4</v>
      </c>
      <c r="E13" s="850">
        <f t="shared" si="2"/>
        <v>5.7791613919602096E-4</v>
      </c>
      <c r="F13" s="850">
        <f t="shared" si="2"/>
        <v>6.4441831166484477E-4</v>
      </c>
      <c r="G13" s="850">
        <f t="shared" si="2"/>
        <v>5.7293970935453492E-4</v>
      </c>
      <c r="H13" s="850">
        <f t="shared" si="2"/>
        <v>6.9986124939519381E-4</v>
      </c>
    </row>
    <row r="14" spans="1:16" s="851" customFormat="1" ht="57" customHeight="1" x14ac:dyDescent="0.25">
      <c r="B14" s="851" t="s">
        <v>937</v>
      </c>
      <c r="C14" s="852">
        <f>C13*15.43</f>
        <v>8.8994081911446411E-3</v>
      </c>
      <c r="D14" s="955">
        <f t="shared" ref="D14:H14" si="3">D13*15.43</f>
        <v>1.4583825042331452E-2</v>
      </c>
      <c r="E14" s="852">
        <f t="shared" si="3"/>
        <v>8.9172460277946036E-3</v>
      </c>
      <c r="F14" s="852">
        <f t="shared" si="3"/>
        <v>9.9433745489885539E-3</v>
      </c>
      <c r="G14" s="852">
        <f t="shared" si="3"/>
        <v>8.8404597153404745E-3</v>
      </c>
      <c r="H14" s="852">
        <f t="shared" si="3"/>
        <v>1.0798859078167841E-2</v>
      </c>
      <c r="I14" s="866" t="s">
        <v>942</v>
      </c>
      <c r="J14" s="866"/>
      <c r="K14" s="866"/>
      <c r="L14" s="866"/>
      <c r="M14" s="866"/>
    </row>
    <row r="15" spans="1:16" ht="79.5" customHeight="1" x14ac:dyDescent="0.25">
      <c r="B15" t="s">
        <v>943</v>
      </c>
      <c r="C15" s="853">
        <f t="shared" ref="C15:H15" si="4">C10+C7*1.25</f>
        <v>1.685E-2</v>
      </c>
      <c r="D15" s="853">
        <f t="shared" si="4"/>
        <v>2.8749999999999998E-2</v>
      </c>
      <c r="E15" s="853">
        <f t="shared" si="4"/>
        <v>1.624625E-2</v>
      </c>
      <c r="F15" s="853">
        <f t="shared" si="4"/>
        <v>1.8687499999999999E-2</v>
      </c>
      <c r="G15" s="853">
        <f t="shared" si="4"/>
        <v>1.6324999999999999E-2</v>
      </c>
      <c r="H15" s="853">
        <f t="shared" si="4"/>
        <v>1.9875E-2</v>
      </c>
      <c r="I15" s="952" t="s">
        <v>938</v>
      </c>
      <c r="J15" s="952"/>
      <c r="K15" s="952"/>
      <c r="L15" s="952"/>
      <c r="M15" s="952"/>
    </row>
    <row r="17" spans="2:9" x14ac:dyDescent="0.25">
      <c r="B17" t="s">
        <v>944</v>
      </c>
      <c r="C17" s="857">
        <f>C15/1000000*$C20*2000</f>
        <v>0.26960000000000006</v>
      </c>
      <c r="D17" s="956">
        <f t="shared" ref="D17:H17" si="5">D15/1000000*$C20*2000</f>
        <v>0.46</v>
      </c>
      <c r="E17" s="857">
        <f t="shared" si="5"/>
        <v>0.25994</v>
      </c>
      <c r="F17" s="857">
        <f t="shared" si="5"/>
        <v>0.29899999999999993</v>
      </c>
      <c r="G17" s="857">
        <f t="shared" si="5"/>
        <v>0.26119999999999999</v>
      </c>
      <c r="H17" s="857">
        <f t="shared" si="5"/>
        <v>0.318</v>
      </c>
      <c r="I17" t="s">
        <v>892</v>
      </c>
    </row>
    <row r="19" spans="2:9" x14ac:dyDescent="0.25">
      <c r="B19" t="s">
        <v>939</v>
      </c>
    </row>
    <row r="20" spans="2:9" x14ac:dyDescent="0.25">
      <c r="B20" t="s">
        <v>940</v>
      </c>
      <c r="C20">
        <v>8000</v>
      </c>
      <c r="D20" t="s">
        <v>941</v>
      </c>
    </row>
    <row r="23" spans="2:9" x14ac:dyDescent="0.25">
      <c r="B23" s="21"/>
    </row>
    <row r="24" spans="2:9" x14ac:dyDescent="0.25">
      <c r="B24" s="950"/>
      <c r="C24" s="856"/>
    </row>
  </sheetData>
  <mergeCells count="3">
    <mergeCell ref="A2:B2"/>
    <mergeCell ref="C1:H1"/>
    <mergeCell ref="A9:B9"/>
  </mergeCells>
  <pageMargins left="0.7" right="0.7" top="0.75" bottom="0.75" header="0.3" footer="0.3"/>
  <pageSetup scale="76" fitToHeight="2" orientation="landscape" r:id="rId1"/>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34"/>
  <sheetViews>
    <sheetView view="pageLayout" zoomScaleNormal="100" zoomScaleSheetLayoutView="100" workbookViewId="0">
      <selection activeCell="A31" sqref="A31:N31"/>
    </sheetView>
  </sheetViews>
  <sheetFormatPr defaultColWidth="9.140625" defaultRowHeight="14.25" x14ac:dyDescent="0.2"/>
  <cols>
    <col min="1" max="1" width="9.7109375" style="376" customWidth="1"/>
    <col min="2" max="2" width="44.7109375" style="376" customWidth="1"/>
    <col min="3" max="3" width="14.42578125" style="376" customWidth="1"/>
    <col min="4" max="4" width="25.7109375" style="376" customWidth="1"/>
    <col min="5" max="14" width="9.7109375" style="376" customWidth="1"/>
    <col min="15" max="16384" width="9.140625" style="376"/>
  </cols>
  <sheetData>
    <row r="1" spans="1:14" ht="15" x14ac:dyDescent="0.25">
      <c r="A1" s="1343" t="s">
        <v>948</v>
      </c>
      <c r="B1" s="1343"/>
      <c r="C1" s="1343"/>
      <c r="D1" s="1343"/>
      <c r="E1" s="1343"/>
      <c r="F1" s="1343"/>
      <c r="G1" s="1343"/>
      <c r="H1" s="1343"/>
      <c r="I1" s="1343"/>
      <c r="J1" s="1343"/>
      <c r="K1" s="1343"/>
      <c r="L1" s="1343"/>
      <c r="M1" s="1343"/>
    </row>
    <row r="2" spans="1:14" ht="15" x14ac:dyDescent="0.25">
      <c r="A2" s="377" t="s">
        <v>416</v>
      </c>
      <c r="B2" s="378"/>
      <c r="C2" s="378"/>
      <c r="D2" s="378"/>
      <c r="E2" s="378"/>
      <c r="F2" s="378"/>
      <c r="G2" s="378"/>
      <c r="H2" s="378"/>
      <c r="I2" s="378"/>
      <c r="J2" s="378"/>
      <c r="K2" s="378"/>
      <c r="L2" s="378"/>
      <c r="M2" s="378"/>
    </row>
    <row r="3" spans="1:14" ht="15" thickBot="1" x14ac:dyDescent="0.25">
      <c r="A3" s="379"/>
      <c r="B3" s="379"/>
      <c r="C3" s="379"/>
      <c r="D3" s="379"/>
      <c r="E3" s="379"/>
      <c r="F3" s="379"/>
      <c r="G3" s="379"/>
      <c r="H3" s="379"/>
      <c r="I3" s="379"/>
      <c r="J3" s="379"/>
      <c r="K3" s="379"/>
      <c r="L3" s="379"/>
      <c r="M3" s="379"/>
    </row>
    <row r="4" spans="1:14" ht="18" customHeight="1" x14ac:dyDescent="0.2">
      <c r="A4" s="1344" t="s">
        <v>417</v>
      </c>
      <c r="B4" s="1345"/>
      <c r="C4" s="1346"/>
      <c r="D4" s="1347" t="s">
        <v>518</v>
      </c>
      <c r="E4" s="1347" t="s">
        <v>562</v>
      </c>
      <c r="F4" s="1347"/>
      <c r="G4" s="1335" t="s">
        <v>520</v>
      </c>
      <c r="H4" s="1349"/>
      <c r="I4" s="1335" t="s">
        <v>521</v>
      </c>
      <c r="J4" s="1349"/>
      <c r="K4" s="1335" t="s">
        <v>522</v>
      </c>
      <c r="L4" s="1336"/>
      <c r="M4" s="1335" t="s">
        <v>750</v>
      </c>
      <c r="N4" s="1336"/>
    </row>
    <row r="5" spans="1:14" ht="30.75" thickBot="1" x14ac:dyDescent="0.25">
      <c r="A5" s="380" t="s">
        <v>523</v>
      </c>
      <c r="B5" s="381" t="s">
        <v>25</v>
      </c>
      <c r="C5" s="381" t="s">
        <v>524</v>
      </c>
      <c r="D5" s="1348"/>
      <c r="E5" s="1348"/>
      <c r="F5" s="1348"/>
      <c r="G5" s="1337"/>
      <c r="H5" s="1350"/>
      <c r="I5" s="1337"/>
      <c r="J5" s="1350"/>
      <c r="K5" s="1337"/>
      <c r="L5" s="1338"/>
      <c r="M5" s="1337"/>
      <c r="N5" s="1338"/>
    </row>
    <row r="6" spans="1:14" ht="15.75" thickTop="1" x14ac:dyDescent="0.2">
      <c r="A6" s="382"/>
      <c r="B6" s="383"/>
      <c r="C6" s="383"/>
      <c r="D6" s="383"/>
      <c r="E6" s="383"/>
      <c r="F6" s="383"/>
      <c r="G6" s="383"/>
      <c r="H6" s="383"/>
      <c r="I6" s="383"/>
      <c r="J6" s="383"/>
      <c r="K6" s="383"/>
      <c r="L6" s="383"/>
      <c r="M6" s="383"/>
      <c r="N6" s="384"/>
    </row>
    <row r="7" spans="1:14" x14ac:dyDescent="0.2">
      <c r="A7" s="385" t="s">
        <v>53</v>
      </c>
      <c r="B7" s="252" t="s">
        <v>433</v>
      </c>
      <c r="C7" s="252">
        <v>2001</v>
      </c>
      <c r="D7" s="386" t="s">
        <v>964</v>
      </c>
      <c r="E7" s="387">
        <v>2.5000000000000001E-3</v>
      </c>
      <c r="F7" s="388" t="s">
        <v>525</v>
      </c>
      <c r="G7" s="389">
        <v>13150</v>
      </c>
      <c r="H7" s="390" t="s">
        <v>117</v>
      </c>
      <c r="I7" s="391">
        <v>2195</v>
      </c>
      <c r="J7" s="392" t="s">
        <v>426</v>
      </c>
      <c r="K7" s="393">
        <f>G7*I$25/I$26*E7/7000/2000*60*I7</f>
        <v>0.29960734017517815</v>
      </c>
      <c r="L7" s="394" t="s">
        <v>497</v>
      </c>
      <c r="M7" s="393">
        <f>K7*0.15</f>
        <v>4.4941101026276721E-2</v>
      </c>
      <c r="N7" s="394" t="s">
        <v>497</v>
      </c>
    </row>
    <row r="8" spans="1:14" ht="16.5" x14ac:dyDescent="0.2">
      <c r="A8" s="385" t="s">
        <v>54</v>
      </c>
      <c r="B8" s="252" t="s">
        <v>436</v>
      </c>
      <c r="C8" s="252">
        <v>2005</v>
      </c>
      <c r="D8" s="386" t="s">
        <v>526</v>
      </c>
      <c r="E8" s="395">
        <f>0.02</f>
        <v>0.02</v>
      </c>
      <c r="F8" s="396" t="s">
        <v>525</v>
      </c>
      <c r="G8" s="391">
        <v>884</v>
      </c>
      <c r="H8" s="397" t="s">
        <v>117</v>
      </c>
      <c r="I8" s="391">
        <v>100</v>
      </c>
      <c r="J8" s="392" t="s">
        <v>426</v>
      </c>
      <c r="K8" s="393">
        <f>G8*I$25/I$26*E8/7000/2000*60*I8</f>
        <v>7.3406484135872564E-3</v>
      </c>
      <c r="L8" s="394" t="s">
        <v>497</v>
      </c>
      <c r="M8" s="393">
        <f>K8*0.15</f>
        <v>1.1010972620380884E-3</v>
      </c>
      <c r="N8" s="394" t="s">
        <v>497</v>
      </c>
    </row>
    <row r="9" spans="1:14" x14ac:dyDescent="0.2">
      <c r="A9" s="385" t="s">
        <v>55</v>
      </c>
      <c r="B9" s="252" t="s">
        <v>438</v>
      </c>
      <c r="C9" s="252">
        <v>2004</v>
      </c>
      <c r="D9" s="677" t="s">
        <v>540</v>
      </c>
      <c r="E9" s="395">
        <f>0.02</f>
        <v>0.02</v>
      </c>
      <c r="F9" s="396" t="s">
        <v>525</v>
      </c>
      <c r="G9" s="674">
        <v>9250</v>
      </c>
      <c r="H9" s="397" t="s">
        <v>117</v>
      </c>
      <c r="I9" s="674">
        <v>45</v>
      </c>
      <c r="J9" s="675" t="s">
        <v>426</v>
      </c>
      <c r="K9" s="393">
        <f>G9*I$25/I$26*E9/7000/2000*60*I9</f>
        <v>3.4564987580946782E-2</v>
      </c>
      <c r="L9" s="676" t="s">
        <v>497</v>
      </c>
      <c r="M9" s="393">
        <f>K9*0.15</f>
        <v>5.1847481371420168E-3</v>
      </c>
      <c r="N9" s="676" t="s">
        <v>497</v>
      </c>
    </row>
    <row r="10" spans="1:14" ht="15.75" thickBot="1" x14ac:dyDescent="0.3">
      <c r="A10" s="1340" t="s">
        <v>753</v>
      </c>
      <c r="B10" s="1341"/>
      <c r="C10" s="1341"/>
      <c r="D10" s="1341"/>
      <c r="E10" s="1341"/>
      <c r="F10" s="1341"/>
      <c r="G10" s="1341"/>
      <c r="H10" s="1341"/>
      <c r="I10" s="1341"/>
      <c r="J10" s="1342"/>
      <c r="K10" s="398">
        <f>SUM(K7:K9)</f>
        <v>0.34151297616971221</v>
      </c>
      <c r="L10" s="399" t="s">
        <v>497</v>
      </c>
      <c r="M10" s="398">
        <f>SUM(M7:M9)</f>
        <v>5.1226946425456825E-2</v>
      </c>
      <c r="N10" s="399" t="s">
        <v>497</v>
      </c>
    </row>
    <row r="11" spans="1:14" x14ac:dyDescent="0.2">
      <c r="A11" s="400"/>
      <c r="B11" s="400"/>
      <c r="C11" s="400"/>
      <c r="D11" s="400"/>
      <c r="E11" s="400"/>
      <c r="F11" s="400"/>
      <c r="G11" s="400"/>
      <c r="H11" s="400"/>
      <c r="I11" s="400"/>
      <c r="J11" s="400"/>
      <c r="K11" s="400"/>
      <c r="L11" s="400"/>
      <c r="M11" s="400"/>
    </row>
    <row r="12" spans="1:14" x14ac:dyDescent="0.2">
      <c r="A12" s="379" t="s">
        <v>239</v>
      </c>
      <c r="B12" s="400"/>
      <c r="C12" s="400"/>
      <c r="D12" s="400"/>
      <c r="E12" s="400"/>
      <c r="F12" s="400"/>
      <c r="G12" s="400"/>
      <c r="H12" s="400"/>
      <c r="I12" s="400"/>
      <c r="J12" s="400"/>
      <c r="K12" s="400"/>
      <c r="L12" s="400"/>
      <c r="M12" s="400"/>
    </row>
    <row r="13" spans="1:14" x14ac:dyDescent="0.2">
      <c r="A13" s="379"/>
      <c r="B13" s="400"/>
      <c r="C13" s="400"/>
      <c r="D13" s="400"/>
      <c r="E13" s="400"/>
      <c r="F13" s="400"/>
      <c r="G13" s="400"/>
      <c r="H13" s="400"/>
      <c r="I13" s="400"/>
      <c r="J13" s="400"/>
      <c r="K13" s="400"/>
      <c r="L13" s="400"/>
      <c r="M13" s="400"/>
    </row>
    <row r="14" spans="1:14" ht="16.5" x14ac:dyDescent="0.2">
      <c r="A14" s="417" t="s">
        <v>965</v>
      </c>
      <c r="B14" s="401"/>
      <c r="C14" s="401"/>
      <c r="D14" s="401"/>
      <c r="E14" s="401"/>
      <c r="F14" s="401"/>
      <c r="G14" s="401"/>
      <c r="H14" s="401"/>
      <c r="I14" s="401"/>
      <c r="J14" s="401"/>
      <c r="K14" s="401"/>
      <c r="M14" s="400"/>
    </row>
    <row r="15" spans="1:14" x14ac:dyDescent="0.2">
      <c r="A15" s="417"/>
      <c r="B15" s="401" t="s">
        <v>966</v>
      </c>
      <c r="C15" s="401"/>
      <c r="D15" s="421">
        <v>336000</v>
      </c>
      <c r="E15" s="401" t="s">
        <v>497</v>
      </c>
      <c r="F15" s="401"/>
      <c r="G15" s="401"/>
      <c r="H15" s="401"/>
      <c r="I15" s="401"/>
      <c r="J15" s="401"/>
      <c r="K15" s="401"/>
      <c r="M15" s="400"/>
    </row>
    <row r="16" spans="1:14" x14ac:dyDescent="0.2">
      <c r="A16" s="417"/>
      <c r="B16" s="401" t="s">
        <v>967</v>
      </c>
      <c r="C16" s="401"/>
      <c r="D16" s="421">
        <v>150</v>
      </c>
      <c r="E16" s="401" t="s">
        <v>968</v>
      </c>
      <c r="F16" s="401"/>
      <c r="G16" s="401"/>
      <c r="H16" s="401"/>
      <c r="I16" s="401"/>
      <c r="J16" s="401"/>
      <c r="K16" s="401"/>
      <c r="M16" s="400"/>
    </row>
    <row r="17" spans="1:14" x14ac:dyDescent="0.2">
      <c r="A17" s="417"/>
      <c r="B17" s="401" t="s">
        <v>969</v>
      </c>
      <c r="C17" s="401"/>
      <c r="D17" s="421">
        <f>D15/D16</f>
        <v>2240</v>
      </c>
      <c r="E17" s="401" t="s">
        <v>533</v>
      </c>
      <c r="F17" s="401"/>
      <c r="G17" s="401"/>
      <c r="H17" s="401"/>
      <c r="I17" s="401"/>
      <c r="J17" s="401"/>
      <c r="K17" s="401"/>
      <c r="M17" s="400"/>
    </row>
    <row r="18" spans="1:14" x14ac:dyDescent="0.2">
      <c r="A18" s="417"/>
      <c r="B18" s="401" t="s">
        <v>527</v>
      </c>
      <c r="C18" s="401"/>
      <c r="D18" s="418">
        <f>D17/365</f>
        <v>6.1369863013698627</v>
      </c>
      <c r="E18" s="401" t="s">
        <v>528</v>
      </c>
      <c r="F18" s="401"/>
      <c r="G18" s="401"/>
      <c r="H18" s="401"/>
      <c r="I18" s="401"/>
      <c r="J18" s="401"/>
      <c r="K18" s="401"/>
      <c r="M18" s="400"/>
    </row>
    <row r="19" spans="1:14" x14ac:dyDescent="0.2">
      <c r="A19" s="417"/>
      <c r="B19" s="401" t="s">
        <v>529</v>
      </c>
      <c r="C19" s="401"/>
      <c r="D19" s="401">
        <v>98</v>
      </c>
      <c r="E19" s="401" t="s">
        <v>530</v>
      </c>
      <c r="F19" s="401"/>
      <c r="G19" s="401"/>
      <c r="H19" s="401"/>
      <c r="I19" s="401"/>
      <c r="J19" s="401"/>
      <c r="K19" s="401"/>
      <c r="M19" s="400"/>
    </row>
    <row r="20" spans="1:14" x14ac:dyDescent="0.2">
      <c r="A20" s="417"/>
      <c r="B20" s="401" t="s">
        <v>531</v>
      </c>
      <c r="C20" s="401"/>
      <c r="D20" s="401">
        <f>100-D19</f>
        <v>2</v>
      </c>
      <c r="E20" s="401" t="s">
        <v>532</v>
      </c>
      <c r="F20" s="401"/>
      <c r="G20" s="401"/>
      <c r="H20" s="401"/>
      <c r="I20" s="401"/>
      <c r="J20" s="401"/>
      <c r="K20" s="401"/>
      <c r="M20" s="400"/>
    </row>
    <row r="21" spans="1:14" x14ac:dyDescent="0.2">
      <c r="A21" s="417"/>
      <c r="B21" s="401" t="s">
        <v>970</v>
      </c>
      <c r="C21" s="401"/>
      <c r="D21" s="401">
        <v>100</v>
      </c>
      <c r="E21" s="1351" t="s">
        <v>971</v>
      </c>
      <c r="F21" s="1351"/>
      <c r="G21" s="1351"/>
      <c r="H21" s="1351"/>
      <c r="I21" s="1351"/>
      <c r="J21" s="1351"/>
      <c r="K21" s="1351"/>
      <c r="L21" s="1351"/>
      <c r="M21" s="400"/>
    </row>
    <row r="22" spans="1:14" x14ac:dyDescent="0.2">
      <c r="A22" s="417"/>
      <c r="B22" s="401"/>
      <c r="C22" s="401"/>
      <c r="D22" s="401"/>
      <c r="E22" s="1351"/>
      <c r="F22" s="1351"/>
      <c r="G22" s="1351"/>
      <c r="H22" s="1351"/>
      <c r="I22" s="1351"/>
      <c r="J22" s="1351"/>
      <c r="K22" s="1351"/>
      <c r="L22" s="1351"/>
      <c r="M22" s="400"/>
    </row>
    <row r="23" spans="1:14" ht="16.5" x14ac:dyDescent="0.2">
      <c r="A23" s="417" t="s">
        <v>534</v>
      </c>
      <c r="B23" s="401"/>
      <c r="C23" s="401"/>
      <c r="D23" s="401"/>
      <c r="E23" s="401"/>
      <c r="F23" s="401"/>
      <c r="G23" s="401"/>
      <c r="H23" s="401"/>
      <c r="I23" s="401"/>
      <c r="J23" s="401"/>
      <c r="K23" s="401"/>
      <c r="M23" s="400"/>
    </row>
    <row r="24" spans="1:14" ht="18.75" x14ac:dyDescent="0.35">
      <c r="A24" s="417"/>
      <c r="B24" s="401" t="s">
        <v>535</v>
      </c>
      <c r="C24" s="401"/>
      <c r="D24" s="401"/>
      <c r="E24" s="401"/>
      <c r="F24" s="401"/>
      <c r="G24" s="401"/>
      <c r="H24" s="401"/>
      <c r="I24" s="401"/>
      <c r="J24" s="401"/>
      <c r="K24" s="401"/>
      <c r="M24" s="400"/>
    </row>
    <row r="25" spans="1:14" x14ac:dyDescent="0.2">
      <c r="A25" s="417"/>
      <c r="B25" s="401" t="s">
        <v>536</v>
      </c>
      <c r="C25" s="401"/>
      <c r="D25" s="401">
        <v>68</v>
      </c>
      <c r="E25" s="401" t="s">
        <v>546</v>
      </c>
      <c r="F25" s="401"/>
      <c r="G25" s="401"/>
      <c r="H25" s="401"/>
      <c r="I25" s="401">
        <f>(D25-32)*5/9+273.15</f>
        <v>293.14999999999998</v>
      </c>
      <c r="J25" s="401" t="s">
        <v>537</v>
      </c>
      <c r="K25" s="401"/>
      <c r="M25" s="400"/>
    </row>
    <row r="26" spans="1:14" x14ac:dyDescent="0.2">
      <c r="A26" s="417"/>
      <c r="B26" s="401" t="s">
        <v>538</v>
      </c>
      <c r="C26" s="401"/>
      <c r="D26" s="401">
        <v>85</v>
      </c>
      <c r="E26" s="401" t="s">
        <v>546</v>
      </c>
      <c r="F26" s="401"/>
      <c r="G26" s="401"/>
      <c r="H26" s="401"/>
      <c r="I26" s="418">
        <f>(D26-32)*5/9+273.15</f>
        <v>302.59444444444443</v>
      </c>
      <c r="J26" s="401" t="s">
        <v>537</v>
      </c>
      <c r="K26" s="401"/>
      <c r="M26" s="400"/>
    </row>
    <row r="27" spans="1:14" x14ac:dyDescent="0.2">
      <c r="A27" s="401"/>
      <c r="B27" s="401"/>
      <c r="C27" s="401"/>
      <c r="D27" s="401"/>
      <c r="E27" s="401"/>
      <c r="F27" s="401"/>
      <c r="G27" s="401"/>
      <c r="H27" s="401"/>
      <c r="I27" s="401"/>
      <c r="J27" s="401"/>
      <c r="M27" s="400"/>
    </row>
    <row r="28" spans="1:14" x14ac:dyDescent="0.2">
      <c r="A28" s="400"/>
      <c r="B28" s="400"/>
      <c r="C28" s="400"/>
      <c r="D28" s="400"/>
      <c r="E28" s="400"/>
      <c r="F28" s="400"/>
      <c r="G28" s="400"/>
      <c r="H28" s="400"/>
      <c r="I28" s="400"/>
      <c r="J28" s="400"/>
      <c r="K28" s="400"/>
      <c r="L28" s="400"/>
    </row>
    <row r="29" spans="1:14" ht="16.5" x14ac:dyDescent="0.2">
      <c r="A29" s="376" t="s">
        <v>752</v>
      </c>
    </row>
    <row r="31" spans="1:14" ht="35.25" customHeight="1" x14ac:dyDescent="0.25">
      <c r="A31" s="1339" t="s">
        <v>751</v>
      </c>
      <c r="B31" s="1339"/>
      <c r="C31" s="1339"/>
      <c r="D31" s="1339"/>
      <c r="E31" s="1339"/>
      <c r="F31" s="1339"/>
      <c r="G31" s="1339"/>
      <c r="H31" s="1339"/>
      <c r="I31" s="1339"/>
      <c r="J31" s="1339"/>
      <c r="K31" s="1339"/>
      <c r="L31" s="1339"/>
      <c r="M31" s="1339"/>
      <c r="N31" s="1339"/>
    </row>
    <row r="34" spans="1:1" x14ac:dyDescent="0.2">
      <c r="A34" s="376" t="s">
        <v>996</v>
      </c>
    </row>
  </sheetData>
  <mergeCells count="11">
    <mergeCell ref="K4:L5"/>
    <mergeCell ref="A31:N31"/>
    <mergeCell ref="A10:J10"/>
    <mergeCell ref="A1:M1"/>
    <mergeCell ref="A4:C4"/>
    <mergeCell ref="D4:D5"/>
    <mergeCell ref="E4:F5"/>
    <mergeCell ref="G4:H5"/>
    <mergeCell ref="I4:J5"/>
    <mergeCell ref="M4:N5"/>
    <mergeCell ref="E21:L22"/>
  </mergeCells>
  <pageMargins left="0.7" right="0.7" top="0.75" bottom="0.92" header="0.3" footer="0.63"/>
  <pageSetup scale="63" orientation="landscape" useFirstPageNumber="1"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N41"/>
  <sheetViews>
    <sheetView view="pageLayout" topLeftCell="C4" zoomScaleNormal="100" zoomScaleSheetLayoutView="100" workbookViewId="0">
      <selection activeCell="D11" sqref="D11"/>
    </sheetView>
  </sheetViews>
  <sheetFormatPr defaultColWidth="9.140625" defaultRowHeight="14.25" x14ac:dyDescent="0.2"/>
  <cols>
    <col min="1" max="1" width="9.7109375" style="376" customWidth="1"/>
    <col min="2" max="2" width="44.7109375" style="376" customWidth="1"/>
    <col min="3" max="3" width="12.140625" style="376" customWidth="1"/>
    <col min="4" max="4" width="28" style="376" customWidth="1"/>
    <col min="5" max="7" width="9.7109375" style="376" customWidth="1"/>
    <col min="8" max="8" width="10.42578125" style="376" customWidth="1"/>
    <col min="9" max="14" width="9.7109375" style="376" customWidth="1"/>
    <col min="15" max="16384" width="9.140625" style="376"/>
  </cols>
  <sheetData>
    <row r="1" spans="1:14" ht="15" x14ac:dyDescent="0.25">
      <c r="A1" s="1343" t="s">
        <v>949</v>
      </c>
      <c r="B1" s="1343"/>
      <c r="C1" s="1343"/>
      <c r="D1" s="1343"/>
      <c r="E1" s="1343"/>
      <c r="F1" s="1343"/>
      <c r="G1" s="1343"/>
      <c r="H1" s="1343"/>
      <c r="I1" s="1343"/>
      <c r="J1" s="1343"/>
      <c r="K1" s="1343"/>
      <c r="L1" s="1343"/>
      <c r="M1" s="1343"/>
    </row>
    <row r="2" spans="1:14" ht="15" x14ac:dyDescent="0.25">
      <c r="A2" s="1343" t="s">
        <v>416</v>
      </c>
      <c r="B2" s="1343"/>
      <c r="C2" s="1343"/>
      <c r="D2" s="1343"/>
      <c r="E2" s="1343"/>
      <c r="F2" s="1343"/>
      <c r="G2" s="1343"/>
      <c r="H2" s="1343"/>
      <c r="I2" s="1343"/>
      <c r="J2" s="1343"/>
      <c r="K2" s="1343"/>
      <c r="L2" s="1343"/>
      <c r="M2" s="1343"/>
    </row>
    <row r="3" spans="1:14" ht="15.75" thickBot="1" x14ac:dyDescent="0.3">
      <c r="A3" s="402"/>
      <c r="B3" s="402"/>
      <c r="C3" s="402"/>
      <c r="D3" s="402"/>
      <c r="E3" s="402"/>
      <c r="F3" s="402"/>
      <c r="G3" s="402"/>
      <c r="H3" s="402"/>
      <c r="I3" s="402"/>
      <c r="J3" s="402"/>
      <c r="K3" s="569"/>
      <c r="L3" s="569"/>
      <c r="M3" s="402"/>
    </row>
    <row r="4" spans="1:14" ht="15" x14ac:dyDescent="0.2">
      <c r="A4" s="1358" t="s">
        <v>417</v>
      </c>
      <c r="B4" s="1359"/>
      <c r="C4" s="1360"/>
      <c r="D4" s="1361" t="s">
        <v>518</v>
      </c>
      <c r="E4" s="1361" t="s">
        <v>519</v>
      </c>
      <c r="F4" s="1361"/>
      <c r="G4" s="1363" t="s">
        <v>520</v>
      </c>
      <c r="H4" s="1364"/>
      <c r="I4" s="1363" t="s">
        <v>539</v>
      </c>
      <c r="J4" s="1364"/>
      <c r="K4" s="1363" t="s">
        <v>522</v>
      </c>
      <c r="L4" s="1367"/>
      <c r="M4" s="1363" t="s">
        <v>750</v>
      </c>
      <c r="N4" s="1367"/>
    </row>
    <row r="5" spans="1:14" ht="30.75" customHeight="1" thickBot="1" x14ac:dyDescent="0.25">
      <c r="A5" s="403" t="s">
        <v>523</v>
      </c>
      <c r="B5" s="404" t="s">
        <v>25</v>
      </c>
      <c r="C5" s="404" t="s">
        <v>524</v>
      </c>
      <c r="D5" s="1362"/>
      <c r="E5" s="1362"/>
      <c r="F5" s="1362"/>
      <c r="G5" s="1365"/>
      <c r="H5" s="1366"/>
      <c r="I5" s="1365"/>
      <c r="J5" s="1366"/>
      <c r="K5" s="1365"/>
      <c r="L5" s="1368"/>
      <c r="M5" s="1365"/>
      <c r="N5" s="1368"/>
    </row>
    <row r="6" spans="1:14" ht="15.75" thickTop="1" x14ac:dyDescent="0.25">
      <c r="A6" s="739" t="s">
        <v>835</v>
      </c>
      <c r="B6" s="405"/>
      <c r="C6" s="405"/>
      <c r="D6" s="405"/>
      <c r="E6" s="405"/>
      <c r="F6" s="405"/>
      <c r="G6" s="405"/>
      <c r="H6" s="405"/>
      <c r="I6" s="405"/>
      <c r="J6" s="405"/>
      <c r="K6" s="405"/>
      <c r="L6" s="405"/>
      <c r="M6" s="405"/>
      <c r="N6" s="406"/>
    </row>
    <row r="7" spans="1:14" ht="16.5" x14ac:dyDescent="0.2">
      <c r="A7" s="407" t="s">
        <v>56</v>
      </c>
      <c r="B7" s="408" t="s">
        <v>467</v>
      </c>
      <c r="C7" s="408">
        <v>1993</v>
      </c>
      <c r="D7" s="386" t="s">
        <v>540</v>
      </c>
      <c r="E7" s="409">
        <v>0.02</v>
      </c>
      <c r="F7" s="410" t="s">
        <v>525</v>
      </c>
      <c r="G7" s="411">
        <v>3620</v>
      </c>
      <c r="H7" s="412" t="s">
        <v>117</v>
      </c>
      <c r="I7" s="411">
        <v>4380</v>
      </c>
      <c r="J7" s="413" t="s">
        <v>973</v>
      </c>
      <c r="K7" s="414">
        <f>G7*$I$17/$I$18*E7/7000/2000*60*I7</f>
        <v>1.1762603823614182</v>
      </c>
      <c r="L7" s="394" t="s">
        <v>541</v>
      </c>
      <c r="M7" s="414">
        <f>K7*0.15</f>
        <v>0.17643905735421272</v>
      </c>
      <c r="N7" s="394" t="s">
        <v>497</v>
      </c>
    </row>
    <row r="8" spans="1:14" ht="16.5" x14ac:dyDescent="0.2">
      <c r="A8" s="407" t="s">
        <v>57</v>
      </c>
      <c r="B8" s="408" t="s">
        <v>469</v>
      </c>
      <c r="C8" s="408">
        <v>1994</v>
      </c>
      <c r="D8" s="386" t="s">
        <v>540</v>
      </c>
      <c r="E8" s="409">
        <v>0.02</v>
      </c>
      <c r="F8" s="415" t="s">
        <v>525</v>
      </c>
      <c r="G8" s="411">
        <v>3620</v>
      </c>
      <c r="H8" s="412" t="s">
        <v>117</v>
      </c>
      <c r="I8" s="411">
        <v>4380</v>
      </c>
      <c r="J8" s="413" t="s">
        <v>973</v>
      </c>
      <c r="K8" s="414">
        <f>G8*$I$17/$I$18*E8/7000/2000*60*I8</f>
        <v>1.1762603823614182</v>
      </c>
      <c r="L8" s="394" t="s">
        <v>541</v>
      </c>
      <c r="M8" s="414">
        <f>K8*0.15</f>
        <v>0.17643905735421272</v>
      </c>
      <c r="N8" s="394" t="s">
        <v>497</v>
      </c>
    </row>
    <row r="9" spans="1:14" ht="15" x14ac:dyDescent="0.25">
      <c r="A9" s="740" t="s">
        <v>836</v>
      </c>
      <c r="B9" s="408"/>
      <c r="C9" s="408"/>
      <c r="D9" s="386"/>
      <c r="E9" s="409"/>
      <c r="F9" s="415"/>
      <c r="G9" s="411"/>
      <c r="H9" s="412"/>
      <c r="I9" s="411"/>
      <c r="J9" s="413"/>
      <c r="K9" s="414"/>
      <c r="L9" s="394"/>
      <c r="M9" s="414"/>
      <c r="N9" s="394"/>
    </row>
    <row r="10" spans="1:14" ht="16.5" x14ac:dyDescent="0.2">
      <c r="A10" s="407" t="s">
        <v>49</v>
      </c>
      <c r="B10" s="408" t="s">
        <v>472</v>
      </c>
      <c r="C10" s="408">
        <v>1993</v>
      </c>
      <c r="D10" s="386" t="s">
        <v>526</v>
      </c>
      <c r="E10" s="409">
        <f>0.02</f>
        <v>0.02</v>
      </c>
      <c r="F10" s="415" t="s">
        <v>542</v>
      </c>
      <c r="G10" s="411">
        <v>1460</v>
      </c>
      <c r="H10" s="412" t="s">
        <v>117</v>
      </c>
      <c r="I10" s="411">
        <v>4380</v>
      </c>
      <c r="J10" s="413" t="s">
        <v>976</v>
      </c>
      <c r="K10" s="414">
        <f>G10*$I$17/$I$18*E10/7000/2000*60*I10</f>
        <v>0.47440335863195315</v>
      </c>
      <c r="L10" s="394" t="s">
        <v>541</v>
      </c>
      <c r="M10" s="414">
        <f>K10*0.15</f>
        <v>7.1160503794792968E-2</v>
      </c>
      <c r="N10" s="394" t="s">
        <v>497</v>
      </c>
    </row>
    <row r="11" spans="1:14" ht="57" x14ac:dyDescent="0.2">
      <c r="A11" s="407" t="s">
        <v>49</v>
      </c>
      <c r="B11" s="408" t="s">
        <v>474</v>
      </c>
      <c r="C11" s="408" t="s">
        <v>742</v>
      </c>
      <c r="D11" s="1421" t="s">
        <v>755</v>
      </c>
      <c r="E11" s="682">
        <f>0.0001*3</f>
        <v>3.0000000000000003E-4</v>
      </c>
      <c r="F11" s="679" t="s">
        <v>496</v>
      </c>
      <c r="G11" s="1352"/>
      <c r="H11" s="1353"/>
      <c r="I11" s="680">
        <f>G33</f>
        <v>28560.000000000004</v>
      </c>
      <c r="J11" s="681" t="s">
        <v>497</v>
      </c>
      <c r="K11" s="678">
        <f>E11*I11/2000</f>
        <v>4.2840000000000005E-3</v>
      </c>
      <c r="L11" s="676" t="s">
        <v>544</v>
      </c>
      <c r="M11" s="678">
        <f>K11*0.15</f>
        <v>6.4260000000000001E-4</v>
      </c>
      <c r="N11" s="676" t="s">
        <v>497</v>
      </c>
    </row>
    <row r="12" spans="1:14" ht="15.75" thickBot="1" x14ac:dyDescent="0.3">
      <c r="A12" s="1354" t="s">
        <v>753</v>
      </c>
      <c r="B12" s="1355"/>
      <c r="C12" s="1355"/>
      <c r="D12" s="1355"/>
      <c r="E12" s="1355"/>
      <c r="F12" s="1355"/>
      <c r="G12" s="1355"/>
      <c r="H12" s="1355"/>
      <c r="I12" s="1355"/>
      <c r="J12" s="1356"/>
      <c r="K12" s="416">
        <f>SUM(K7:K11)</f>
        <v>2.8312081233547897</v>
      </c>
      <c r="L12" s="399" t="s">
        <v>497</v>
      </c>
      <c r="M12" s="416">
        <f>SUM(M7:M11)</f>
        <v>0.42468121850321844</v>
      </c>
      <c r="N12" s="399" t="s">
        <v>497</v>
      </c>
    </row>
    <row r="13" spans="1:14" x14ac:dyDescent="0.2">
      <c r="A13" s="417"/>
      <c r="B13" s="417"/>
      <c r="C13" s="417"/>
      <c r="D13" s="417"/>
      <c r="E13" s="417"/>
      <c r="F13" s="417"/>
      <c r="G13" s="417"/>
      <c r="H13" s="417"/>
      <c r="I13" s="417"/>
      <c r="J13" s="417"/>
      <c r="K13" s="417"/>
      <c r="L13" s="417"/>
      <c r="M13" s="417"/>
    </row>
    <row r="14" spans="1:14" x14ac:dyDescent="0.2">
      <c r="A14" s="417" t="s">
        <v>239</v>
      </c>
      <c r="B14" s="401"/>
      <c r="C14" s="401"/>
      <c r="D14" s="401"/>
      <c r="E14" s="401"/>
      <c r="F14" s="401"/>
      <c r="G14" s="401"/>
      <c r="H14" s="401"/>
      <c r="I14" s="401"/>
      <c r="J14" s="401"/>
      <c r="K14" s="401"/>
      <c r="L14" s="401"/>
      <c r="M14" s="401"/>
    </row>
    <row r="15" spans="1:14" ht="16.5" x14ac:dyDescent="0.2">
      <c r="A15" s="417" t="s">
        <v>545</v>
      </c>
      <c r="B15" s="401"/>
      <c r="C15" s="401"/>
      <c r="D15" s="401"/>
      <c r="E15" s="401"/>
      <c r="F15" s="401"/>
      <c r="G15" s="401"/>
      <c r="H15" s="401"/>
      <c r="I15" s="401"/>
      <c r="J15" s="401"/>
      <c r="K15" s="401"/>
      <c r="L15" s="401"/>
      <c r="M15" s="401"/>
    </row>
    <row r="16" spans="1:14" ht="18.75" x14ac:dyDescent="0.35">
      <c r="A16" s="417"/>
      <c r="B16" s="401" t="s">
        <v>535</v>
      </c>
      <c r="C16" s="401"/>
      <c r="D16" s="401"/>
      <c r="E16" s="401"/>
      <c r="F16" s="401"/>
      <c r="G16" s="401"/>
      <c r="H16" s="401"/>
      <c r="I16" s="401"/>
      <c r="J16" s="401"/>
      <c r="K16" s="401"/>
      <c r="L16" s="401"/>
      <c r="M16" s="401"/>
    </row>
    <row r="17" spans="1:13" x14ac:dyDescent="0.2">
      <c r="A17" s="417"/>
      <c r="B17" s="401" t="s">
        <v>536</v>
      </c>
      <c r="C17" s="401"/>
      <c r="D17" s="401"/>
      <c r="E17" s="401"/>
      <c r="F17" s="401">
        <v>68</v>
      </c>
      <c r="G17" s="401" t="s">
        <v>546</v>
      </c>
      <c r="H17" s="401"/>
      <c r="I17" s="401">
        <f>(F17-32)*5/9+273.15</f>
        <v>293.14999999999998</v>
      </c>
      <c r="J17" s="401" t="s">
        <v>537</v>
      </c>
      <c r="K17" s="401"/>
      <c r="L17" s="401"/>
      <c r="M17" s="401"/>
    </row>
    <row r="18" spans="1:13" x14ac:dyDescent="0.2">
      <c r="A18" s="417"/>
      <c r="B18" s="401" t="s">
        <v>547</v>
      </c>
      <c r="C18" s="401"/>
      <c r="D18" s="401"/>
      <c r="E18" s="401"/>
      <c r="F18" s="401">
        <v>150</v>
      </c>
      <c r="G18" s="401" t="s">
        <v>546</v>
      </c>
      <c r="H18" s="401"/>
      <c r="I18" s="418">
        <f>(F18-32)*5/9+273.15</f>
        <v>338.70555555555552</v>
      </c>
      <c r="J18" s="401" t="s">
        <v>537</v>
      </c>
      <c r="K18" s="401"/>
      <c r="L18" s="401"/>
      <c r="M18" s="401"/>
    </row>
    <row r="19" spans="1:13" x14ac:dyDescent="0.2">
      <c r="A19" s="417"/>
      <c r="B19" s="401" t="s">
        <v>548</v>
      </c>
      <c r="C19" s="401"/>
      <c r="D19" s="401"/>
      <c r="E19" s="401"/>
      <c r="F19" s="401">
        <v>150</v>
      </c>
      <c r="G19" s="401" t="s">
        <v>546</v>
      </c>
      <c r="H19" s="401"/>
      <c r="I19" s="401"/>
      <c r="J19" s="401"/>
      <c r="K19" s="401"/>
      <c r="L19" s="401"/>
    </row>
    <row r="20" spans="1:13" x14ac:dyDescent="0.2">
      <c r="A20" s="417"/>
      <c r="B20" s="401"/>
      <c r="C20" s="401"/>
      <c r="D20" s="401"/>
      <c r="E20" s="401"/>
      <c r="F20" s="401"/>
      <c r="G20" s="401"/>
      <c r="H20" s="401"/>
      <c r="I20" s="401"/>
      <c r="J20" s="401"/>
      <c r="K20" s="401"/>
      <c r="L20" s="401"/>
    </row>
    <row r="21" spans="1:13" ht="16.5" x14ac:dyDescent="0.2">
      <c r="A21" s="419" t="s">
        <v>549</v>
      </c>
      <c r="B21" s="420"/>
      <c r="C21" s="420"/>
      <c r="D21" s="419"/>
      <c r="E21" s="419"/>
      <c r="F21" s="401"/>
      <c r="G21" s="401"/>
      <c r="H21" s="401"/>
      <c r="I21" s="401"/>
      <c r="J21" s="401"/>
      <c r="K21" s="401"/>
      <c r="L21" s="401"/>
    </row>
    <row r="22" spans="1:13" ht="16.5" x14ac:dyDescent="0.2">
      <c r="A22" s="420"/>
      <c r="B22" s="419" t="s">
        <v>550</v>
      </c>
      <c r="C22" s="419"/>
      <c r="D22" s="419"/>
      <c r="E22" s="419"/>
      <c r="F22" s="401"/>
      <c r="G22" s="401"/>
      <c r="H22" s="401"/>
      <c r="I22" s="401"/>
      <c r="J22" s="401"/>
      <c r="K22" s="401"/>
      <c r="L22" s="401"/>
    </row>
    <row r="23" spans="1:13" ht="18.75" x14ac:dyDescent="0.35">
      <c r="A23" s="419"/>
      <c r="B23" s="419" t="s">
        <v>551</v>
      </c>
      <c r="C23" s="419"/>
      <c r="D23" s="419"/>
      <c r="E23" s="419"/>
      <c r="F23" s="401"/>
      <c r="G23" s="401"/>
      <c r="H23" s="401"/>
      <c r="I23" s="401"/>
      <c r="J23" s="401"/>
      <c r="K23" s="401"/>
      <c r="L23" s="401"/>
    </row>
    <row r="24" spans="1:13" x14ac:dyDescent="0.2">
      <c r="A24" s="419"/>
      <c r="B24" s="419" t="s">
        <v>552</v>
      </c>
      <c r="C24" s="419"/>
      <c r="D24" s="419"/>
      <c r="E24" s="419"/>
      <c r="F24" s="401"/>
      <c r="G24" s="401"/>
      <c r="H24" s="401"/>
      <c r="I24" s="401"/>
      <c r="J24" s="401"/>
      <c r="K24" s="401"/>
      <c r="L24" s="401"/>
    </row>
    <row r="25" spans="1:13" x14ac:dyDescent="0.2">
      <c r="A25" s="419"/>
      <c r="B25" s="419" t="s">
        <v>553</v>
      </c>
      <c r="C25" s="419"/>
      <c r="D25" s="419"/>
      <c r="E25" s="419"/>
      <c r="F25" s="401"/>
      <c r="G25" s="401"/>
      <c r="H25" s="401"/>
      <c r="I25" s="401"/>
      <c r="J25" s="401"/>
      <c r="K25" s="401"/>
      <c r="L25" s="401"/>
    </row>
    <row r="26" spans="1:13" x14ac:dyDescent="0.2">
      <c r="A26" s="419"/>
      <c r="B26" s="419"/>
      <c r="C26" s="419"/>
      <c r="D26" s="419"/>
      <c r="E26" s="419"/>
      <c r="F26" s="401"/>
      <c r="G26" s="401"/>
      <c r="H26" s="401"/>
      <c r="I26" s="401"/>
      <c r="J26" s="401"/>
      <c r="K26" s="401"/>
      <c r="L26" s="401"/>
    </row>
    <row r="27" spans="1:13" x14ac:dyDescent="0.2">
      <c r="A27" s="419" t="s">
        <v>554</v>
      </c>
      <c r="C27" s="419"/>
      <c r="D27" s="419"/>
      <c r="E27" s="419"/>
      <c r="F27" s="401"/>
      <c r="G27" s="401"/>
      <c r="H27" s="401"/>
      <c r="I27" s="421"/>
      <c r="J27" s="401"/>
      <c r="K27" s="401"/>
      <c r="L27" s="401"/>
    </row>
    <row r="28" spans="1:13" x14ac:dyDescent="0.2">
      <c r="A28" s="401"/>
      <c r="B28" s="419" t="s">
        <v>555</v>
      </c>
      <c r="C28" s="419"/>
      <c r="D28" s="419"/>
      <c r="G28" s="419">
        <v>230</v>
      </c>
      <c r="H28" s="419" t="s">
        <v>112</v>
      </c>
      <c r="I28" s="421"/>
      <c r="J28" s="401"/>
      <c r="K28" s="401"/>
      <c r="L28" s="401"/>
    </row>
    <row r="29" spans="1:13" x14ac:dyDescent="0.2">
      <c r="A29" s="401"/>
      <c r="B29" s="419" t="s">
        <v>505</v>
      </c>
      <c r="C29" s="419"/>
      <c r="D29" s="419"/>
      <c r="G29" s="341">
        <v>15.12</v>
      </c>
      <c r="H29" s="125" t="s">
        <v>506</v>
      </c>
      <c r="I29" s="342" t="s">
        <v>507</v>
      </c>
      <c r="J29" s="125"/>
      <c r="K29" s="125"/>
      <c r="L29" s="125"/>
    </row>
    <row r="30" spans="1:13" x14ac:dyDescent="0.2">
      <c r="A30" s="401"/>
      <c r="B30" s="419" t="s">
        <v>556</v>
      </c>
      <c r="C30" s="419"/>
      <c r="D30" s="419"/>
      <c r="G30" s="419">
        <v>6</v>
      </c>
      <c r="H30" s="419"/>
      <c r="I30" s="421"/>
      <c r="J30" s="401"/>
      <c r="K30" s="401"/>
      <c r="L30" s="401"/>
    </row>
    <row r="31" spans="1:13" x14ac:dyDescent="0.2">
      <c r="A31" s="401"/>
      <c r="B31" s="419" t="s">
        <v>754</v>
      </c>
      <c r="C31" s="419"/>
      <c r="D31" s="419"/>
      <c r="E31" s="419"/>
      <c r="F31" s="419"/>
      <c r="G31" s="421">
        <v>336000</v>
      </c>
      <c r="H31" s="401" t="s">
        <v>497</v>
      </c>
      <c r="I31" s="421"/>
      <c r="J31" s="401"/>
      <c r="K31" s="401"/>
      <c r="L31" s="401"/>
    </row>
    <row r="32" spans="1:13" x14ac:dyDescent="0.2">
      <c r="A32" s="419"/>
      <c r="B32" s="417" t="s">
        <v>557</v>
      </c>
      <c r="C32" s="417"/>
      <c r="D32" s="419"/>
      <c r="E32" s="419"/>
      <c r="F32" s="401"/>
      <c r="G32" s="401">
        <v>8.5</v>
      </c>
      <c r="H32" s="401" t="s">
        <v>558</v>
      </c>
    </row>
    <row r="33" spans="1:14" x14ac:dyDescent="0.2">
      <c r="A33" s="419"/>
      <c r="B33" s="417" t="s">
        <v>559</v>
      </c>
      <c r="C33" s="417"/>
      <c r="D33" s="422"/>
      <c r="E33" s="419"/>
      <c r="F33" s="401"/>
      <c r="G33" s="423">
        <f>G31*(G32/100)</f>
        <v>28560.000000000004</v>
      </c>
      <c r="H33" s="401" t="s">
        <v>497</v>
      </c>
    </row>
    <row r="34" spans="1:14" x14ac:dyDescent="0.2">
      <c r="A34" s="401"/>
      <c r="B34" s="424" t="s">
        <v>560</v>
      </c>
      <c r="C34" s="424"/>
      <c r="D34" s="401"/>
      <c r="E34" s="401"/>
      <c r="F34" s="401"/>
      <c r="G34" s="401"/>
      <c r="H34" s="401"/>
      <c r="I34" s="401"/>
      <c r="J34" s="401"/>
      <c r="K34" s="401"/>
      <c r="L34" s="401"/>
    </row>
    <row r="35" spans="1:14" x14ac:dyDescent="0.2">
      <c r="A35" s="401"/>
      <c r="B35" s="401"/>
      <c r="C35" s="401"/>
      <c r="D35" s="401"/>
      <c r="E35" s="401"/>
      <c r="F35" s="401"/>
      <c r="G35" s="401"/>
      <c r="H35" s="401"/>
      <c r="I35" s="401"/>
      <c r="J35" s="401"/>
      <c r="K35" s="401"/>
      <c r="L35" s="401"/>
    </row>
    <row r="36" spans="1:14" ht="16.5" x14ac:dyDescent="0.2">
      <c r="A36" s="376" t="s">
        <v>561</v>
      </c>
      <c r="B36" s="401"/>
      <c r="C36" s="401"/>
      <c r="D36" s="401"/>
      <c r="E36" s="401"/>
      <c r="F36" s="401"/>
      <c r="G36" s="401"/>
      <c r="H36" s="401"/>
      <c r="I36" s="401"/>
      <c r="J36" s="401"/>
      <c r="K36" s="401"/>
      <c r="L36" s="401"/>
    </row>
    <row r="37" spans="1:14" ht="28.5" customHeight="1" x14ac:dyDescent="0.2">
      <c r="A37" s="1357" t="s">
        <v>972</v>
      </c>
      <c r="B37" s="1357"/>
      <c r="C37" s="1357"/>
      <c r="D37" s="1357"/>
      <c r="E37" s="1357"/>
      <c r="F37" s="1357"/>
      <c r="G37" s="1357"/>
      <c r="H37" s="1357"/>
      <c r="I37" s="1357"/>
      <c r="J37" s="1357"/>
      <c r="K37" s="1357"/>
      <c r="L37" s="1357"/>
      <c r="M37" s="1357"/>
      <c r="N37" s="1357"/>
    </row>
    <row r="38" spans="1:14" ht="57" customHeight="1" x14ac:dyDescent="0.25">
      <c r="A38" s="1339" t="s">
        <v>751</v>
      </c>
      <c r="B38" s="1339"/>
      <c r="C38" s="1339"/>
      <c r="D38" s="1339"/>
      <c r="E38" s="1339"/>
      <c r="F38" s="1339"/>
      <c r="G38" s="1339"/>
      <c r="H38" s="1339"/>
      <c r="I38" s="1339"/>
      <c r="J38" s="1339"/>
      <c r="K38" s="1339"/>
      <c r="L38" s="1339"/>
      <c r="M38" s="1339"/>
      <c r="N38" s="1339"/>
    </row>
    <row r="39" spans="1:14" ht="16.5" x14ac:dyDescent="0.2">
      <c r="A39" s="401" t="s">
        <v>974</v>
      </c>
    </row>
    <row r="40" spans="1:14" ht="16.5" x14ac:dyDescent="0.2">
      <c r="A40" s="376" t="s">
        <v>975</v>
      </c>
    </row>
    <row r="41" spans="1:14" ht="12.75" customHeight="1" x14ac:dyDescent="0.2">
      <c r="A41" s="376" t="s">
        <v>994</v>
      </c>
    </row>
  </sheetData>
  <mergeCells count="13">
    <mergeCell ref="A38:N38"/>
    <mergeCell ref="G11:H11"/>
    <mergeCell ref="A12:J12"/>
    <mergeCell ref="A37:N37"/>
    <mergeCell ref="A1:M1"/>
    <mergeCell ref="A2:M2"/>
    <mergeCell ref="A4:C4"/>
    <mergeCell ref="D4:D5"/>
    <mergeCell ref="E4:F5"/>
    <mergeCell ref="G4:H5"/>
    <mergeCell ref="I4:J5"/>
    <mergeCell ref="M4:N5"/>
    <mergeCell ref="K4:L5"/>
  </mergeCells>
  <pageMargins left="0.7" right="0.7" top="0.75" bottom="0.92" header="0.3" footer="0.63"/>
  <pageSetup scale="63" orientation="landscape" useFirstPageNumber="1"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U112"/>
  <sheetViews>
    <sheetView view="pageLayout" topLeftCell="A4" zoomScaleNormal="100" zoomScaleSheetLayoutView="100" workbookViewId="0">
      <selection activeCell="E22" sqref="E22"/>
    </sheetView>
  </sheetViews>
  <sheetFormatPr defaultRowHeight="12.75" x14ac:dyDescent="0.2"/>
  <cols>
    <col min="1" max="1" width="8.140625" style="428" customWidth="1"/>
    <col min="2" max="6" width="12.7109375" style="428" customWidth="1"/>
    <col min="7" max="7" width="10.5703125" style="428" customWidth="1"/>
    <col min="8" max="8" width="12.7109375" style="428" customWidth="1"/>
    <col min="9" max="9" width="8.7109375" style="428" customWidth="1"/>
    <col min="10" max="10" width="12.7109375" style="428" customWidth="1"/>
    <col min="11" max="11" width="5.7109375" style="428" customWidth="1"/>
    <col min="12" max="12" width="12.7109375" style="428" customWidth="1"/>
    <col min="13" max="13" width="7.42578125" style="428" customWidth="1"/>
    <col min="14" max="14" width="12.7109375" style="428" customWidth="1"/>
    <col min="15" max="15" width="6.140625" style="428" customWidth="1"/>
    <col min="16" max="17" width="12.7109375" style="428" customWidth="1"/>
    <col min="18" max="262" width="9.140625" style="428"/>
    <col min="263" max="263" width="30.42578125" style="428" customWidth="1"/>
    <col min="264" max="264" width="9.85546875" style="428" customWidth="1"/>
    <col min="265" max="265" width="9.140625" style="428"/>
    <col min="266" max="266" width="12.140625" style="428" customWidth="1"/>
    <col min="267" max="267" width="20.140625" style="428" customWidth="1"/>
    <col min="268" max="269" width="12.140625" style="428" customWidth="1"/>
    <col min="270" max="271" width="11" style="428" customWidth="1"/>
    <col min="272" max="518" width="9.140625" style="428"/>
    <col min="519" max="519" width="30.42578125" style="428" customWidth="1"/>
    <col min="520" max="520" width="9.85546875" style="428" customWidth="1"/>
    <col min="521" max="521" width="9.140625" style="428"/>
    <col min="522" max="522" width="12.140625" style="428" customWidth="1"/>
    <col min="523" max="523" width="20.140625" style="428" customWidth="1"/>
    <col min="524" max="525" width="12.140625" style="428" customWidth="1"/>
    <col min="526" max="527" width="11" style="428" customWidth="1"/>
    <col min="528" max="774" width="9.140625" style="428"/>
    <col min="775" max="775" width="30.42578125" style="428" customWidth="1"/>
    <col min="776" max="776" width="9.85546875" style="428" customWidth="1"/>
    <col min="777" max="777" width="9.140625" style="428"/>
    <col min="778" max="778" width="12.140625" style="428" customWidth="1"/>
    <col min="779" max="779" width="20.140625" style="428" customWidth="1"/>
    <col min="780" max="781" width="12.140625" style="428" customWidth="1"/>
    <col min="782" max="783" width="11" style="428" customWidth="1"/>
    <col min="784" max="1030" width="9.140625" style="428"/>
    <col min="1031" max="1031" width="30.42578125" style="428" customWidth="1"/>
    <col min="1032" max="1032" width="9.85546875" style="428" customWidth="1"/>
    <col min="1033" max="1033" width="9.140625" style="428"/>
    <col min="1034" max="1034" width="12.140625" style="428" customWidth="1"/>
    <col min="1035" max="1035" width="20.140625" style="428" customWidth="1"/>
    <col min="1036" max="1037" width="12.140625" style="428" customWidth="1"/>
    <col min="1038" max="1039" width="11" style="428" customWidth="1"/>
    <col min="1040" max="1286" width="9.140625" style="428"/>
    <col min="1287" max="1287" width="30.42578125" style="428" customWidth="1"/>
    <col min="1288" max="1288" width="9.85546875" style="428" customWidth="1"/>
    <col min="1289" max="1289" width="9.140625" style="428"/>
    <col min="1290" max="1290" width="12.140625" style="428" customWidth="1"/>
    <col min="1291" max="1291" width="20.140625" style="428" customWidth="1"/>
    <col min="1292" max="1293" width="12.140625" style="428" customWidth="1"/>
    <col min="1294" max="1295" width="11" style="428" customWidth="1"/>
    <col min="1296" max="1542" width="9.140625" style="428"/>
    <col min="1543" max="1543" width="30.42578125" style="428" customWidth="1"/>
    <col min="1544" max="1544" width="9.85546875" style="428" customWidth="1"/>
    <col min="1545" max="1545" width="9.140625" style="428"/>
    <col min="1546" max="1546" width="12.140625" style="428" customWidth="1"/>
    <col min="1547" max="1547" width="20.140625" style="428" customWidth="1"/>
    <col min="1548" max="1549" width="12.140625" style="428" customWidth="1"/>
    <col min="1550" max="1551" width="11" style="428" customWidth="1"/>
    <col min="1552" max="1798" width="9.140625" style="428"/>
    <col min="1799" max="1799" width="30.42578125" style="428" customWidth="1"/>
    <col min="1800" max="1800" width="9.85546875" style="428" customWidth="1"/>
    <col min="1801" max="1801" width="9.140625" style="428"/>
    <col min="1802" max="1802" width="12.140625" style="428" customWidth="1"/>
    <col min="1803" max="1803" width="20.140625" style="428" customWidth="1"/>
    <col min="1804" max="1805" width="12.140625" style="428" customWidth="1"/>
    <col min="1806" max="1807" width="11" style="428" customWidth="1"/>
    <col min="1808" max="2054" width="9.140625" style="428"/>
    <col min="2055" max="2055" width="30.42578125" style="428" customWidth="1"/>
    <col min="2056" max="2056" width="9.85546875" style="428" customWidth="1"/>
    <col min="2057" max="2057" width="9.140625" style="428"/>
    <col min="2058" max="2058" width="12.140625" style="428" customWidth="1"/>
    <col min="2059" max="2059" width="20.140625" style="428" customWidth="1"/>
    <col min="2060" max="2061" width="12.140625" style="428" customWidth="1"/>
    <col min="2062" max="2063" width="11" style="428" customWidth="1"/>
    <col min="2064" max="2310" width="9.140625" style="428"/>
    <col min="2311" max="2311" width="30.42578125" style="428" customWidth="1"/>
    <col min="2312" max="2312" width="9.85546875" style="428" customWidth="1"/>
    <col min="2313" max="2313" width="9.140625" style="428"/>
    <col min="2314" max="2314" width="12.140625" style="428" customWidth="1"/>
    <col min="2315" max="2315" width="20.140625" style="428" customWidth="1"/>
    <col min="2316" max="2317" width="12.140625" style="428" customWidth="1"/>
    <col min="2318" max="2319" width="11" style="428" customWidth="1"/>
    <col min="2320" max="2566" width="9.140625" style="428"/>
    <col min="2567" max="2567" width="30.42578125" style="428" customWidth="1"/>
    <col min="2568" max="2568" width="9.85546875" style="428" customWidth="1"/>
    <col min="2569" max="2569" width="9.140625" style="428"/>
    <col min="2570" max="2570" width="12.140625" style="428" customWidth="1"/>
    <col min="2571" max="2571" width="20.140625" style="428" customWidth="1"/>
    <col min="2572" max="2573" width="12.140625" style="428" customWidth="1"/>
    <col min="2574" max="2575" width="11" style="428" customWidth="1"/>
    <col min="2576" max="2822" width="9.140625" style="428"/>
    <col min="2823" max="2823" width="30.42578125" style="428" customWidth="1"/>
    <col min="2824" max="2824" width="9.85546875" style="428" customWidth="1"/>
    <col min="2825" max="2825" width="9.140625" style="428"/>
    <col min="2826" max="2826" width="12.140625" style="428" customWidth="1"/>
    <col min="2827" max="2827" width="20.140625" style="428" customWidth="1"/>
    <col min="2828" max="2829" width="12.140625" style="428" customWidth="1"/>
    <col min="2830" max="2831" width="11" style="428" customWidth="1"/>
    <col min="2832" max="3078" width="9.140625" style="428"/>
    <col min="3079" max="3079" width="30.42578125" style="428" customWidth="1"/>
    <col min="3080" max="3080" width="9.85546875" style="428" customWidth="1"/>
    <col min="3081" max="3081" width="9.140625" style="428"/>
    <col min="3082" max="3082" width="12.140625" style="428" customWidth="1"/>
    <col min="3083" max="3083" width="20.140625" style="428" customWidth="1"/>
    <col min="3084" max="3085" width="12.140625" style="428" customWidth="1"/>
    <col min="3086" max="3087" width="11" style="428" customWidth="1"/>
    <col min="3088" max="3334" width="9.140625" style="428"/>
    <col min="3335" max="3335" width="30.42578125" style="428" customWidth="1"/>
    <col min="3336" max="3336" width="9.85546875" style="428" customWidth="1"/>
    <col min="3337" max="3337" width="9.140625" style="428"/>
    <col min="3338" max="3338" width="12.140625" style="428" customWidth="1"/>
    <col min="3339" max="3339" width="20.140625" style="428" customWidth="1"/>
    <col min="3340" max="3341" width="12.140625" style="428" customWidth="1"/>
    <col min="3342" max="3343" width="11" style="428" customWidth="1"/>
    <col min="3344" max="3590" width="9.140625" style="428"/>
    <col min="3591" max="3591" width="30.42578125" style="428" customWidth="1"/>
    <col min="3592" max="3592" width="9.85546875" style="428" customWidth="1"/>
    <col min="3593" max="3593" width="9.140625" style="428"/>
    <col min="3594" max="3594" width="12.140625" style="428" customWidth="1"/>
    <col min="3595" max="3595" width="20.140625" style="428" customWidth="1"/>
    <col min="3596" max="3597" width="12.140625" style="428" customWidth="1"/>
    <col min="3598" max="3599" width="11" style="428" customWidth="1"/>
    <col min="3600" max="3846" width="9.140625" style="428"/>
    <col min="3847" max="3847" width="30.42578125" style="428" customWidth="1"/>
    <col min="3848" max="3848" width="9.85546875" style="428" customWidth="1"/>
    <col min="3849" max="3849" width="9.140625" style="428"/>
    <col min="3850" max="3850" width="12.140625" style="428" customWidth="1"/>
    <col min="3851" max="3851" width="20.140625" style="428" customWidth="1"/>
    <col min="3852" max="3853" width="12.140625" style="428" customWidth="1"/>
    <col min="3854" max="3855" width="11" style="428" customWidth="1"/>
    <col min="3856" max="4102" width="9.140625" style="428"/>
    <col min="4103" max="4103" width="30.42578125" style="428" customWidth="1"/>
    <col min="4104" max="4104" width="9.85546875" style="428" customWidth="1"/>
    <col min="4105" max="4105" width="9.140625" style="428"/>
    <col min="4106" max="4106" width="12.140625" style="428" customWidth="1"/>
    <col min="4107" max="4107" width="20.140625" style="428" customWidth="1"/>
    <col min="4108" max="4109" width="12.140625" style="428" customWidth="1"/>
    <col min="4110" max="4111" width="11" style="428" customWidth="1"/>
    <col min="4112" max="4358" width="9.140625" style="428"/>
    <col min="4359" max="4359" width="30.42578125" style="428" customWidth="1"/>
    <col min="4360" max="4360" width="9.85546875" style="428" customWidth="1"/>
    <col min="4361" max="4361" width="9.140625" style="428"/>
    <col min="4362" max="4362" width="12.140625" style="428" customWidth="1"/>
    <col min="4363" max="4363" width="20.140625" style="428" customWidth="1"/>
    <col min="4364" max="4365" width="12.140625" style="428" customWidth="1"/>
    <col min="4366" max="4367" width="11" style="428" customWidth="1"/>
    <col min="4368" max="4614" width="9.140625" style="428"/>
    <col min="4615" max="4615" width="30.42578125" style="428" customWidth="1"/>
    <col min="4616" max="4616" width="9.85546875" style="428" customWidth="1"/>
    <col min="4617" max="4617" width="9.140625" style="428"/>
    <col min="4618" max="4618" width="12.140625" style="428" customWidth="1"/>
    <col min="4619" max="4619" width="20.140625" style="428" customWidth="1"/>
    <col min="4620" max="4621" width="12.140625" style="428" customWidth="1"/>
    <col min="4622" max="4623" width="11" style="428" customWidth="1"/>
    <col min="4624" max="4870" width="9.140625" style="428"/>
    <col min="4871" max="4871" width="30.42578125" style="428" customWidth="1"/>
    <col min="4872" max="4872" width="9.85546875" style="428" customWidth="1"/>
    <col min="4873" max="4873" width="9.140625" style="428"/>
    <col min="4874" max="4874" width="12.140625" style="428" customWidth="1"/>
    <col min="4875" max="4875" width="20.140625" style="428" customWidth="1"/>
    <col min="4876" max="4877" width="12.140625" style="428" customWidth="1"/>
    <col min="4878" max="4879" width="11" style="428" customWidth="1"/>
    <col min="4880" max="5126" width="9.140625" style="428"/>
    <col min="5127" max="5127" width="30.42578125" style="428" customWidth="1"/>
    <col min="5128" max="5128" width="9.85546875" style="428" customWidth="1"/>
    <col min="5129" max="5129" width="9.140625" style="428"/>
    <col min="5130" max="5130" width="12.140625" style="428" customWidth="1"/>
    <col min="5131" max="5131" width="20.140625" style="428" customWidth="1"/>
    <col min="5132" max="5133" width="12.140625" style="428" customWidth="1"/>
    <col min="5134" max="5135" width="11" style="428" customWidth="1"/>
    <col min="5136" max="5382" width="9.140625" style="428"/>
    <col min="5383" max="5383" width="30.42578125" style="428" customWidth="1"/>
    <col min="5384" max="5384" width="9.85546875" style="428" customWidth="1"/>
    <col min="5385" max="5385" width="9.140625" style="428"/>
    <col min="5386" max="5386" width="12.140625" style="428" customWidth="1"/>
    <col min="5387" max="5387" width="20.140625" style="428" customWidth="1"/>
    <col min="5388" max="5389" width="12.140625" style="428" customWidth="1"/>
    <col min="5390" max="5391" width="11" style="428" customWidth="1"/>
    <col min="5392" max="5638" width="9.140625" style="428"/>
    <col min="5639" max="5639" width="30.42578125" style="428" customWidth="1"/>
    <col min="5640" max="5640" width="9.85546875" style="428" customWidth="1"/>
    <col min="5641" max="5641" width="9.140625" style="428"/>
    <col min="5642" max="5642" width="12.140625" style="428" customWidth="1"/>
    <col min="5643" max="5643" width="20.140625" style="428" customWidth="1"/>
    <col min="5644" max="5645" width="12.140625" style="428" customWidth="1"/>
    <col min="5646" max="5647" width="11" style="428" customWidth="1"/>
    <col min="5648" max="5894" width="9.140625" style="428"/>
    <col min="5895" max="5895" width="30.42578125" style="428" customWidth="1"/>
    <col min="5896" max="5896" width="9.85546875" style="428" customWidth="1"/>
    <col min="5897" max="5897" width="9.140625" style="428"/>
    <col min="5898" max="5898" width="12.140625" style="428" customWidth="1"/>
    <col min="5899" max="5899" width="20.140625" style="428" customWidth="1"/>
    <col min="5900" max="5901" width="12.140625" style="428" customWidth="1"/>
    <col min="5902" max="5903" width="11" style="428" customWidth="1"/>
    <col min="5904" max="6150" width="9.140625" style="428"/>
    <col min="6151" max="6151" width="30.42578125" style="428" customWidth="1"/>
    <col min="6152" max="6152" width="9.85546875" style="428" customWidth="1"/>
    <col min="6153" max="6153" width="9.140625" style="428"/>
    <col min="6154" max="6154" width="12.140625" style="428" customWidth="1"/>
    <col min="6155" max="6155" width="20.140625" style="428" customWidth="1"/>
    <col min="6156" max="6157" width="12.140625" style="428" customWidth="1"/>
    <col min="6158" max="6159" width="11" style="428" customWidth="1"/>
    <col min="6160" max="6406" width="9.140625" style="428"/>
    <col min="6407" max="6407" width="30.42578125" style="428" customWidth="1"/>
    <col min="6408" max="6408" width="9.85546875" style="428" customWidth="1"/>
    <col min="6409" max="6409" width="9.140625" style="428"/>
    <col min="6410" max="6410" width="12.140625" style="428" customWidth="1"/>
    <col min="6411" max="6411" width="20.140625" style="428" customWidth="1"/>
    <col min="6412" max="6413" width="12.140625" style="428" customWidth="1"/>
    <col min="6414" max="6415" width="11" style="428" customWidth="1"/>
    <col min="6416" max="6662" width="9.140625" style="428"/>
    <col min="6663" max="6663" width="30.42578125" style="428" customWidth="1"/>
    <col min="6664" max="6664" width="9.85546875" style="428" customWidth="1"/>
    <col min="6665" max="6665" width="9.140625" style="428"/>
    <col min="6666" max="6666" width="12.140625" style="428" customWidth="1"/>
    <col min="6667" max="6667" width="20.140625" style="428" customWidth="1"/>
    <col min="6668" max="6669" width="12.140625" style="428" customWidth="1"/>
    <col min="6670" max="6671" width="11" style="428" customWidth="1"/>
    <col min="6672" max="6918" width="9.140625" style="428"/>
    <col min="6919" max="6919" width="30.42578125" style="428" customWidth="1"/>
    <col min="6920" max="6920" width="9.85546875" style="428" customWidth="1"/>
    <col min="6921" max="6921" width="9.140625" style="428"/>
    <col min="6922" max="6922" width="12.140625" style="428" customWidth="1"/>
    <col min="6923" max="6923" width="20.140625" style="428" customWidth="1"/>
    <col min="6924" max="6925" width="12.140625" style="428" customWidth="1"/>
    <col min="6926" max="6927" width="11" style="428" customWidth="1"/>
    <col min="6928" max="7174" width="9.140625" style="428"/>
    <col min="7175" max="7175" width="30.42578125" style="428" customWidth="1"/>
    <col min="7176" max="7176" width="9.85546875" style="428" customWidth="1"/>
    <col min="7177" max="7177" width="9.140625" style="428"/>
    <col min="7178" max="7178" width="12.140625" style="428" customWidth="1"/>
    <col min="7179" max="7179" width="20.140625" style="428" customWidth="1"/>
    <col min="7180" max="7181" width="12.140625" style="428" customWidth="1"/>
    <col min="7182" max="7183" width="11" style="428" customWidth="1"/>
    <col min="7184" max="7430" width="9.140625" style="428"/>
    <col min="7431" max="7431" width="30.42578125" style="428" customWidth="1"/>
    <col min="7432" max="7432" width="9.85546875" style="428" customWidth="1"/>
    <col min="7433" max="7433" width="9.140625" style="428"/>
    <col min="7434" max="7434" width="12.140625" style="428" customWidth="1"/>
    <col min="7435" max="7435" width="20.140625" style="428" customWidth="1"/>
    <col min="7436" max="7437" width="12.140625" style="428" customWidth="1"/>
    <col min="7438" max="7439" width="11" style="428" customWidth="1"/>
    <col min="7440" max="7686" width="9.140625" style="428"/>
    <col min="7687" max="7687" width="30.42578125" style="428" customWidth="1"/>
    <col min="7688" max="7688" width="9.85546875" style="428" customWidth="1"/>
    <col min="7689" max="7689" width="9.140625" style="428"/>
    <col min="7690" max="7690" width="12.140625" style="428" customWidth="1"/>
    <col min="7691" max="7691" width="20.140625" style="428" customWidth="1"/>
    <col min="7692" max="7693" width="12.140625" style="428" customWidth="1"/>
    <col min="7694" max="7695" width="11" style="428" customWidth="1"/>
    <col min="7696" max="7942" width="9.140625" style="428"/>
    <col min="7943" max="7943" width="30.42578125" style="428" customWidth="1"/>
    <col min="7944" max="7944" width="9.85546875" style="428" customWidth="1"/>
    <col min="7945" max="7945" width="9.140625" style="428"/>
    <col min="7946" max="7946" width="12.140625" style="428" customWidth="1"/>
    <col min="7947" max="7947" width="20.140625" style="428" customWidth="1"/>
    <col min="7948" max="7949" width="12.140625" style="428" customWidth="1"/>
    <col min="7950" max="7951" width="11" style="428" customWidth="1"/>
    <col min="7952" max="8198" width="9.140625" style="428"/>
    <col min="8199" max="8199" width="30.42578125" style="428" customWidth="1"/>
    <col min="8200" max="8200" width="9.85546875" style="428" customWidth="1"/>
    <col min="8201" max="8201" width="9.140625" style="428"/>
    <col min="8202" max="8202" width="12.140625" style="428" customWidth="1"/>
    <col min="8203" max="8203" width="20.140625" style="428" customWidth="1"/>
    <col min="8204" max="8205" width="12.140625" style="428" customWidth="1"/>
    <col min="8206" max="8207" width="11" style="428" customWidth="1"/>
    <col min="8208" max="8454" width="9.140625" style="428"/>
    <col min="8455" max="8455" width="30.42578125" style="428" customWidth="1"/>
    <col min="8456" max="8456" width="9.85546875" style="428" customWidth="1"/>
    <col min="8457" max="8457" width="9.140625" style="428"/>
    <col min="8458" max="8458" width="12.140625" style="428" customWidth="1"/>
    <col min="8459" max="8459" width="20.140625" style="428" customWidth="1"/>
    <col min="8460" max="8461" width="12.140625" style="428" customWidth="1"/>
    <col min="8462" max="8463" width="11" style="428" customWidth="1"/>
    <col min="8464" max="8710" width="9.140625" style="428"/>
    <col min="8711" max="8711" width="30.42578125" style="428" customWidth="1"/>
    <col min="8712" max="8712" width="9.85546875" style="428" customWidth="1"/>
    <col min="8713" max="8713" width="9.140625" style="428"/>
    <col min="8714" max="8714" width="12.140625" style="428" customWidth="1"/>
    <col min="8715" max="8715" width="20.140625" style="428" customWidth="1"/>
    <col min="8716" max="8717" width="12.140625" style="428" customWidth="1"/>
    <col min="8718" max="8719" width="11" style="428" customWidth="1"/>
    <col min="8720" max="8966" width="9.140625" style="428"/>
    <col min="8967" max="8967" width="30.42578125" style="428" customWidth="1"/>
    <col min="8968" max="8968" width="9.85546875" style="428" customWidth="1"/>
    <col min="8969" max="8969" width="9.140625" style="428"/>
    <col min="8970" max="8970" width="12.140625" style="428" customWidth="1"/>
    <col min="8971" max="8971" width="20.140625" style="428" customWidth="1"/>
    <col min="8972" max="8973" width="12.140625" style="428" customWidth="1"/>
    <col min="8974" max="8975" width="11" style="428" customWidth="1"/>
    <col min="8976" max="9222" width="9.140625" style="428"/>
    <col min="9223" max="9223" width="30.42578125" style="428" customWidth="1"/>
    <col min="9224" max="9224" width="9.85546875" style="428" customWidth="1"/>
    <col min="9225" max="9225" width="9.140625" style="428"/>
    <col min="9226" max="9226" width="12.140625" style="428" customWidth="1"/>
    <col min="9227" max="9227" width="20.140625" style="428" customWidth="1"/>
    <col min="9228" max="9229" width="12.140625" style="428" customWidth="1"/>
    <col min="9230" max="9231" width="11" style="428" customWidth="1"/>
    <col min="9232" max="9478" width="9.140625" style="428"/>
    <col min="9479" max="9479" width="30.42578125" style="428" customWidth="1"/>
    <col min="9480" max="9480" width="9.85546875" style="428" customWidth="1"/>
    <col min="9481" max="9481" width="9.140625" style="428"/>
    <col min="9482" max="9482" width="12.140625" style="428" customWidth="1"/>
    <col min="9483" max="9483" width="20.140625" style="428" customWidth="1"/>
    <col min="9484" max="9485" width="12.140625" style="428" customWidth="1"/>
    <col min="9486" max="9487" width="11" style="428" customWidth="1"/>
    <col min="9488" max="9734" width="9.140625" style="428"/>
    <col min="9735" max="9735" width="30.42578125" style="428" customWidth="1"/>
    <col min="9736" max="9736" width="9.85546875" style="428" customWidth="1"/>
    <col min="9737" max="9737" width="9.140625" style="428"/>
    <col min="9738" max="9738" width="12.140625" style="428" customWidth="1"/>
    <col min="9739" max="9739" width="20.140625" style="428" customWidth="1"/>
    <col min="9740" max="9741" width="12.140625" style="428" customWidth="1"/>
    <col min="9742" max="9743" width="11" style="428" customWidth="1"/>
    <col min="9744" max="9990" width="9.140625" style="428"/>
    <col min="9991" max="9991" width="30.42578125" style="428" customWidth="1"/>
    <col min="9992" max="9992" width="9.85546875" style="428" customWidth="1"/>
    <col min="9993" max="9993" width="9.140625" style="428"/>
    <col min="9994" max="9994" width="12.140625" style="428" customWidth="1"/>
    <col min="9995" max="9995" width="20.140625" style="428" customWidth="1"/>
    <col min="9996" max="9997" width="12.140625" style="428" customWidth="1"/>
    <col min="9998" max="9999" width="11" style="428" customWidth="1"/>
    <col min="10000" max="10246" width="9.140625" style="428"/>
    <col min="10247" max="10247" width="30.42578125" style="428" customWidth="1"/>
    <col min="10248" max="10248" width="9.85546875" style="428" customWidth="1"/>
    <col min="10249" max="10249" width="9.140625" style="428"/>
    <col min="10250" max="10250" width="12.140625" style="428" customWidth="1"/>
    <col min="10251" max="10251" width="20.140625" style="428" customWidth="1"/>
    <col min="10252" max="10253" width="12.140625" style="428" customWidth="1"/>
    <col min="10254" max="10255" width="11" style="428" customWidth="1"/>
    <col min="10256" max="10502" width="9.140625" style="428"/>
    <col min="10503" max="10503" width="30.42578125" style="428" customWidth="1"/>
    <col min="10504" max="10504" width="9.85546875" style="428" customWidth="1"/>
    <col min="10505" max="10505" width="9.140625" style="428"/>
    <col min="10506" max="10506" width="12.140625" style="428" customWidth="1"/>
    <col min="10507" max="10507" width="20.140625" style="428" customWidth="1"/>
    <col min="10508" max="10509" width="12.140625" style="428" customWidth="1"/>
    <col min="10510" max="10511" width="11" style="428" customWidth="1"/>
    <col min="10512" max="10758" width="9.140625" style="428"/>
    <col min="10759" max="10759" width="30.42578125" style="428" customWidth="1"/>
    <col min="10760" max="10760" width="9.85546875" style="428" customWidth="1"/>
    <col min="10761" max="10761" width="9.140625" style="428"/>
    <col min="10762" max="10762" width="12.140625" style="428" customWidth="1"/>
    <col min="10763" max="10763" width="20.140625" style="428" customWidth="1"/>
    <col min="10764" max="10765" width="12.140625" style="428" customWidth="1"/>
    <col min="10766" max="10767" width="11" style="428" customWidth="1"/>
    <col min="10768" max="11014" width="9.140625" style="428"/>
    <col min="11015" max="11015" width="30.42578125" style="428" customWidth="1"/>
    <col min="11016" max="11016" width="9.85546875" style="428" customWidth="1"/>
    <col min="11017" max="11017" width="9.140625" style="428"/>
    <col min="11018" max="11018" width="12.140625" style="428" customWidth="1"/>
    <col min="11019" max="11019" width="20.140625" style="428" customWidth="1"/>
    <col min="11020" max="11021" width="12.140625" style="428" customWidth="1"/>
    <col min="11022" max="11023" width="11" style="428" customWidth="1"/>
    <col min="11024" max="11270" width="9.140625" style="428"/>
    <col min="11271" max="11271" width="30.42578125" style="428" customWidth="1"/>
    <col min="11272" max="11272" width="9.85546875" style="428" customWidth="1"/>
    <col min="11273" max="11273" width="9.140625" style="428"/>
    <col min="11274" max="11274" width="12.140625" style="428" customWidth="1"/>
    <col min="11275" max="11275" width="20.140625" style="428" customWidth="1"/>
    <col min="11276" max="11277" width="12.140625" style="428" customWidth="1"/>
    <col min="11278" max="11279" width="11" style="428" customWidth="1"/>
    <col min="11280" max="11526" width="9.140625" style="428"/>
    <col min="11527" max="11527" width="30.42578125" style="428" customWidth="1"/>
    <col min="11528" max="11528" width="9.85546875" style="428" customWidth="1"/>
    <col min="11529" max="11529" width="9.140625" style="428"/>
    <col min="11530" max="11530" width="12.140625" style="428" customWidth="1"/>
    <col min="11531" max="11531" width="20.140625" style="428" customWidth="1"/>
    <col min="11532" max="11533" width="12.140625" style="428" customWidth="1"/>
    <col min="11534" max="11535" width="11" style="428" customWidth="1"/>
    <col min="11536" max="11782" width="9.140625" style="428"/>
    <col min="11783" max="11783" width="30.42578125" style="428" customWidth="1"/>
    <col min="11784" max="11784" width="9.85546875" style="428" customWidth="1"/>
    <col min="11785" max="11785" width="9.140625" style="428"/>
    <col min="11786" max="11786" width="12.140625" style="428" customWidth="1"/>
    <col min="11787" max="11787" width="20.140625" style="428" customWidth="1"/>
    <col min="11788" max="11789" width="12.140625" style="428" customWidth="1"/>
    <col min="11790" max="11791" width="11" style="428" customWidth="1"/>
    <col min="11792" max="12038" width="9.140625" style="428"/>
    <col min="12039" max="12039" width="30.42578125" style="428" customWidth="1"/>
    <col min="12040" max="12040" width="9.85546875" style="428" customWidth="1"/>
    <col min="12041" max="12041" width="9.140625" style="428"/>
    <col min="12042" max="12042" width="12.140625" style="428" customWidth="1"/>
    <col min="12043" max="12043" width="20.140625" style="428" customWidth="1"/>
    <col min="12044" max="12045" width="12.140625" style="428" customWidth="1"/>
    <col min="12046" max="12047" width="11" style="428" customWidth="1"/>
    <col min="12048" max="12294" width="9.140625" style="428"/>
    <col min="12295" max="12295" width="30.42578125" style="428" customWidth="1"/>
    <col min="12296" max="12296" width="9.85546875" style="428" customWidth="1"/>
    <col min="12297" max="12297" width="9.140625" style="428"/>
    <col min="12298" max="12298" width="12.140625" style="428" customWidth="1"/>
    <col min="12299" max="12299" width="20.140625" style="428" customWidth="1"/>
    <col min="12300" max="12301" width="12.140625" style="428" customWidth="1"/>
    <col min="12302" max="12303" width="11" style="428" customWidth="1"/>
    <col min="12304" max="12550" width="9.140625" style="428"/>
    <col min="12551" max="12551" width="30.42578125" style="428" customWidth="1"/>
    <col min="12552" max="12552" width="9.85546875" style="428" customWidth="1"/>
    <col min="12553" max="12553" width="9.140625" style="428"/>
    <col min="12554" max="12554" width="12.140625" style="428" customWidth="1"/>
    <col min="12555" max="12555" width="20.140625" style="428" customWidth="1"/>
    <col min="12556" max="12557" width="12.140625" style="428" customWidth="1"/>
    <col min="12558" max="12559" width="11" style="428" customWidth="1"/>
    <col min="12560" max="12806" width="9.140625" style="428"/>
    <col min="12807" max="12807" width="30.42578125" style="428" customWidth="1"/>
    <col min="12808" max="12808" width="9.85546875" style="428" customWidth="1"/>
    <col min="12809" max="12809" width="9.140625" style="428"/>
    <col min="12810" max="12810" width="12.140625" style="428" customWidth="1"/>
    <col min="12811" max="12811" width="20.140625" style="428" customWidth="1"/>
    <col min="12812" max="12813" width="12.140625" style="428" customWidth="1"/>
    <col min="12814" max="12815" width="11" style="428" customWidth="1"/>
    <col min="12816" max="13062" width="9.140625" style="428"/>
    <col min="13063" max="13063" width="30.42578125" style="428" customWidth="1"/>
    <col min="13064" max="13064" width="9.85546875" style="428" customWidth="1"/>
    <col min="13065" max="13065" width="9.140625" style="428"/>
    <col min="13066" max="13066" width="12.140625" style="428" customWidth="1"/>
    <col min="13067" max="13067" width="20.140625" style="428" customWidth="1"/>
    <col min="13068" max="13069" width="12.140625" style="428" customWidth="1"/>
    <col min="13070" max="13071" width="11" style="428" customWidth="1"/>
    <col min="13072" max="13318" width="9.140625" style="428"/>
    <col min="13319" max="13319" width="30.42578125" style="428" customWidth="1"/>
    <col min="13320" max="13320" width="9.85546875" style="428" customWidth="1"/>
    <col min="13321" max="13321" width="9.140625" style="428"/>
    <col min="13322" max="13322" width="12.140625" style="428" customWidth="1"/>
    <col min="13323" max="13323" width="20.140625" style="428" customWidth="1"/>
    <col min="13324" max="13325" width="12.140625" style="428" customWidth="1"/>
    <col min="13326" max="13327" width="11" style="428" customWidth="1"/>
    <col min="13328" max="13574" width="9.140625" style="428"/>
    <col min="13575" max="13575" width="30.42578125" style="428" customWidth="1"/>
    <col min="13576" max="13576" width="9.85546875" style="428" customWidth="1"/>
    <col min="13577" max="13577" width="9.140625" style="428"/>
    <col min="13578" max="13578" width="12.140625" style="428" customWidth="1"/>
    <col min="13579" max="13579" width="20.140625" style="428" customWidth="1"/>
    <col min="13580" max="13581" width="12.140625" style="428" customWidth="1"/>
    <col min="13582" max="13583" width="11" style="428" customWidth="1"/>
    <col min="13584" max="13830" width="9.140625" style="428"/>
    <col min="13831" max="13831" width="30.42578125" style="428" customWidth="1"/>
    <col min="13832" max="13832" width="9.85546875" style="428" customWidth="1"/>
    <col min="13833" max="13833" width="9.140625" style="428"/>
    <col min="13834" max="13834" width="12.140625" style="428" customWidth="1"/>
    <col min="13835" max="13835" width="20.140625" style="428" customWidth="1"/>
    <col min="13836" max="13837" width="12.140625" style="428" customWidth="1"/>
    <col min="13838" max="13839" width="11" style="428" customWidth="1"/>
    <col min="13840" max="14086" width="9.140625" style="428"/>
    <col min="14087" max="14087" width="30.42578125" style="428" customWidth="1"/>
    <col min="14088" max="14088" width="9.85546875" style="428" customWidth="1"/>
    <col min="14089" max="14089" width="9.140625" style="428"/>
    <col min="14090" max="14090" width="12.140625" style="428" customWidth="1"/>
    <col min="14091" max="14091" width="20.140625" style="428" customWidth="1"/>
    <col min="14092" max="14093" width="12.140625" style="428" customWidth="1"/>
    <col min="14094" max="14095" width="11" style="428" customWidth="1"/>
    <col min="14096" max="14342" width="9.140625" style="428"/>
    <col min="14343" max="14343" width="30.42578125" style="428" customWidth="1"/>
    <col min="14344" max="14344" width="9.85546875" style="428" customWidth="1"/>
    <col min="14345" max="14345" width="9.140625" style="428"/>
    <col min="14346" max="14346" width="12.140625" style="428" customWidth="1"/>
    <col min="14347" max="14347" width="20.140625" style="428" customWidth="1"/>
    <col min="14348" max="14349" width="12.140625" style="428" customWidth="1"/>
    <col min="14350" max="14351" width="11" style="428" customWidth="1"/>
    <col min="14352" max="14598" width="9.140625" style="428"/>
    <col min="14599" max="14599" width="30.42578125" style="428" customWidth="1"/>
    <col min="14600" max="14600" width="9.85546875" style="428" customWidth="1"/>
    <col min="14601" max="14601" width="9.140625" style="428"/>
    <col min="14602" max="14602" width="12.140625" style="428" customWidth="1"/>
    <col min="14603" max="14603" width="20.140625" style="428" customWidth="1"/>
    <col min="14604" max="14605" width="12.140625" style="428" customWidth="1"/>
    <col min="14606" max="14607" width="11" style="428" customWidth="1"/>
    <col min="14608" max="14854" width="9.140625" style="428"/>
    <col min="14855" max="14855" width="30.42578125" style="428" customWidth="1"/>
    <col min="14856" max="14856" width="9.85546875" style="428" customWidth="1"/>
    <col min="14857" max="14857" width="9.140625" style="428"/>
    <col min="14858" max="14858" width="12.140625" style="428" customWidth="1"/>
    <col min="14859" max="14859" width="20.140625" style="428" customWidth="1"/>
    <col min="14860" max="14861" width="12.140625" style="428" customWidth="1"/>
    <col min="14862" max="14863" width="11" style="428" customWidth="1"/>
    <col min="14864" max="15110" width="9.140625" style="428"/>
    <col min="15111" max="15111" width="30.42578125" style="428" customWidth="1"/>
    <col min="15112" max="15112" width="9.85546875" style="428" customWidth="1"/>
    <col min="15113" max="15113" width="9.140625" style="428"/>
    <col min="15114" max="15114" width="12.140625" style="428" customWidth="1"/>
    <col min="15115" max="15115" width="20.140625" style="428" customWidth="1"/>
    <col min="15116" max="15117" width="12.140625" style="428" customWidth="1"/>
    <col min="15118" max="15119" width="11" style="428" customWidth="1"/>
    <col min="15120" max="15366" width="9.140625" style="428"/>
    <col min="15367" max="15367" width="30.42578125" style="428" customWidth="1"/>
    <col min="15368" max="15368" width="9.85546875" style="428" customWidth="1"/>
    <col min="15369" max="15369" width="9.140625" style="428"/>
    <col min="15370" max="15370" width="12.140625" style="428" customWidth="1"/>
    <col min="15371" max="15371" width="20.140625" style="428" customWidth="1"/>
    <col min="15372" max="15373" width="12.140625" style="428" customWidth="1"/>
    <col min="15374" max="15375" width="11" style="428" customWidth="1"/>
    <col min="15376" max="15622" width="9.140625" style="428"/>
    <col min="15623" max="15623" width="30.42578125" style="428" customWidth="1"/>
    <col min="15624" max="15624" width="9.85546875" style="428" customWidth="1"/>
    <col min="15625" max="15625" width="9.140625" style="428"/>
    <col min="15626" max="15626" width="12.140625" style="428" customWidth="1"/>
    <col min="15627" max="15627" width="20.140625" style="428" customWidth="1"/>
    <col min="15628" max="15629" width="12.140625" style="428" customWidth="1"/>
    <col min="15630" max="15631" width="11" style="428" customWidth="1"/>
    <col min="15632" max="15878" width="9.140625" style="428"/>
    <col min="15879" max="15879" width="30.42578125" style="428" customWidth="1"/>
    <col min="15880" max="15880" width="9.85546875" style="428" customWidth="1"/>
    <col min="15881" max="15881" width="9.140625" style="428"/>
    <col min="15882" max="15882" width="12.140625" style="428" customWidth="1"/>
    <col min="15883" max="15883" width="20.140625" style="428" customWidth="1"/>
    <col min="15884" max="15885" width="12.140625" style="428" customWidth="1"/>
    <col min="15886" max="15887" width="11" style="428" customWidth="1"/>
    <col min="15888" max="16134" width="9.140625" style="428"/>
    <col min="16135" max="16135" width="30.42578125" style="428" customWidth="1"/>
    <col min="16136" max="16136" width="9.85546875" style="428" customWidth="1"/>
    <col min="16137" max="16137" width="9.140625" style="428"/>
    <col min="16138" max="16138" width="12.140625" style="428" customWidth="1"/>
    <col min="16139" max="16139" width="20.140625" style="428" customWidth="1"/>
    <col min="16140" max="16141" width="12.140625" style="428" customWidth="1"/>
    <col min="16142" max="16143" width="11" style="428" customWidth="1"/>
    <col min="16144" max="16384" width="9.140625" style="428"/>
  </cols>
  <sheetData>
    <row r="1" spans="1:17" s="426" customFormat="1" ht="15" x14ac:dyDescent="0.25">
      <c r="A1" s="1369" t="s">
        <v>773</v>
      </c>
      <c r="B1" s="1369"/>
      <c r="C1" s="1369"/>
      <c r="D1" s="1369"/>
      <c r="E1" s="1369"/>
      <c r="F1" s="1369"/>
      <c r="G1" s="1369"/>
      <c r="H1" s="1369"/>
      <c r="I1" s="1369"/>
      <c r="J1" s="1369"/>
      <c r="K1" s="1369"/>
      <c r="L1" s="1369"/>
      <c r="M1" s="1369"/>
      <c r="N1" s="1369"/>
      <c r="O1" s="1369"/>
      <c r="P1" s="425"/>
    </row>
    <row r="2" spans="1:17" s="426" customFormat="1" ht="15" x14ac:dyDescent="0.25">
      <c r="A2" s="1369" t="s">
        <v>416</v>
      </c>
      <c r="B2" s="1369"/>
      <c r="C2" s="1369"/>
      <c r="D2" s="1369"/>
      <c r="E2" s="1369"/>
      <c r="F2" s="1369"/>
      <c r="G2" s="1369"/>
      <c r="H2" s="1369"/>
      <c r="I2" s="1369"/>
      <c r="J2" s="1369"/>
      <c r="K2" s="1369"/>
      <c r="L2" s="1369"/>
      <c r="M2" s="1369"/>
      <c r="N2" s="1369"/>
      <c r="O2" s="1369"/>
    </row>
    <row r="3" spans="1:17" s="429" customFormat="1" ht="16.5" thickBot="1" x14ac:dyDescent="0.3">
      <c r="A3" s="427"/>
      <c r="B3" s="427"/>
      <c r="C3" s="427"/>
      <c r="D3" s="427"/>
      <c r="E3" s="427"/>
      <c r="F3" s="427"/>
      <c r="G3" s="427"/>
      <c r="H3" s="427"/>
      <c r="I3" s="427"/>
      <c r="J3" s="427"/>
      <c r="K3" s="427"/>
      <c r="L3" s="427"/>
      <c r="M3" s="427"/>
      <c r="N3" s="427"/>
      <c r="O3" s="427"/>
      <c r="P3" s="428"/>
    </row>
    <row r="4" spans="1:17" s="429" customFormat="1" ht="15" customHeight="1" x14ac:dyDescent="0.2">
      <c r="A4" s="1370" t="s">
        <v>417</v>
      </c>
      <c r="B4" s="1360"/>
      <c r="C4" s="1360"/>
      <c r="D4" s="1360"/>
      <c r="E4" s="1371"/>
      <c r="F4" s="1363" t="s">
        <v>518</v>
      </c>
      <c r="G4" s="1364"/>
      <c r="H4" s="1361" t="s">
        <v>562</v>
      </c>
      <c r="I4" s="1361"/>
      <c r="J4" s="1363" t="s">
        <v>563</v>
      </c>
      <c r="K4" s="1364"/>
      <c r="L4" s="1363" t="s">
        <v>564</v>
      </c>
      <c r="M4" s="1367"/>
      <c r="N4" s="1363" t="s">
        <v>750</v>
      </c>
      <c r="O4" s="1367"/>
      <c r="P4" s="428"/>
    </row>
    <row r="5" spans="1:17" s="429" customFormat="1" ht="44.25" customHeight="1" thickBot="1" x14ac:dyDescent="0.25">
      <c r="A5" s="403" t="s">
        <v>523</v>
      </c>
      <c r="B5" s="1372" t="s">
        <v>25</v>
      </c>
      <c r="C5" s="1373"/>
      <c r="D5" s="1373"/>
      <c r="E5" s="1374"/>
      <c r="F5" s="1365"/>
      <c r="G5" s="1366"/>
      <c r="H5" s="1362"/>
      <c r="I5" s="1362"/>
      <c r="J5" s="1365"/>
      <c r="K5" s="1366"/>
      <c r="L5" s="1365"/>
      <c r="M5" s="1368"/>
      <c r="N5" s="1365"/>
      <c r="O5" s="1368"/>
      <c r="P5" s="428"/>
    </row>
    <row r="6" spans="1:17" s="429" customFormat="1" ht="16.5" thickTop="1" x14ac:dyDescent="0.25">
      <c r="A6" s="430"/>
      <c r="B6" s="431"/>
      <c r="C6" s="431"/>
      <c r="D6" s="431"/>
      <c r="E6" s="431"/>
      <c r="F6" s="431"/>
      <c r="G6" s="431"/>
      <c r="H6" s="431"/>
      <c r="I6" s="431"/>
      <c r="J6" s="431"/>
      <c r="K6" s="431"/>
      <c r="L6" s="431"/>
      <c r="M6" s="431"/>
      <c r="N6" s="431"/>
      <c r="O6" s="432"/>
      <c r="P6" s="428"/>
      <c r="Q6" s="426"/>
    </row>
    <row r="7" spans="1:17" s="429" customFormat="1" ht="16.5" x14ac:dyDescent="0.2">
      <c r="A7" s="433"/>
      <c r="B7" s="1375" t="s">
        <v>565</v>
      </c>
      <c r="C7" s="1375"/>
      <c r="D7" s="1375"/>
      <c r="E7" s="1376"/>
      <c r="F7" s="1377" t="s">
        <v>543</v>
      </c>
      <c r="G7" s="1378"/>
      <c r="H7" s="434">
        <f>$F$18*0.0032*($F$19/5)^1.3/($F$20/2)^1.4</f>
        <v>3.6339016271656738E-4</v>
      </c>
      <c r="I7" s="435" t="s">
        <v>566</v>
      </c>
      <c r="J7" s="436">
        <f>$F$26</f>
        <v>90321.75</v>
      </c>
      <c r="K7" s="437" t="s">
        <v>497</v>
      </c>
      <c r="L7" s="434">
        <f>+H7*J7/2000</f>
        <v>1.6411017714672561E-2</v>
      </c>
      <c r="M7" s="438" t="s">
        <v>497</v>
      </c>
      <c r="N7" s="434">
        <f>L7*0.15</f>
        <v>2.4616526572008839E-3</v>
      </c>
      <c r="O7" s="438" t="s">
        <v>497</v>
      </c>
      <c r="P7" s="428"/>
    </row>
    <row r="8" spans="1:17" s="429" customFormat="1" ht="16.5" x14ac:dyDescent="0.2">
      <c r="A8" s="439"/>
      <c r="B8" s="1379" t="s">
        <v>567</v>
      </c>
      <c r="C8" s="1379"/>
      <c r="D8" s="1379"/>
      <c r="E8" s="1380"/>
      <c r="F8" s="1377" t="s">
        <v>543</v>
      </c>
      <c r="G8" s="1378"/>
      <c r="H8" s="434">
        <f>$F$18*0.0032*($F$19/5)^1.3/($F$20/2)^1.4</f>
        <v>3.6339016271656738E-4</v>
      </c>
      <c r="I8" s="435" t="s">
        <v>566</v>
      </c>
      <c r="J8" s="436">
        <f>$F$26</f>
        <v>90321.75</v>
      </c>
      <c r="K8" s="437" t="s">
        <v>497</v>
      </c>
      <c r="L8" s="440">
        <f>+H8*J8/2000</f>
        <v>1.6411017714672561E-2</v>
      </c>
      <c r="M8" s="438" t="s">
        <v>497</v>
      </c>
      <c r="N8" s="440">
        <f>L8*0.15</f>
        <v>2.4616526572008839E-3</v>
      </c>
      <c r="O8" s="438" t="s">
        <v>497</v>
      </c>
      <c r="P8" s="428"/>
    </row>
    <row r="9" spans="1:17" s="429" customFormat="1" ht="16.5" x14ac:dyDescent="0.2">
      <c r="A9" s="439"/>
      <c r="B9" s="1381" t="s">
        <v>568</v>
      </c>
      <c r="C9" s="1381"/>
      <c r="D9" s="1381"/>
      <c r="E9" s="1382"/>
      <c r="F9" s="1377" t="s">
        <v>569</v>
      </c>
      <c r="G9" s="1378"/>
      <c r="H9" s="441">
        <f>$F$30*(($F$31/12)^$F$36)*(($F$32/3)^$F$37)</f>
        <v>2.9247491559729304</v>
      </c>
      <c r="I9" s="435" t="s">
        <v>570</v>
      </c>
      <c r="J9" s="436">
        <f>(F26/$F$35)*F38/5280</f>
        <v>760.28409090909088</v>
      </c>
      <c r="K9" s="437" t="s">
        <v>571</v>
      </c>
      <c r="L9" s="442">
        <f>H9*J9/2000</f>
        <v>1.1118201265930052</v>
      </c>
      <c r="M9" s="438" t="s">
        <v>497</v>
      </c>
      <c r="N9" s="440">
        <f t="shared" ref="N9:N13" si="0">L9*0.15</f>
        <v>0.16677301898895078</v>
      </c>
      <c r="O9" s="438" t="s">
        <v>497</v>
      </c>
      <c r="P9" s="443"/>
    </row>
    <row r="10" spans="1:17" s="429" customFormat="1" ht="16.5" x14ac:dyDescent="0.2">
      <c r="A10" s="439"/>
      <c r="B10" s="1381" t="s">
        <v>572</v>
      </c>
      <c r="C10" s="1381"/>
      <c r="D10" s="1381"/>
      <c r="E10" s="1382"/>
      <c r="F10" s="1377" t="s">
        <v>569</v>
      </c>
      <c r="G10" s="1378"/>
      <c r="H10" s="441">
        <f>$F$30*(($F$31/12)^$F$36)*(($F$32/3)^$F$37)</f>
        <v>2.9247491559729304</v>
      </c>
      <c r="I10" s="435" t="s">
        <v>570</v>
      </c>
      <c r="J10" s="436">
        <f>(F27/$F$35*(F41/100))*F39/5280</f>
        <v>1241.7973484848485</v>
      </c>
      <c r="K10" s="437" t="s">
        <v>571</v>
      </c>
      <c r="L10" s="442">
        <f>H10*J10/2000</f>
        <v>1.8159728734352418</v>
      </c>
      <c r="M10" s="438" t="s">
        <v>497</v>
      </c>
      <c r="N10" s="440">
        <f t="shared" si="0"/>
        <v>0.27239593101528625</v>
      </c>
      <c r="O10" s="438" t="s">
        <v>497</v>
      </c>
      <c r="P10" s="443"/>
    </row>
    <row r="11" spans="1:17" s="429" customFormat="1" ht="16.5" x14ac:dyDescent="0.2">
      <c r="A11" s="439"/>
      <c r="B11" s="1381" t="s">
        <v>573</v>
      </c>
      <c r="C11" s="1381"/>
      <c r="D11" s="1381"/>
      <c r="E11" s="1382"/>
      <c r="F11" s="1377" t="s">
        <v>569</v>
      </c>
      <c r="G11" s="1378"/>
      <c r="H11" s="441">
        <f>$F$30*(($F$31/12)^$F$36)*(($F$32/3)^$F$37)</f>
        <v>2.9247491559729304</v>
      </c>
      <c r="I11" s="435" t="s">
        <v>570</v>
      </c>
      <c r="J11" s="436">
        <f>(F27/$F$35*(F42/100))*F40/5280</f>
        <v>101.37121212121212</v>
      </c>
      <c r="K11" s="437" t="s">
        <v>571</v>
      </c>
      <c r="L11" s="442">
        <f>H11*J11/2000</f>
        <v>0.14824268354573403</v>
      </c>
      <c r="M11" s="438" t="s">
        <v>497</v>
      </c>
      <c r="N11" s="440">
        <f t="shared" si="0"/>
        <v>2.2236402531860103E-2</v>
      </c>
      <c r="O11" s="438" t="s">
        <v>497</v>
      </c>
      <c r="P11" s="443"/>
    </row>
    <row r="12" spans="1:17" s="429" customFormat="1" ht="16.5" x14ac:dyDescent="0.2">
      <c r="A12" s="439"/>
      <c r="B12" s="1384" t="s">
        <v>574</v>
      </c>
      <c r="C12" s="1384"/>
      <c r="D12" s="1384"/>
      <c r="E12" s="1385"/>
      <c r="F12" s="1377" t="s">
        <v>575</v>
      </c>
      <c r="G12" s="1378"/>
      <c r="H12" s="444">
        <f>Q105</f>
        <v>26.738004921336277</v>
      </c>
      <c r="I12" s="445" t="s">
        <v>576</v>
      </c>
      <c r="J12" s="436">
        <f>F51</f>
        <v>3370</v>
      </c>
      <c r="K12" s="437" t="s">
        <v>577</v>
      </c>
      <c r="L12" s="441">
        <f>H12*J12/(453.6*2000)</f>
        <v>9.9324378951612932E-2</v>
      </c>
      <c r="M12" s="438" t="s">
        <v>497</v>
      </c>
      <c r="N12" s="440">
        <f t="shared" si="0"/>
        <v>1.4898656842741938E-2</v>
      </c>
      <c r="O12" s="438" t="s">
        <v>497</v>
      </c>
      <c r="P12" s="443"/>
    </row>
    <row r="13" spans="1:17" s="429" customFormat="1" ht="16.5" x14ac:dyDescent="0.2">
      <c r="A13" s="446"/>
      <c r="B13" s="1375" t="s">
        <v>578</v>
      </c>
      <c r="C13" s="1375"/>
      <c r="D13" s="1375"/>
      <c r="E13" s="1376"/>
      <c r="F13" s="1377" t="s">
        <v>543</v>
      </c>
      <c r="G13" s="1378"/>
      <c r="H13" s="434">
        <f>$F$18*0.0032*($F$19/5)^1.3/($F$20/2)^1.4</f>
        <v>3.6339016271656738E-4</v>
      </c>
      <c r="I13" s="435" t="s">
        <v>566</v>
      </c>
      <c r="J13" s="436">
        <f>F27</f>
        <v>90321.75</v>
      </c>
      <c r="K13" s="437" t="s">
        <v>497</v>
      </c>
      <c r="L13" s="447">
        <f>+H13*J13/2000</f>
        <v>1.6411017714672561E-2</v>
      </c>
      <c r="M13" s="448" t="s">
        <v>497</v>
      </c>
      <c r="N13" s="440">
        <f t="shared" si="0"/>
        <v>2.4616526572008839E-3</v>
      </c>
      <c r="O13" s="448" t="s">
        <v>497</v>
      </c>
      <c r="P13" s="428"/>
    </row>
    <row r="14" spans="1:17" s="429" customFormat="1" ht="16.5" thickBot="1" x14ac:dyDescent="0.3">
      <c r="A14" s="449">
        <v>52</v>
      </c>
      <c r="B14" s="1386" t="s">
        <v>470</v>
      </c>
      <c r="C14" s="1386"/>
      <c r="D14" s="1386"/>
      <c r="E14" s="1387"/>
      <c r="F14" s="1388" t="s">
        <v>756</v>
      </c>
      <c r="G14" s="1388"/>
      <c r="H14" s="1388"/>
      <c r="I14" s="1388"/>
      <c r="J14" s="1388"/>
      <c r="K14" s="1389"/>
      <c r="L14" s="450">
        <f>+SUM(L7:L13)</f>
        <v>3.2245931156696117</v>
      </c>
      <c r="M14" s="451" t="s">
        <v>497</v>
      </c>
      <c r="N14" s="450">
        <v>3.22</v>
      </c>
      <c r="O14" s="451" t="s">
        <v>497</v>
      </c>
    </row>
    <row r="15" spans="1:17" x14ac:dyDescent="0.2">
      <c r="P15" s="443"/>
    </row>
    <row r="16" spans="1:17" s="426" customFormat="1" ht="14.25" x14ac:dyDescent="0.2">
      <c r="A16" s="426" t="s">
        <v>239</v>
      </c>
    </row>
    <row r="17" spans="1:21" s="426" customFormat="1" ht="16.5" x14ac:dyDescent="0.2">
      <c r="A17" s="452" t="s">
        <v>579</v>
      </c>
      <c r="B17" s="452"/>
      <c r="C17" s="452"/>
      <c r="D17" s="452"/>
      <c r="E17" s="452"/>
    </row>
    <row r="18" spans="1:21" s="426" customFormat="1" ht="18.75" x14ac:dyDescent="0.35">
      <c r="E18" s="453" t="s">
        <v>580</v>
      </c>
      <c r="F18" s="426">
        <v>0.35</v>
      </c>
      <c r="G18" s="426" t="s">
        <v>581</v>
      </c>
    </row>
    <row r="19" spans="1:21" s="426" customFormat="1" ht="14.25" x14ac:dyDescent="0.2">
      <c r="E19" s="453" t="s">
        <v>582</v>
      </c>
      <c r="F19" s="426">
        <v>5.4</v>
      </c>
      <c r="G19" s="426" t="s">
        <v>583</v>
      </c>
      <c r="H19" s="376" t="s">
        <v>584</v>
      </c>
    </row>
    <row r="20" spans="1:21" s="426" customFormat="1" ht="14.25" x14ac:dyDescent="0.2">
      <c r="E20" s="453" t="s">
        <v>585</v>
      </c>
      <c r="F20" s="426">
        <v>4.8</v>
      </c>
      <c r="G20" s="426" t="s">
        <v>558</v>
      </c>
    </row>
    <row r="21" spans="1:21" s="426" customFormat="1" ht="14.25" x14ac:dyDescent="0.2">
      <c r="E21" s="453"/>
    </row>
    <row r="22" spans="1:21" s="426" customFormat="1" ht="16.5" x14ac:dyDescent="0.2">
      <c r="A22" s="452" t="s">
        <v>586</v>
      </c>
      <c r="B22" s="452"/>
      <c r="C22" s="452"/>
      <c r="D22" s="452"/>
      <c r="E22" s="452"/>
    </row>
    <row r="23" spans="1:21" s="426" customFormat="1" ht="16.5" x14ac:dyDescent="0.2">
      <c r="A23" s="452"/>
      <c r="B23" s="452"/>
      <c r="C23" s="452"/>
      <c r="D23" s="452"/>
      <c r="E23" s="453" t="s">
        <v>587</v>
      </c>
      <c r="F23" s="454">
        <v>133810</v>
      </c>
      <c r="G23" s="426" t="s">
        <v>588</v>
      </c>
      <c r="H23" s="426" t="s">
        <v>589</v>
      </c>
    </row>
    <row r="24" spans="1:21" s="426" customFormat="1" ht="16.5" x14ac:dyDescent="0.2">
      <c r="A24" s="452"/>
      <c r="B24" s="452"/>
      <c r="C24" s="452"/>
      <c r="D24" s="452"/>
      <c r="E24" s="453" t="s">
        <v>590</v>
      </c>
      <c r="F24" s="426">
        <v>50</v>
      </c>
      <c r="G24" s="426" t="s">
        <v>591</v>
      </c>
    </row>
    <row r="25" spans="1:21" s="426" customFormat="1" ht="16.5" x14ac:dyDescent="0.2">
      <c r="A25" s="452"/>
      <c r="B25" s="452"/>
      <c r="C25" s="452"/>
      <c r="D25" s="452"/>
      <c r="E25" s="453" t="s">
        <v>592</v>
      </c>
      <c r="F25" s="454">
        <f>F24*F23*27/2000</f>
        <v>90321.75</v>
      </c>
      <c r="G25" s="426" t="s">
        <v>593</v>
      </c>
    </row>
    <row r="26" spans="1:21" s="426" customFormat="1" ht="16.5" x14ac:dyDescent="0.2">
      <c r="A26" s="452"/>
      <c r="B26" s="452"/>
      <c r="C26" s="452"/>
      <c r="D26" s="452"/>
      <c r="E26" s="453" t="s">
        <v>594</v>
      </c>
      <c r="F26" s="454">
        <f>F25</f>
        <v>90321.75</v>
      </c>
      <c r="G26" s="426" t="s">
        <v>497</v>
      </c>
    </row>
    <row r="27" spans="1:21" s="426" customFormat="1" ht="16.5" x14ac:dyDescent="0.2">
      <c r="A27" s="452"/>
      <c r="B27" s="452"/>
      <c r="C27" s="452"/>
      <c r="D27" s="452"/>
      <c r="E27" s="453" t="s">
        <v>595</v>
      </c>
      <c r="F27" s="454">
        <f>F25</f>
        <v>90321.75</v>
      </c>
      <c r="G27" s="426" t="s">
        <v>497</v>
      </c>
    </row>
    <row r="28" spans="1:21" s="426" customFormat="1" ht="16.5" x14ac:dyDescent="0.2">
      <c r="A28" s="452"/>
      <c r="B28" s="452"/>
      <c r="C28" s="452"/>
      <c r="D28" s="452"/>
      <c r="E28" s="453"/>
      <c r="F28" s="454"/>
      <c r="G28" s="454"/>
    </row>
    <row r="29" spans="1:21" s="426" customFormat="1" ht="16.5" x14ac:dyDescent="0.2">
      <c r="A29" s="452" t="s">
        <v>596</v>
      </c>
      <c r="B29" s="452"/>
      <c r="C29" s="452"/>
      <c r="D29" s="452"/>
      <c r="E29" s="452"/>
    </row>
    <row r="30" spans="1:21" s="426" customFormat="1" ht="18.75" x14ac:dyDescent="0.35">
      <c r="A30" s="452"/>
      <c r="B30" s="452"/>
      <c r="C30" s="452"/>
      <c r="D30" s="452"/>
      <c r="E30" s="453" t="s">
        <v>580</v>
      </c>
      <c r="F30" s="426">
        <v>1.5</v>
      </c>
      <c r="G30" s="426" t="s">
        <v>581</v>
      </c>
      <c r="H30" s="425"/>
    </row>
    <row r="31" spans="1:21" s="426" customFormat="1" ht="16.5" x14ac:dyDescent="0.2">
      <c r="A31" s="452"/>
      <c r="B31" s="452"/>
      <c r="C31" s="452"/>
      <c r="D31" s="452"/>
      <c r="E31" s="453" t="s">
        <v>597</v>
      </c>
      <c r="F31" s="426">
        <v>8.4</v>
      </c>
      <c r="G31" s="426" t="s">
        <v>598</v>
      </c>
      <c r="U31" s="425"/>
    </row>
    <row r="32" spans="1:21" s="426" customFormat="1" ht="16.5" x14ac:dyDescent="0.2">
      <c r="A32" s="452"/>
      <c r="B32" s="452"/>
      <c r="C32" s="452"/>
      <c r="D32" s="452"/>
      <c r="E32" s="453" t="s">
        <v>599</v>
      </c>
      <c r="F32" s="426">
        <v>27</v>
      </c>
      <c r="G32" s="426" t="s">
        <v>600</v>
      </c>
    </row>
    <row r="33" spans="1:17" s="426" customFormat="1" ht="16.5" x14ac:dyDescent="0.2">
      <c r="A33" s="452"/>
      <c r="B33" s="452"/>
      <c r="C33" s="452"/>
      <c r="D33" s="452"/>
      <c r="E33" s="453" t="s">
        <v>601</v>
      </c>
      <c r="F33" s="426">
        <v>5</v>
      </c>
      <c r="G33" s="426" t="s">
        <v>588</v>
      </c>
    </row>
    <row r="34" spans="1:17" s="426" customFormat="1" ht="16.5" x14ac:dyDescent="0.2">
      <c r="A34" s="452"/>
      <c r="B34" s="452"/>
      <c r="C34" s="452"/>
      <c r="D34" s="452"/>
      <c r="E34" s="453" t="s">
        <v>590</v>
      </c>
      <c r="F34" s="426">
        <v>50</v>
      </c>
      <c r="G34" s="455" t="s">
        <v>591</v>
      </c>
    </row>
    <row r="35" spans="1:17" s="426" customFormat="1" ht="16.5" x14ac:dyDescent="0.2">
      <c r="A35" s="452"/>
      <c r="B35" s="452"/>
      <c r="C35" s="452"/>
      <c r="D35" s="452"/>
      <c r="E35" s="453" t="s">
        <v>602</v>
      </c>
      <c r="F35" s="426">
        <f>F24*27*F33/2000</f>
        <v>3.375</v>
      </c>
      <c r="G35" s="426" t="s">
        <v>603</v>
      </c>
    </row>
    <row r="36" spans="1:17" s="426" customFormat="1" ht="16.5" x14ac:dyDescent="0.2">
      <c r="A36" s="452"/>
      <c r="B36" s="452"/>
      <c r="C36" s="452"/>
      <c r="D36" s="452"/>
      <c r="E36" s="453" t="s">
        <v>604</v>
      </c>
      <c r="F36" s="426">
        <v>0.9</v>
      </c>
      <c r="G36" s="426" t="s">
        <v>605</v>
      </c>
    </row>
    <row r="37" spans="1:17" s="426" customFormat="1" ht="16.5" x14ac:dyDescent="0.2">
      <c r="A37" s="452"/>
      <c r="B37" s="452"/>
      <c r="C37" s="452"/>
      <c r="D37" s="452"/>
      <c r="E37" s="453" t="s">
        <v>606</v>
      </c>
      <c r="F37" s="426">
        <v>0.45</v>
      </c>
      <c r="G37" s="426" t="s">
        <v>605</v>
      </c>
    </row>
    <row r="38" spans="1:17" s="426" customFormat="1" ht="16.5" x14ac:dyDescent="0.2">
      <c r="A38" s="452"/>
      <c r="B38" s="452"/>
      <c r="C38" s="452"/>
      <c r="D38" s="452"/>
      <c r="E38" s="453" t="s">
        <v>607</v>
      </c>
      <c r="F38" s="426">
        <v>150</v>
      </c>
      <c r="G38" s="426" t="s">
        <v>608</v>
      </c>
    </row>
    <row r="39" spans="1:17" s="426" customFormat="1" ht="16.5" x14ac:dyDescent="0.2">
      <c r="A39" s="452"/>
      <c r="B39" s="452"/>
      <c r="C39" s="452"/>
      <c r="D39" s="452"/>
      <c r="E39" s="453" t="s">
        <v>609</v>
      </c>
      <c r="F39" s="426">
        <v>250</v>
      </c>
      <c r="G39" s="426" t="s">
        <v>608</v>
      </c>
    </row>
    <row r="40" spans="1:17" s="426" customFormat="1" ht="16.5" x14ac:dyDescent="0.2">
      <c r="A40" s="452"/>
      <c r="B40" s="452"/>
      <c r="C40" s="452"/>
      <c r="D40" s="452"/>
      <c r="E40" s="453" t="s">
        <v>610</v>
      </c>
      <c r="F40" s="454">
        <v>1000</v>
      </c>
      <c r="G40" s="426" t="s">
        <v>608</v>
      </c>
    </row>
    <row r="41" spans="1:17" s="426" customFormat="1" ht="16.5" x14ac:dyDescent="0.2">
      <c r="A41" s="452"/>
      <c r="B41" s="452"/>
      <c r="C41" s="452"/>
      <c r="D41" s="452"/>
      <c r="E41" s="453" t="s">
        <v>611</v>
      </c>
      <c r="F41" s="426">
        <v>98</v>
      </c>
      <c r="G41" s="401" t="s">
        <v>530</v>
      </c>
    </row>
    <row r="42" spans="1:17" s="426" customFormat="1" ht="16.5" x14ac:dyDescent="0.2">
      <c r="A42" s="452"/>
      <c r="B42" s="452"/>
      <c r="C42" s="452"/>
      <c r="D42" s="452"/>
      <c r="E42" s="453" t="s">
        <v>612</v>
      </c>
      <c r="F42" s="426">
        <v>2</v>
      </c>
      <c r="G42" s="401" t="s">
        <v>532</v>
      </c>
    </row>
    <row r="43" spans="1:17" s="426" customFormat="1" ht="16.5" x14ac:dyDescent="0.2">
      <c r="A43" s="452"/>
      <c r="B43" s="452"/>
      <c r="C43" s="452"/>
      <c r="D43" s="452"/>
      <c r="E43" s="453" t="s">
        <v>613</v>
      </c>
      <c r="G43" s="426" t="s">
        <v>614</v>
      </c>
      <c r="I43" s="456"/>
    </row>
    <row r="44" spans="1:17" ht="14.25" x14ac:dyDescent="0.2">
      <c r="A44" s="457"/>
      <c r="B44" s="457"/>
      <c r="C44" s="457"/>
      <c r="D44" s="457"/>
      <c r="E44" s="458"/>
      <c r="F44" s="458"/>
      <c r="G44" s="458"/>
      <c r="H44" s="458"/>
      <c r="I44" s="459"/>
      <c r="J44" s="458"/>
      <c r="K44" s="458"/>
      <c r="L44" s="458"/>
      <c r="M44" s="458"/>
      <c r="N44" s="458"/>
      <c r="O44" s="458"/>
    </row>
    <row r="45" spans="1:17" ht="16.5" x14ac:dyDescent="0.2">
      <c r="A45" s="376" t="s">
        <v>615</v>
      </c>
      <c r="B45" s="376"/>
      <c r="C45" s="376"/>
      <c r="D45" s="376"/>
      <c r="E45" s="376"/>
      <c r="F45" s="376"/>
      <c r="G45" s="376"/>
      <c r="H45" s="376"/>
      <c r="I45" s="376"/>
      <c r="J45" s="376"/>
      <c r="K45" s="376"/>
      <c r="L45" s="376"/>
      <c r="M45" s="376"/>
      <c r="N45" s="376"/>
      <c r="O45" s="376"/>
      <c r="P45" s="376"/>
      <c r="Q45" s="376"/>
    </row>
    <row r="46" spans="1:17" ht="14.25" x14ac:dyDescent="0.2">
      <c r="A46" s="376"/>
      <c r="B46" s="376"/>
      <c r="C46" s="376"/>
      <c r="D46" s="376"/>
      <c r="E46" s="376"/>
      <c r="F46" s="376"/>
      <c r="G46" s="376"/>
      <c r="H46" s="376"/>
      <c r="I46" s="376"/>
      <c r="J46" s="376"/>
      <c r="K46" s="376"/>
      <c r="L46" s="376"/>
      <c r="M46" s="376"/>
      <c r="N46" s="376"/>
      <c r="O46" s="376"/>
      <c r="P46" s="376"/>
      <c r="Q46" s="376"/>
    </row>
    <row r="47" spans="1:17" ht="14.25" x14ac:dyDescent="0.2">
      <c r="B47" s="460" t="s">
        <v>616</v>
      </c>
      <c r="C47" s="460"/>
      <c r="D47" s="460"/>
      <c r="E47" s="460"/>
      <c r="F47" s="460"/>
      <c r="G47" s="460"/>
      <c r="H47" s="460"/>
      <c r="I47" s="460"/>
      <c r="J47" s="460"/>
      <c r="K47" s="460"/>
      <c r="L47" s="460"/>
      <c r="M47" s="460"/>
      <c r="N47" s="460"/>
      <c r="O47" s="460"/>
      <c r="P47" s="460"/>
      <c r="Q47" s="460"/>
    </row>
    <row r="48" spans="1:17" ht="14.25" x14ac:dyDescent="0.2">
      <c r="A48" s="376"/>
      <c r="D48" s="376"/>
      <c r="E48" s="461" t="s">
        <v>617</v>
      </c>
      <c r="F48" s="376">
        <v>40</v>
      </c>
      <c r="G48" s="376" t="s">
        <v>618</v>
      </c>
      <c r="H48" s="376"/>
      <c r="I48" s="376"/>
      <c r="J48" s="376"/>
      <c r="K48" s="376"/>
      <c r="L48" s="376"/>
      <c r="M48" s="376"/>
      <c r="N48" s="376"/>
      <c r="O48" s="376"/>
      <c r="P48" s="376"/>
      <c r="Q48" s="376"/>
    </row>
    <row r="49" spans="1:18" ht="14.25" customHeight="1" x14ac:dyDescent="0.2">
      <c r="A49" s="376"/>
      <c r="D49" s="376"/>
      <c r="E49" s="461" t="s">
        <v>619</v>
      </c>
      <c r="F49" s="376">
        <v>205</v>
      </c>
      <c r="G49" s="376" t="s">
        <v>618</v>
      </c>
      <c r="H49" s="1390" t="s">
        <v>620</v>
      </c>
      <c r="I49" s="1390"/>
      <c r="J49" s="1390"/>
      <c r="K49" s="1390"/>
      <c r="L49" s="1390"/>
      <c r="M49" s="1390"/>
      <c r="N49" s="1390"/>
      <c r="O49" s="1390"/>
      <c r="P49" s="1390"/>
      <c r="Q49" s="1390"/>
    </row>
    <row r="50" spans="1:18" ht="47.25" customHeight="1" x14ac:dyDescent="0.2">
      <c r="A50" s="462"/>
      <c r="D50" s="462"/>
      <c r="E50" s="463" t="s">
        <v>621</v>
      </c>
      <c r="F50" s="464">
        <f>F48/F49</f>
        <v>0.1951219512195122</v>
      </c>
      <c r="G50" s="462"/>
      <c r="H50" s="1383" t="s">
        <v>622</v>
      </c>
      <c r="I50" s="1383"/>
      <c r="J50" s="1383"/>
      <c r="K50" s="1383"/>
      <c r="L50" s="1383"/>
      <c r="M50" s="1383"/>
      <c r="N50" s="1383"/>
      <c r="O50" s="1383"/>
      <c r="P50" s="1383"/>
      <c r="Q50" s="1383"/>
    </row>
    <row r="51" spans="1:18" ht="16.5" x14ac:dyDescent="0.2">
      <c r="A51" s="376"/>
      <c r="D51" s="376"/>
      <c r="E51" s="461" t="s">
        <v>623</v>
      </c>
      <c r="F51" s="465">
        <v>3370</v>
      </c>
      <c r="G51" s="376" t="s">
        <v>577</v>
      </c>
      <c r="H51" s="376" t="s">
        <v>624</v>
      </c>
      <c r="I51" s="376"/>
      <c r="J51" s="376"/>
      <c r="K51" s="376"/>
      <c r="L51" s="376"/>
      <c r="M51" s="376"/>
      <c r="N51" s="376"/>
      <c r="O51" s="376"/>
      <c r="P51" s="376"/>
      <c r="Q51" s="376"/>
    </row>
    <row r="52" spans="1:18" ht="14.25" x14ac:dyDescent="0.2">
      <c r="A52" s="376"/>
      <c r="B52" s="376"/>
      <c r="C52" s="376"/>
      <c r="D52" s="376"/>
      <c r="E52" s="376"/>
      <c r="F52" s="376"/>
      <c r="G52" s="376"/>
      <c r="H52" s="376"/>
      <c r="I52" s="376"/>
      <c r="J52" s="376"/>
      <c r="K52" s="376"/>
      <c r="L52" s="376"/>
      <c r="M52" s="376"/>
      <c r="N52" s="376"/>
      <c r="O52" s="376"/>
      <c r="P52" s="376"/>
      <c r="Q52" s="376"/>
    </row>
    <row r="53" spans="1:18" ht="14.25" x14ac:dyDescent="0.2">
      <c r="B53" s="376" t="s">
        <v>625</v>
      </c>
      <c r="C53" s="376"/>
      <c r="D53" s="376"/>
      <c r="E53" s="376"/>
      <c r="F53" s="376"/>
      <c r="G53" s="376"/>
      <c r="H53" s="376"/>
      <c r="I53" s="376"/>
      <c r="J53" s="376"/>
      <c r="K53" s="376"/>
      <c r="L53" s="376"/>
      <c r="M53" s="376"/>
      <c r="N53" s="376"/>
      <c r="O53" s="376"/>
      <c r="P53" s="376"/>
      <c r="Q53" s="376"/>
    </row>
    <row r="54" spans="1:18" ht="14.25" customHeight="1" x14ac:dyDescent="0.2">
      <c r="A54" s="466"/>
      <c r="C54" s="1391" t="s">
        <v>626</v>
      </c>
      <c r="D54" s="1391"/>
      <c r="E54" s="1391"/>
      <c r="F54" s="1391"/>
      <c r="G54" s="1391"/>
      <c r="H54" s="1391"/>
      <c r="I54" s="1391"/>
      <c r="J54" s="1391"/>
      <c r="K54" s="1391"/>
      <c r="L54" s="1391"/>
      <c r="M54" s="1391"/>
      <c r="N54" s="1391"/>
      <c r="O54" s="1391"/>
      <c r="P54" s="1391"/>
      <c r="Q54" s="1391"/>
      <c r="R54" s="467"/>
    </row>
    <row r="55" spans="1:18" ht="14.25" x14ac:dyDescent="0.2">
      <c r="A55" s="376"/>
      <c r="B55" s="376"/>
      <c r="C55" s="376"/>
      <c r="D55" s="376"/>
      <c r="E55" s="376"/>
      <c r="F55" s="376"/>
      <c r="G55" s="376"/>
      <c r="H55" s="376"/>
      <c r="I55" s="376"/>
      <c r="J55" s="376"/>
      <c r="K55" s="376"/>
      <c r="L55" s="376"/>
      <c r="M55" s="376"/>
      <c r="N55" s="376"/>
      <c r="O55" s="376"/>
      <c r="P55" s="376"/>
      <c r="Q55" s="376"/>
    </row>
    <row r="56" spans="1:18" ht="14.25" x14ac:dyDescent="0.2">
      <c r="A56" s="376"/>
      <c r="B56" s="376"/>
      <c r="D56" s="376"/>
      <c r="E56" s="468" t="s">
        <v>627</v>
      </c>
      <c r="F56" s="376"/>
      <c r="G56" s="376"/>
      <c r="H56" s="376"/>
      <c r="I56" s="376"/>
      <c r="J56" s="376"/>
      <c r="K56" s="376"/>
      <c r="L56" s="376"/>
      <c r="M56" s="376"/>
      <c r="N56" s="376"/>
      <c r="O56" s="376"/>
      <c r="P56" s="376"/>
      <c r="Q56" s="376"/>
    </row>
    <row r="57" spans="1:18" ht="18.75" x14ac:dyDescent="0.35">
      <c r="A57" s="376"/>
      <c r="B57" s="376"/>
      <c r="D57" s="376"/>
      <c r="E57" s="468" t="s">
        <v>628</v>
      </c>
      <c r="F57" s="376"/>
      <c r="G57" s="376"/>
      <c r="H57" s="376"/>
      <c r="I57" s="376"/>
      <c r="J57" s="376"/>
      <c r="K57" s="376"/>
      <c r="L57" s="376"/>
      <c r="M57" s="376"/>
      <c r="N57" s="376"/>
      <c r="O57" s="376"/>
      <c r="P57" s="376"/>
      <c r="Q57" s="376"/>
    </row>
    <row r="58" spans="1:18" ht="14.25" x14ac:dyDescent="0.2">
      <c r="A58" s="376"/>
      <c r="B58" s="376"/>
      <c r="D58" s="460"/>
      <c r="E58" s="468" t="s">
        <v>629</v>
      </c>
      <c r="F58" s="376"/>
      <c r="G58" s="376"/>
      <c r="H58" s="376"/>
      <c r="I58" s="376"/>
      <c r="J58" s="376"/>
      <c r="K58" s="376"/>
      <c r="L58" s="376"/>
      <c r="M58" s="376"/>
      <c r="N58" s="376"/>
      <c r="O58" s="376"/>
      <c r="P58" s="376"/>
      <c r="Q58" s="376"/>
    </row>
    <row r="59" spans="1:18" ht="14.25" x14ac:dyDescent="0.2">
      <c r="A59" s="376"/>
      <c r="B59" s="376"/>
      <c r="C59" s="376"/>
      <c r="D59" s="376"/>
      <c r="E59" s="376"/>
      <c r="F59" s="376"/>
      <c r="G59" s="376"/>
      <c r="H59" s="376"/>
      <c r="I59" s="376"/>
      <c r="J59" s="376"/>
      <c r="K59" s="376"/>
      <c r="L59" s="376"/>
      <c r="M59" s="376"/>
      <c r="N59" s="376"/>
      <c r="O59" s="376"/>
      <c r="P59" s="376"/>
      <c r="Q59" s="376"/>
    </row>
    <row r="60" spans="1:18" ht="14.25" x14ac:dyDescent="0.2">
      <c r="A60" s="376"/>
      <c r="B60" s="376"/>
      <c r="C60" s="376"/>
      <c r="D60" s="376" t="s">
        <v>630</v>
      </c>
      <c r="E60" s="376" t="s">
        <v>631</v>
      </c>
      <c r="F60" s="376"/>
      <c r="G60" s="376"/>
      <c r="H60" s="376"/>
      <c r="I60" s="376"/>
      <c r="J60" s="376"/>
      <c r="K60" s="376"/>
      <c r="L60" s="376"/>
      <c r="M60" s="376"/>
      <c r="N60" s="376"/>
      <c r="O60" s="376"/>
      <c r="P60" s="376"/>
      <c r="Q60" s="376"/>
    </row>
    <row r="61" spans="1:18" ht="14.25" x14ac:dyDescent="0.2">
      <c r="A61" s="376"/>
      <c r="B61" s="376"/>
      <c r="C61" s="376"/>
      <c r="D61" s="376"/>
      <c r="E61" s="376" t="s">
        <v>632</v>
      </c>
      <c r="F61" s="376"/>
      <c r="G61" s="376"/>
      <c r="H61" s="376"/>
      <c r="I61" s="376"/>
      <c r="J61" s="376"/>
      <c r="K61" s="376"/>
      <c r="L61" s="376"/>
      <c r="M61" s="376"/>
      <c r="N61" s="376"/>
      <c r="O61" s="376"/>
      <c r="P61" s="376"/>
      <c r="Q61" s="376"/>
    </row>
    <row r="62" spans="1:18" ht="18.75" x14ac:dyDescent="0.35">
      <c r="A62" s="376"/>
      <c r="B62" s="376"/>
      <c r="C62" s="376"/>
      <c r="D62" s="376"/>
      <c r="E62" s="376" t="s">
        <v>633</v>
      </c>
      <c r="F62" s="376"/>
      <c r="G62" s="376"/>
      <c r="H62" s="376"/>
      <c r="I62" s="376"/>
      <c r="J62" s="376"/>
      <c r="K62" s="376"/>
      <c r="L62" s="376"/>
      <c r="M62" s="376"/>
      <c r="N62" s="376"/>
      <c r="O62" s="376"/>
      <c r="P62" s="376"/>
      <c r="Q62" s="376"/>
    </row>
    <row r="63" spans="1:18" ht="14.25" x14ac:dyDescent="0.2">
      <c r="A63" s="376"/>
      <c r="B63" s="376"/>
      <c r="C63" s="376"/>
      <c r="D63" s="376"/>
      <c r="E63" s="376"/>
      <c r="F63" s="376"/>
      <c r="G63" s="376"/>
      <c r="H63" s="376"/>
      <c r="I63" s="376"/>
      <c r="J63" s="376"/>
      <c r="K63" s="376"/>
      <c r="L63" s="376"/>
      <c r="M63" s="376"/>
      <c r="N63" s="376"/>
      <c r="O63" s="376"/>
      <c r="P63" s="376"/>
      <c r="Q63" s="376"/>
    </row>
    <row r="64" spans="1:18" ht="14.25" x14ac:dyDescent="0.2">
      <c r="B64" s="376" t="s">
        <v>634</v>
      </c>
      <c r="C64" s="376"/>
      <c r="D64" s="376"/>
      <c r="E64" s="376"/>
      <c r="F64" s="376"/>
      <c r="G64" s="376"/>
      <c r="H64" s="376"/>
      <c r="I64" s="376"/>
      <c r="J64" s="376"/>
      <c r="K64" s="376"/>
      <c r="L64" s="376"/>
      <c r="M64" s="376"/>
      <c r="N64" s="376"/>
      <c r="O64" s="376"/>
      <c r="P64" s="376"/>
      <c r="Q64" s="376"/>
    </row>
    <row r="65" spans="1:17" ht="14.25" x14ac:dyDescent="0.2">
      <c r="A65" s="376"/>
      <c r="C65" s="376" t="s">
        <v>635</v>
      </c>
      <c r="D65" s="376"/>
      <c r="E65" s="376"/>
      <c r="F65" s="376"/>
      <c r="G65" s="376"/>
      <c r="H65" s="376"/>
      <c r="I65" s="376"/>
      <c r="J65" s="376"/>
      <c r="K65" s="376"/>
      <c r="L65" s="376"/>
      <c r="M65" s="376"/>
      <c r="N65" s="376"/>
      <c r="O65" s="376"/>
      <c r="P65" s="376"/>
      <c r="Q65" s="376"/>
    </row>
    <row r="66" spans="1:17" ht="14.25" x14ac:dyDescent="0.2">
      <c r="A66" s="376"/>
      <c r="B66" s="376"/>
      <c r="C66" s="376"/>
      <c r="D66" s="376"/>
      <c r="E66" s="376"/>
      <c r="F66" s="376"/>
      <c r="G66" s="376"/>
      <c r="H66" s="376"/>
      <c r="I66" s="376"/>
      <c r="J66" s="376"/>
      <c r="K66" s="376"/>
      <c r="L66" s="376"/>
      <c r="M66" s="376"/>
      <c r="N66" s="376"/>
      <c r="O66" s="376"/>
      <c r="P66" s="376"/>
      <c r="Q66" s="376"/>
    </row>
    <row r="67" spans="1:17" ht="18.75" x14ac:dyDescent="0.35">
      <c r="A67" s="376"/>
      <c r="B67" s="376"/>
      <c r="D67" s="376"/>
      <c r="E67" s="376" t="s">
        <v>636</v>
      </c>
      <c r="F67" s="376"/>
      <c r="G67" s="376"/>
      <c r="H67" s="376"/>
      <c r="I67" s="376"/>
      <c r="J67" s="376"/>
      <c r="K67" s="376"/>
      <c r="L67" s="376"/>
      <c r="M67" s="376"/>
      <c r="N67" s="376"/>
      <c r="O67" s="376"/>
      <c r="P67" s="376"/>
      <c r="Q67" s="376"/>
    </row>
    <row r="68" spans="1:17" ht="18.75" x14ac:dyDescent="0.35">
      <c r="A68" s="376"/>
      <c r="B68" s="376"/>
      <c r="D68" s="376"/>
      <c r="E68" s="376" t="s">
        <v>637</v>
      </c>
      <c r="F68" s="376"/>
      <c r="G68" s="376"/>
      <c r="H68" s="376"/>
      <c r="I68" s="376"/>
      <c r="J68" s="376"/>
      <c r="K68" s="376"/>
      <c r="L68" s="376"/>
      <c r="M68" s="376"/>
      <c r="N68" s="376"/>
      <c r="O68" s="376"/>
      <c r="P68" s="376"/>
      <c r="Q68" s="376"/>
    </row>
    <row r="69" spans="1:17" ht="14.25" x14ac:dyDescent="0.2">
      <c r="A69" s="376"/>
      <c r="B69" s="376"/>
      <c r="C69" s="376"/>
      <c r="D69" s="376"/>
      <c r="E69" s="376"/>
      <c r="F69" s="376"/>
      <c r="G69" s="376"/>
      <c r="H69" s="376"/>
      <c r="I69" s="376"/>
      <c r="J69" s="376"/>
      <c r="K69" s="376"/>
      <c r="L69" s="376"/>
      <c r="M69" s="376"/>
      <c r="N69" s="376"/>
      <c r="O69" s="376"/>
      <c r="P69" s="376"/>
      <c r="Q69" s="376"/>
    </row>
    <row r="70" spans="1:17" ht="14.25" x14ac:dyDescent="0.2">
      <c r="A70" s="376"/>
      <c r="B70" s="376"/>
      <c r="C70" s="376"/>
      <c r="D70" s="376" t="s">
        <v>630</v>
      </c>
      <c r="E70" s="376" t="s">
        <v>638</v>
      </c>
      <c r="F70" s="376"/>
      <c r="G70" s="376"/>
      <c r="H70" s="376"/>
      <c r="I70" s="376"/>
      <c r="J70" s="376"/>
      <c r="K70" s="376"/>
      <c r="L70" s="376"/>
      <c r="M70" s="376"/>
      <c r="N70" s="376"/>
      <c r="O70" s="376"/>
      <c r="P70" s="376"/>
      <c r="Q70" s="376"/>
    </row>
    <row r="71" spans="1:17" ht="18.75" x14ac:dyDescent="0.35">
      <c r="A71" s="376"/>
      <c r="B71" s="376"/>
      <c r="C71" s="376"/>
      <c r="D71" s="376"/>
      <c r="E71" s="376" t="s">
        <v>639</v>
      </c>
      <c r="F71" s="376"/>
      <c r="G71" s="376"/>
      <c r="H71" s="376"/>
      <c r="I71" s="376"/>
      <c r="J71" s="376"/>
      <c r="K71" s="376"/>
      <c r="L71" s="376"/>
      <c r="M71" s="376"/>
      <c r="N71" s="376"/>
      <c r="O71" s="376"/>
      <c r="P71" s="376"/>
      <c r="Q71" s="376"/>
    </row>
    <row r="72" spans="1:17" ht="14.25" x14ac:dyDescent="0.2">
      <c r="A72" s="376"/>
      <c r="B72" s="376"/>
      <c r="C72" s="376"/>
      <c r="D72" s="376"/>
      <c r="E72" s="376"/>
      <c r="F72" s="376"/>
      <c r="G72" s="376"/>
      <c r="H72" s="376"/>
      <c r="I72" s="376"/>
      <c r="J72" s="376"/>
      <c r="K72" s="376"/>
      <c r="L72" s="376"/>
      <c r="M72" s="376"/>
      <c r="N72" s="376"/>
      <c r="O72" s="376"/>
      <c r="P72" s="376"/>
      <c r="Q72" s="376"/>
    </row>
    <row r="73" spans="1:17" ht="14.25" x14ac:dyDescent="0.2">
      <c r="B73" s="376" t="s">
        <v>640</v>
      </c>
      <c r="C73" s="376"/>
      <c r="D73" s="376"/>
      <c r="E73" s="376"/>
      <c r="F73" s="376"/>
      <c r="G73" s="376"/>
      <c r="H73" s="376"/>
      <c r="I73" s="376"/>
      <c r="J73" s="376"/>
      <c r="K73" s="376"/>
      <c r="L73" s="376"/>
      <c r="M73" s="376"/>
      <c r="N73" s="376"/>
      <c r="O73" s="376"/>
      <c r="P73" s="376"/>
      <c r="Q73" s="376"/>
    </row>
    <row r="74" spans="1:17" ht="14.25" x14ac:dyDescent="0.2">
      <c r="A74" s="376"/>
      <c r="C74" s="376" t="s">
        <v>641</v>
      </c>
      <c r="D74" s="376"/>
      <c r="E74" s="376"/>
      <c r="F74" s="376"/>
      <c r="G74" s="376"/>
      <c r="H74" s="376"/>
      <c r="I74" s="376"/>
      <c r="J74" s="376"/>
      <c r="K74" s="376"/>
      <c r="L74" s="376"/>
      <c r="M74" s="376"/>
      <c r="N74" s="376"/>
      <c r="O74" s="376"/>
      <c r="P74" s="376"/>
      <c r="Q74" s="376"/>
    </row>
    <row r="75" spans="1:17" ht="14.25" x14ac:dyDescent="0.2">
      <c r="A75" s="376"/>
      <c r="B75" s="376"/>
      <c r="C75" s="376"/>
      <c r="D75" s="376"/>
      <c r="E75" s="376"/>
      <c r="F75" s="376"/>
      <c r="G75" s="376"/>
      <c r="H75" s="376"/>
      <c r="I75" s="376"/>
      <c r="J75" s="376"/>
      <c r="K75" s="376"/>
      <c r="L75" s="376"/>
      <c r="M75" s="376"/>
      <c r="N75" s="376"/>
      <c r="O75" s="376"/>
      <c r="P75" s="376"/>
      <c r="Q75" s="376"/>
    </row>
    <row r="76" spans="1:17" ht="18.75" x14ac:dyDescent="0.35">
      <c r="A76" s="376"/>
      <c r="B76" s="376"/>
      <c r="E76" s="376" t="s">
        <v>642</v>
      </c>
      <c r="F76" s="376"/>
      <c r="G76" s="376" t="s">
        <v>643</v>
      </c>
      <c r="H76" s="376"/>
      <c r="I76" s="376"/>
      <c r="J76" s="376"/>
      <c r="K76" s="376"/>
      <c r="L76" s="376"/>
      <c r="M76" s="376"/>
      <c r="N76" s="376"/>
      <c r="O76" s="376"/>
      <c r="P76" s="376"/>
      <c r="Q76" s="376"/>
    </row>
    <row r="77" spans="1:17" ht="14.25" x14ac:dyDescent="0.2">
      <c r="A77" s="376"/>
      <c r="B77" s="376"/>
      <c r="C77" s="376"/>
      <c r="D77" s="376"/>
      <c r="E77" s="376"/>
      <c r="F77" s="376"/>
      <c r="G77" s="376"/>
      <c r="H77" s="376"/>
      <c r="I77" s="376"/>
      <c r="J77" s="376"/>
      <c r="K77" s="376"/>
      <c r="L77" s="376"/>
      <c r="M77" s="376"/>
      <c r="N77" s="376"/>
      <c r="O77" s="376"/>
      <c r="P77" s="376"/>
      <c r="Q77" s="376"/>
    </row>
    <row r="78" spans="1:17" ht="14.25" x14ac:dyDescent="0.2">
      <c r="A78" s="376"/>
      <c r="B78" s="376"/>
      <c r="C78" s="376"/>
      <c r="D78" s="376" t="s">
        <v>630</v>
      </c>
      <c r="E78" s="376" t="s">
        <v>644</v>
      </c>
      <c r="F78" s="376"/>
      <c r="G78" s="376"/>
      <c r="H78" s="376"/>
      <c r="I78" s="376"/>
      <c r="J78" s="376"/>
      <c r="K78" s="376"/>
      <c r="L78" s="376"/>
      <c r="M78" s="376"/>
      <c r="N78" s="376"/>
      <c r="O78" s="376"/>
      <c r="P78" s="376"/>
      <c r="Q78" s="376"/>
    </row>
    <row r="79" spans="1:17" ht="14.25" x14ac:dyDescent="0.2">
      <c r="A79" s="376"/>
      <c r="B79" s="376"/>
      <c r="C79" s="376"/>
      <c r="D79" s="376"/>
      <c r="E79" s="376" t="s">
        <v>645</v>
      </c>
      <c r="F79" s="376"/>
      <c r="G79" s="376"/>
      <c r="H79" s="376"/>
      <c r="I79" s="376"/>
      <c r="J79" s="376"/>
      <c r="K79" s="376"/>
      <c r="L79" s="376"/>
      <c r="M79" s="376"/>
      <c r="N79" s="376"/>
      <c r="O79" s="376"/>
      <c r="P79" s="376"/>
      <c r="Q79" s="376"/>
    </row>
    <row r="80" spans="1:17" ht="14.25" x14ac:dyDescent="0.2">
      <c r="A80" s="376"/>
      <c r="B80" s="376"/>
      <c r="C80" s="376"/>
      <c r="D80" s="376"/>
      <c r="E80" s="376" t="s">
        <v>646</v>
      </c>
      <c r="F80" s="376"/>
      <c r="G80" s="376"/>
      <c r="H80" s="376"/>
      <c r="I80" s="376"/>
      <c r="J80" s="376"/>
      <c r="K80" s="376"/>
      <c r="L80" s="376"/>
      <c r="M80" s="376"/>
      <c r="N80" s="376"/>
      <c r="O80" s="376"/>
      <c r="P80" s="376"/>
      <c r="Q80" s="376"/>
    </row>
    <row r="81" spans="1:17" ht="18.75" x14ac:dyDescent="0.35">
      <c r="A81" s="376"/>
      <c r="B81" s="376"/>
      <c r="C81" s="376"/>
      <c r="D81" s="376"/>
      <c r="E81" s="376" t="s">
        <v>647</v>
      </c>
      <c r="F81" s="376"/>
      <c r="G81" s="376"/>
      <c r="H81" s="376"/>
      <c r="I81" s="469"/>
      <c r="J81" s="376"/>
      <c r="K81" s="376"/>
      <c r="L81" s="376"/>
      <c r="M81" s="376"/>
      <c r="N81" s="376"/>
      <c r="O81" s="376"/>
      <c r="P81" s="376"/>
      <c r="Q81" s="376"/>
    </row>
    <row r="82" spans="1:17" ht="14.25" x14ac:dyDescent="0.2">
      <c r="A82" s="376"/>
      <c r="B82" s="376"/>
      <c r="C82" s="376"/>
      <c r="D82" s="376"/>
      <c r="E82" s="376"/>
      <c r="F82" s="376"/>
      <c r="G82" s="376"/>
      <c r="H82" s="376"/>
      <c r="I82" s="469"/>
      <c r="J82" s="376"/>
      <c r="K82" s="376"/>
      <c r="L82" s="376"/>
      <c r="M82" s="376"/>
      <c r="N82" s="376"/>
      <c r="O82" s="376"/>
      <c r="P82" s="376"/>
      <c r="Q82" s="376"/>
    </row>
    <row r="83" spans="1:17" ht="14.25" x14ac:dyDescent="0.2">
      <c r="B83" s="376" t="s">
        <v>648</v>
      </c>
      <c r="C83" s="376"/>
      <c r="D83" s="376"/>
      <c r="E83" s="376"/>
      <c r="F83" s="376"/>
      <c r="G83" s="376"/>
      <c r="H83" s="376"/>
      <c r="I83" s="469"/>
      <c r="J83" s="376"/>
      <c r="K83" s="376"/>
      <c r="L83" s="376"/>
      <c r="M83" s="376"/>
      <c r="N83" s="376"/>
      <c r="O83" s="376"/>
      <c r="P83" s="376"/>
      <c r="Q83" s="376"/>
    </row>
    <row r="84" spans="1:17" ht="14.25" x14ac:dyDescent="0.2">
      <c r="A84" s="376"/>
      <c r="C84" s="470" t="s">
        <v>649</v>
      </c>
      <c r="E84" s="376" t="s">
        <v>650</v>
      </c>
      <c r="F84" s="376"/>
      <c r="G84" s="376"/>
      <c r="H84" s="376"/>
      <c r="I84" s="469"/>
      <c r="J84" s="376"/>
      <c r="K84" s="376"/>
      <c r="L84" s="376"/>
      <c r="M84" s="376"/>
      <c r="N84" s="376"/>
      <c r="O84" s="376"/>
      <c r="P84" s="376"/>
      <c r="Q84" s="376"/>
    </row>
    <row r="85" spans="1:17" ht="14.25" x14ac:dyDescent="0.2">
      <c r="A85" s="376"/>
      <c r="C85" s="470" t="s">
        <v>651</v>
      </c>
      <c r="D85" s="470">
        <v>10</v>
      </c>
      <c r="E85" s="376" t="s">
        <v>652</v>
      </c>
      <c r="F85" s="376"/>
      <c r="G85" s="376"/>
      <c r="H85" s="376"/>
      <c r="I85" s="469"/>
      <c r="J85" s="376"/>
      <c r="K85" s="376"/>
      <c r="L85" s="376"/>
      <c r="M85" s="376"/>
      <c r="N85" s="376"/>
      <c r="O85" s="376"/>
      <c r="P85" s="376"/>
      <c r="Q85" s="376"/>
    </row>
    <row r="86" spans="1:17" ht="14.25" x14ac:dyDescent="0.2">
      <c r="A86" s="376"/>
      <c r="C86" s="470" t="s">
        <v>391</v>
      </c>
      <c r="D86" s="471">
        <v>215</v>
      </c>
      <c r="E86" s="376" t="s">
        <v>653</v>
      </c>
      <c r="F86" s="376"/>
      <c r="G86" s="376"/>
      <c r="H86" s="376"/>
      <c r="I86" s="469"/>
      <c r="J86" s="376"/>
      <c r="K86" s="376"/>
      <c r="L86" s="376"/>
      <c r="M86" s="376"/>
      <c r="N86" s="376"/>
      <c r="O86" s="376"/>
      <c r="P86" s="376"/>
      <c r="Q86" s="376"/>
    </row>
    <row r="87" spans="1:17" ht="14.25" x14ac:dyDescent="0.2">
      <c r="A87" s="376"/>
      <c r="C87" s="470"/>
      <c r="D87" s="471">
        <f>215/12</f>
        <v>17.916666666666668</v>
      </c>
      <c r="E87" s="472" t="s">
        <v>654</v>
      </c>
      <c r="F87" s="376"/>
      <c r="G87" s="376"/>
      <c r="H87" s="376"/>
      <c r="I87" s="469"/>
      <c r="J87" s="376"/>
      <c r="K87" s="376"/>
      <c r="L87" s="376"/>
      <c r="M87" s="376"/>
      <c r="N87" s="376"/>
      <c r="O87" s="376"/>
      <c r="P87" s="376"/>
      <c r="Q87" s="376"/>
    </row>
    <row r="88" spans="1:17" ht="14.25" x14ac:dyDescent="0.2">
      <c r="A88" s="376"/>
      <c r="B88" s="470"/>
      <c r="C88" s="470"/>
      <c r="D88" s="376"/>
      <c r="E88" s="376"/>
      <c r="F88" s="376"/>
      <c r="G88" s="376"/>
      <c r="H88" s="376"/>
      <c r="I88" s="376"/>
      <c r="J88" s="376"/>
      <c r="K88" s="376"/>
      <c r="L88" s="376"/>
      <c r="M88" s="376"/>
      <c r="N88" s="376"/>
      <c r="O88" s="376"/>
      <c r="P88" s="376"/>
      <c r="Q88" s="376"/>
    </row>
    <row r="89" spans="1:17" ht="15" thickBot="1" x14ac:dyDescent="0.25">
      <c r="A89" s="376"/>
      <c r="B89" s="376"/>
      <c r="C89" s="376"/>
      <c r="D89" s="376"/>
      <c r="E89" s="376"/>
      <c r="F89" s="376"/>
      <c r="G89" s="376"/>
      <c r="H89" s="376"/>
      <c r="I89" s="376"/>
      <c r="J89" s="376"/>
      <c r="K89" s="376"/>
      <c r="L89" s="376"/>
      <c r="M89" s="376"/>
      <c r="N89" s="376"/>
      <c r="O89" s="376"/>
      <c r="P89" s="376"/>
      <c r="Q89" s="376"/>
    </row>
    <row r="90" spans="1:17" ht="29.25" customHeight="1" thickBot="1" x14ac:dyDescent="0.25">
      <c r="A90" s="473"/>
      <c r="B90" s="473"/>
      <c r="C90" s="473"/>
      <c r="D90" s="474"/>
      <c r="E90" s="1392" t="s">
        <v>655</v>
      </c>
      <c r="F90" s="1393"/>
      <c r="G90" s="1393"/>
      <c r="H90" s="1393"/>
      <c r="I90" s="1393" t="s">
        <v>656</v>
      </c>
      <c r="J90" s="1393"/>
      <c r="K90" s="1393"/>
      <c r="L90" s="1393"/>
      <c r="M90" s="1393"/>
      <c r="N90" s="1393"/>
      <c r="O90" s="1393"/>
      <c r="P90" s="1393"/>
      <c r="Q90" s="1394"/>
    </row>
    <row r="91" spans="1:17" ht="114" x14ac:dyDescent="0.2">
      <c r="A91" s="1395" t="s">
        <v>657</v>
      </c>
      <c r="B91" s="1397" t="s">
        <v>658</v>
      </c>
      <c r="C91" s="1397"/>
      <c r="D91" s="475" t="s">
        <v>659</v>
      </c>
      <c r="E91" s="476" t="s">
        <v>660</v>
      </c>
      <c r="F91" s="476" t="s">
        <v>661</v>
      </c>
      <c r="G91" s="476" t="s">
        <v>662</v>
      </c>
      <c r="H91" s="1398" t="s">
        <v>663</v>
      </c>
      <c r="I91" s="476" t="s">
        <v>660</v>
      </c>
      <c r="J91" s="476" t="s">
        <v>661</v>
      </c>
      <c r="K91" s="476" t="s">
        <v>662</v>
      </c>
      <c r="L91" s="570"/>
      <c r="M91" s="570"/>
      <c r="N91" s="1398" t="s">
        <v>663</v>
      </c>
      <c r="O91" s="1398" t="s">
        <v>664</v>
      </c>
      <c r="P91" s="1398" t="s">
        <v>385</v>
      </c>
      <c r="Q91" s="477" t="s">
        <v>665</v>
      </c>
    </row>
    <row r="92" spans="1:17" ht="17.25" thickBot="1" x14ac:dyDescent="0.25">
      <c r="A92" s="1396"/>
      <c r="B92" s="478" t="s">
        <v>351</v>
      </c>
      <c r="C92" s="478" t="s">
        <v>666</v>
      </c>
      <c r="D92" s="478" t="s">
        <v>667</v>
      </c>
      <c r="E92" s="479" t="s">
        <v>668</v>
      </c>
      <c r="F92" s="479" t="s">
        <v>666</v>
      </c>
      <c r="G92" s="479" t="s">
        <v>666</v>
      </c>
      <c r="H92" s="1399"/>
      <c r="I92" s="479" t="s">
        <v>668</v>
      </c>
      <c r="J92" s="479" t="s">
        <v>666</v>
      </c>
      <c r="K92" s="479" t="s">
        <v>666</v>
      </c>
      <c r="L92" s="479"/>
      <c r="M92" s="479"/>
      <c r="N92" s="1399"/>
      <c r="O92" s="1399"/>
      <c r="P92" s="1399"/>
      <c r="Q92" s="480" t="s">
        <v>669</v>
      </c>
    </row>
    <row r="93" spans="1:17" ht="15" thickTop="1" x14ac:dyDescent="0.2">
      <c r="A93" s="742">
        <v>40969</v>
      </c>
      <c r="B93" s="481">
        <v>23</v>
      </c>
      <c r="C93" s="482">
        <f>B93*1609.344/3600</f>
        <v>10.281920000000001</v>
      </c>
      <c r="D93" s="483">
        <v>250</v>
      </c>
      <c r="E93" s="482">
        <v>0.3</v>
      </c>
      <c r="F93" s="481">
        <v>1.1200000000000001</v>
      </c>
      <c r="G93" s="484">
        <f>0.4*$C93/LN(1000/E93)</f>
        <v>0.50701502291023026</v>
      </c>
      <c r="H93" s="481">
        <f>IF(G93&lt;=F93,0,(58*(G93-F93)^2+25*(G93-F93)))</f>
        <v>0</v>
      </c>
      <c r="I93" s="481">
        <v>0.06</v>
      </c>
      <c r="J93" s="481">
        <v>0.62</v>
      </c>
      <c r="K93" s="484">
        <f>0.4*$C93/LN(1000/I93)</f>
        <v>0.42307352860771785</v>
      </c>
      <c r="L93" s="484"/>
      <c r="M93" s="484"/>
      <c r="N93" s="481">
        <f>IF(K93&lt;=J93,0,(58*(K93-J93)^2+25*(K93-J93)))</f>
        <v>0</v>
      </c>
      <c r="O93" s="481">
        <f>N93*$D$87</f>
        <v>0</v>
      </c>
      <c r="P93" s="485"/>
      <c r="Q93" s="486"/>
    </row>
    <row r="94" spans="1:17" ht="14.25" x14ac:dyDescent="0.2">
      <c r="A94" s="743">
        <v>41000</v>
      </c>
      <c r="B94" s="487">
        <v>32</v>
      </c>
      <c r="C94" s="488">
        <f t="shared" ref="C94:C104" si="1">B94*1609.344/3600</f>
        <v>14.30528</v>
      </c>
      <c r="D94" s="489">
        <v>320</v>
      </c>
      <c r="E94" s="488">
        <v>0.3</v>
      </c>
      <c r="F94" s="487">
        <v>1.1200000000000001</v>
      </c>
      <c r="G94" s="490">
        <f t="shared" ref="G94:G104" si="2">0.4*$C94/LN(1000/E94)</f>
        <v>0.70541220578814634</v>
      </c>
      <c r="H94" s="487">
        <f t="shared" ref="H94:H104" si="3">IF(G94&lt;=F94,0,(58*(G94-F94)^2+25*(G94-F94)))</f>
        <v>0</v>
      </c>
      <c r="I94" s="487">
        <v>0.06</v>
      </c>
      <c r="J94" s="487">
        <v>0.62</v>
      </c>
      <c r="K94" s="490">
        <f t="shared" ref="K94:K104" si="4">0.4*$C94/LN(1000/I94)</f>
        <v>0.58862403980204214</v>
      </c>
      <c r="L94" s="490"/>
      <c r="M94" s="490"/>
      <c r="N94" s="487">
        <f>IF(K94&lt;=J94,0,(58*(K94-J94)^2+25*(K94-J94)))</f>
        <v>0</v>
      </c>
      <c r="O94" s="487">
        <f t="shared" ref="O94:O104" si="5">N94*$D$87</f>
        <v>0</v>
      </c>
      <c r="P94" s="491"/>
      <c r="Q94" s="492"/>
    </row>
    <row r="95" spans="1:17" ht="14.25" x14ac:dyDescent="0.2">
      <c r="A95" s="743">
        <v>41030</v>
      </c>
      <c r="B95" s="487">
        <v>33</v>
      </c>
      <c r="C95" s="488">
        <f t="shared" si="1"/>
        <v>14.752319999999999</v>
      </c>
      <c r="D95" s="489">
        <v>140</v>
      </c>
      <c r="E95" s="488">
        <v>0.3</v>
      </c>
      <c r="F95" s="487">
        <v>1.1200000000000001</v>
      </c>
      <c r="G95" s="490">
        <f t="shared" si="2"/>
        <v>0.72745633721902592</v>
      </c>
      <c r="H95" s="487">
        <f t="shared" si="3"/>
        <v>0</v>
      </c>
      <c r="I95" s="487">
        <v>0.06</v>
      </c>
      <c r="J95" s="487">
        <v>0.62</v>
      </c>
      <c r="K95" s="490">
        <f t="shared" si="4"/>
        <v>0.60701854104585595</v>
      </c>
      <c r="L95" s="490"/>
      <c r="M95" s="490"/>
      <c r="N95" s="487">
        <f t="shared" ref="N95:N104" si="6">IF(K95&lt;=J95,0,(58*(K95-J95)^2+25*(K95-J95)))</f>
        <v>0</v>
      </c>
      <c r="O95" s="487">
        <f t="shared" si="5"/>
        <v>0</v>
      </c>
      <c r="P95" s="491"/>
      <c r="Q95" s="492"/>
    </row>
    <row r="96" spans="1:17" ht="14.25" x14ac:dyDescent="0.2">
      <c r="A96" s="743">
        <v>41061</v>
      </c>
      <c r="B96" s="487">
        <v>39</v>
      </c>
      <c r="C96" s="488">
        <f t="shared" si="1"/>
        <v>17.434560000000001</v>
      </c>
      <c r="D96" s="489">
        <v>110</v>
      </c>
      <c r="E96" s="488">
        <v>0.3</v>
      </c>
      <c r="F96" s="487">
        <v>1.1200000000000001</v>
      </c>
      <c r="G96" s="490"/>
      <c r="H96" s="487">
        <f t="shared" si="3"/>
        <v>0</v>
      </c>
      <c r="I96" s="487">
        <v>0.06</v>
      </c>
      <c r="J96" s="487">
        <v>0.62</v>
      </c>
      <c r="K96" s="490">
        <f t="shared" si="4"/>
        <v>0.71738554850873892</v>
      </c>
      <c r="L96" s="490"/>
      <c r="M96" s="490"/>
      <c r="N96" s="490">
        <f>IF(K96&lt;=J96,0,(58*(K96-J96)^2+25*(K96-J96)))</f>
        <v>2.9847075261026541</v>
      </c>
      <c r="O96" s="487">
        <f t="shared" si="5"/>
        <v>53.476009842672553</v>
      </c>
      <c r="P96" s="491"/>
      <c r="Q96" s="493"/>
    </row>
    <row r="97" spans="1:17" ht="14.25" x14ac:dyDescent="0.2">
      <c r="A97" s="743">
        <v>41091</v>
      </c>
      <c r="B97" s="487">
        <v>32</v>
      </c>
      <c r="C97" s="488">
        <f t="shared" si="1"/>
        <v>14.30528</v>
      </c>
      <c r="D97" s="489">
        <v>320</v>
      </c>
      <c r="E97" s="488">
        <v>0.3</v>
      </c>
      <c r="F97" s="487">
        <v>1.1200000000000001</v>
      </c>
      <c r="G97" s="490">
        <f t="shared" si="2"/>
        <v>0.70541220578814634</v>
      </c>
      <c r="H97" s="487">
        <f t="shared" si="3"/>
        <v>0</v>
      </c>
      <c r="I97" s="487">
        <v>0.06</v>
      </c>
      <c r="J97" s="487">
        <v>0.62</v>
      </c>
      <c r="K97" s="490">
        <f t="shared" si="4"/>
        <v>0.58862403980204214</v>
      </c>
      <c r="L97" s="490"/>
      <c r="M97" s="490"/>
      <c r="N97" s="487">
        <f t="shared" si="6"/>
        <v>0</v>
      </c>
      <c r="O97" s="487">
        <f t="shared" si="5"/>
        <v>0</v>
      </c>
      <c r="P97" s="491"/>
      <c r="Q97" s="492"/>
    </row>
    <row r="98" spans="1:17" ht="14.25" x14ac:dyDescent="0.2">
      <c r="A98" s="743">
        <v>41122</v>
      </c>
      <c r="B98" s="487">
        <v>33</v>
      </c>
      <c r="C98" s="488">
        <f>B98*1609.344/3600</f>
        <v>14.752319999999999</v>
      </c>
      <c r="D98" s="489">
        <v>260</v>
      </c>
      <c r="E98" s="488">
        <v>0.3</v>
      </c>
      <c r="F98" s="487">
        <v>1.1200000000000001</v>
      </c>
      <c r="G98" s="490">
        <f t="shared" si="2"/>
        <v>0.72745633721902592</v>
      </c>
      <c r="H98" s="487">
        <f t="shared" si="3"/>
        <v>0</v>
      </c>
      <c r="I98" s="487">
        <v>0.06</v>
      </c>
      <c r="J98" s="487">
        <v>0.62</v>
      </c>
      <c r="K98" s="490">
        <f t="shared" si="4"/>
        <v>0.60701854104585595</v>
      </c>
      <c r="L98" s="490"/>
      <c r="M98" s="490"/>
      <c r="N98" s="487">
        <f t="shared" si="6"/>
        <v>0</v>
      </c>
      <c r="O98" s="487">
        <f t="shared" si="5"/>
        <v>0</v>
      </c>
      <c r="P98" s="491"/>
      <c r="Q98" s="492"/>
    </row>
    <row r="99" spans="1:17" ht="14.25" x14ac:dyDescent="0.2">
      <c r="A99" s="743">
        <v>41153</v>
      </c>
      <c r="B99" s="487">
        <v>31</v>
      </c>
      <c r="C99" s="488">
        <f t="shared" si="1"/>
        <v>13.85824</v>
      </c>
      <c r="D99" s="489">
        <v>240</v>
      </c>
      <c r="E99" s="488">
        <v>0.3</v>
      </c>
      <c r="F99" s="487">
        <v>1.1200000000000001</v>
      </c>
      <c r="G99" s="490">
        <f t="shared" si="2"/>
        <v>0.68336807435726687</v>
      </c>
      <c r="H99" s="487">
        <f t="shared" si="3"/>
        <v>0</v>
      </c>
      <c r="I99" s="487">
        <v>0.06</v>
      </c>
      <c r="J99" s="487">
        <v>0.62</v>
      </c>
      <c r="K99" s="490">
        <f t="shared" si="4"/>
        <v>0.57022953855822833</v>
      </c>
      <c r="L99" s="490"/>
      <c r="M99" s="490"/>
      <c r="N99" s="487">
        <f t="shared" si="6"/>
        <v>0</v>
      </c>
      <c r="O99" s="487">
        <f t="shared" si="5"/>
        <v>0</v>
      </c>
      <c r="P99" s="491"/>
      <c r="Q99" s="492"/>
    </row>
    <row r="100" spans="1:17" ht="14.25" x14ac:dyDescent="0.2">
      <c r="A100" s="743">
        <v>41183</v>
      </c>
      <c r="B100" s="487">
        <v>28</v>
      </c>
      <c r="C100" s="488">
        <f t="shared" si="1"/>
        <v>12.51712</v>
      </c>
      <c r="D100" s="489">
        <v>60</v>
      </c>
      <c r="E100" s="488">
        <v>0.3</v>
      </c>
      <c r="F100" s="487">
        <v>1.1200000000000001</v>
      </c>
      <c r="G100" s="490">
        <f t="shared" si="2"/>
        <v>0.61723568006462814</v>
      </c>
      <c r="H100" s="487">
        <f t="shared" si="3"/>
        <v>0</v>
      </c>
      <c r="I100" s="487">
        <v>0.06</v>
      </c>
      <c r="J100" s="487">
        <v>0.62</v>
      </c>
      <c r="K100" s="490">
        <f t="shared" si="4"/>
        <v>0.5150460348267869</v>
      </c>
      <c r="L100" s="490"/>
      <c r="M100" s="490"/>
      <c r="N100" s="487">
        <f t="shared" si="6"/>
        <v>0</v>
      </c>
      <c r="O100" s="487">
        <f t="shared" si="5"/>
        <v>0</v>
      </c>
      <c r="P100" s="491"/>
      <c r="Q100" s="492"/>
    </row>
    <row r="101" spans="1:17" ht="14.25" x14ac:dyDescent="0.2">
      <c r="A101" s="743">
        <v>41214</v>
      </c>
      <c r="B101" s="487">
        <v>24</v>
      </c>
      <c r="C101" s="488">
        <f t="shared" si="1"/>
        <v>10.728960000000001</v>
      </c>
      <c r="D101" s="489">
        <v>30</v>
      </c>
      <c r="E101" s="488">
        <v>0.3</v>
      </c>
      <c r="F101" s="487">
        <v>1.1200000000000001</v>
      </c>
      <c r="G101" s="490">
        <f t="shared" si="2"/>
        <v>0.52905915434110984</v>
      </c>
      <c r="H101" s="487">
        <f t="shared" si="3"/>
        <v>0</v>
      </c>
      <c r="I101" s="487">
        <v>0.06</v>
      </c>
      <c r="J101" s="487">
        <v>0.62</v>
      </c>
      <c r="K101" s="490">
        <f t="shared" si="4"/>
        <v>0.44146802985153161</v>
      </c>
      <c r="L101" s="490"/>
      <c r="M101" s="490"/>
      <c r="N101" s="487">
        <f t="shared" si="6"/>
        <v>0</v>
      </c>
      <c r="O101" s="487">
        <f t="shared" si="5"/>
        <v>0</v>
      </c>
      <c r="P101" s="491"/>
      <c r="Q101" s="492"/>
    </row>
    <row r="102" spans="1:17" ht="14.25" x14ac:dyDescent="0.2">
      <c r="A102" s="743">
        <v>41244</v>
      </c>
      <c r="B102" s="487">
        <v>26</v>
      </c>
      <c r="C102" s="488">
        <f t="shared" si="1"/>
        <v>11.623040000000001</v>
      </c>
      <c r="D102" s="489">
        <v>270</v>
      </c>
      <c r="E102" s="488">
        <v>0.3</v>
      </c>
      <c r="F102" s="487">
        <v>1.1200000000000001</v>
      </c>
      <c r="G102" s="490">
        <f t="shared" si="2"/>
        <v>0.57314741720286899</v>
      </c>
      <c r="H102" s="487">
        <f t="shared" si="3"/>
        <v>0</v>
      </c>
      <c r="I102" s="487">
        <v>0.06</v>
      </c>
      <c r="J102" s="487">
        <v>0.62</v>
      </c>
      <c r="K102" s="490">
        <f t="shared" si="4"/>
        <v>0.47825703233915934</v>
      </c>
      <c r="L102" s="490"/>
      <c r="M102" s="490"/>
      <c r="N102" s="487">
        <f t="shared" si="6"/>
        <v>0</v>
      </c>
      <c r="O102" s="487">
        <f t="shared" si="5"/>
        <v>0</v>
      </c>
      <c r="P102" s="491"/>
      <c r="Q102" s="492"/>
    </row>
    <row r="103" spans="1:17" ht="14.25" x14ac:dyDescent="0.2">
      <c r="A103" s="743">
        <v>41275</v>
      </c>
      <c r="B103" s="487">
        <v>28</v>
      </c>
      <c r="C103" s="488">
        <f t="shared" si="1"/>
        <v>12.51712</v>
      </c>
      <c r="D103" s="489">
        <v>270</v>
      </c>
      <c r="E103" s="488">
        <v>0.3</v>
      </c>
      <c r="F103" s="487">
        <v>1.1200000000000001</v>
      </c>
      <c r="G103" s="490">
        <f t="shared" si="2"/>
        <v>0.61723568006462814</v>
      </c>
      <c r="H103" s="487">
        <f t="shared" si="3"/>
        <v>0</v>
      </c>
      <c r="I103" s="487">
        <v>0.06</v>
      </c>
      <c r="J103" s="487">
        <v>0.62</v>
      </c>
      <c r="K103" s="490">
        <f t="shared" si="4"/>
        <v>0.5150460348267869</v>
      </c>
      <c r="L103" s="490"/>
      <c r="M103" s="490"/>
      <c r="N103" s="487">
        <f t="shared" si="6"/>
        <v>0</v>
      </c>
      <c r="O103" s="487">
        <f t="shared" si="5"/>
        <v>0</v>
      </c>
      <c r="P103" s="491"/>
      <c r="Q103" s="492"/>
    </row>
    <row r="104" spans="1:17" ht="14.25" x14ac:dyDescent="0.2">
      <c r="A104" s="743">
        <v>41306</v>
      </c>
      <c r="B104" s="487">
        <v>19</v>
      </c>
      <c r="C104" s="488">
        <f t="shared" si="1"/>
        <v>8.49376</v>
      </c>
      <c r="D104" s="489">
        <v>280</v>
      </c>
      <c r="E104" s="488">
        <v>0.3</v>
      </c>
      <c r="F104" s="487">
        <v>1.1200000000000001</v>
      </c>
      <c r="G104" s="490">
        <f t="shared" si="2"/>
        <v>0.4188384971867119</v>
      </c>
      <c r="H104" s="487">
        <f t="shared" si="3"/>
        <v>0</v>
      </c>
      <c r="I104" s="487">
        <v>0.06</v>
      </c>
      <c r="J104" s="487">
        <v>0.62</v>
      </c>
      <c r="K104" s="490">
        <f t="shared" si="4"/>
        <v>0.3494955236324625</v>
      </c>
      <c r="L104" s="490"/>
      <c r="M104" s="490"/>
      <c r="N104" s="487">
        <f t="shared" si="6"/>
        <v>0</v>
      </c>
      <c r="O104" s="487">
        <f t="shared" si="5"/>
        <v>0</v>
      </c>
      <c r="P104" s="491"/>
      <c r="Q104" s="492"/>
    </row>
    <row r="105" spans="1:17" ht="15.75" thickBot="1" x14ac:dyDescent="0.3">
      <c r="A105" s="741" t="s">
        <v>670</v>
      </c>
      <c r="B105" s="494"/>
      <c r="C105" s="495"/>
      <c r="D105" s="496"/>
      <c r="E105" s="495"/>
      <c r="F105" s="494"/>
      <c r="G105" s="497"/>
      <c r="H105" s="498">
        <f>SUM(H93:H104)</f>
        <v>0</v>
      </c>
      <c r="I105" s="494"/>
      <c r="J105" s="494"/>
      <c r="K105" s="497"/>
      <c r="L105" s="497"/>
      <c r="M105" s="497"/>
      <c r="N105" s="499">
        <f>SUM(N93:N104)</f>
        <v>2.9847075261026541</v>
      </c>
      <c r="O105" s="499">
        <f>SUM(O93:O104)</f>
        <v>53.476009842672553</v>
      </c>
      <c r="P105" s="500">
        <v>0.5</v>
      </c>
      <c r="Q105" s="501">
        <f>O105*P105</f>
        <v>26.738004921336277</v>
      </c>
    </row>
    <row r="106" spans="1:17" ht="14.25" x14ac:dyDescent="0.2">
      <c r="A106" s="502"/>
      <c r="B106" s="503"/>
      <c r="C106" s="504"/>
      <c r="D106" s="505"/>
      <c r="E106" s="506"/>
      <c r="F106" s="503"/>
      <c r="G106" s="506"/>
      <c r="H106" s="503"/>
      <c r="I106" s="503"/>
      <c r="J106" s="503"/>
      <c r="K106" s="506"/>
      <c r="L106" s="506"/>
      <c r="M106" s="506"/>
      <c r="N106" s="503"/>
      <c r="O106" s="376"/>
      <c r="P106" s="376"/>
      <c r="Q106" s="376"/>
    </row>
    <row r="107" spans="1:17" ht="16.5" x14ac:dyDescent="0.2">
      <c r="A107" s="507" t="s">
        <v>671</v>
      </c>
      <c r="B107" s="503"/>
      <c r="C107" s="504"/>
      <c r="D107" s="505"/>
      <c r="E107" s="506"/>
      <c r="F107" s="503"/>
      <c r="G107" s="506"/>
      <c r="H107" s="503"/>
      <c r="I107" s="503"/>
      <c r="J107" s="503"/>
      <c r="K107" s="506"/>
      <c r="L107" s="506"/>
      <c r="M107" s="506"/>
      <c r="N107" s="503"/>
      <c r="O107" s="376"/>
      <c r="P107" s="376"/>
      <c r="Q107" s="376"/>
    </row>
    <row r="108" spans="1:17" ht="16.5" x14ac:dyDescent="0.2">
      <c r="A108" s="507" t="s">
        <v>672</v>
      </c>
      <c r="B108" s="508"/>
      <c r="C108" s="508"/>
      <c r="D108" s="508"/>
      <c r="E108" s="508"/>
      <c r="F108" s="508"/>
      <c r="G108" s="508"/>
      <c r="H108" s="508"/>
      <c r="I108" s="508"/>
      <c r="J108" s="508"/>
      <c r="K108" s="508"/>
      <c r="L108" s="508"/>
      <c r="M108" s="508"/>
      <c r="N108" s="508"/>
      <c r="O108" s="508"/>
      <c r="P108" s="508"/>
      <c r="Q108" s="508"/>
    </row>
    <row r="110" spans="1:17" s="376" customFormat="1" ht="57" customHeight="1" x14ac:dyDescent="0.25">
      <c r="A110" s="1339" t="s">
        <v>751</v>
      </c>
      <c r="B110" s="1339"/>
      <c r="C110" s="1339"/>
      <c r="D110" s="1339"/>
      <c r="E110" s="1339"/>
      <c r="F110" s="1339"/>
      <c r="G110" s="1339"/>
      <c r="H110" s="1339"/>
      <c r="I110" s="1339"/>
      <c r="J110" s="1339"/>
      <c r="K110" s="1339"/>
      <c r="L110" s="1339"/>
      <c r="M110" s="1339"/>
      <c r="N110" s="1339"/>
    </row>
    <row r="111" spans="1:17" s="376" customFormat="1" ht="24.75" customHeight="1" x14ac:dyDescent="0.25">
      <c r="A111" s="932"/>
      <c r="B111" s="932"/>
      <c r="C111" s="932"/>
      <c r="D111" s="932"/>
      <c r="E111" s="932"/>
      <c r="F111" s="932"/>
      <c r="G111" s="932"/>
      <c r="H111" s="932"/>
      <c r="I111" s="932"/>
      <c r="J111" s="932"/>
      <c r="K111" s="932"/>
      <c r="L111" s="932"/>
      <c r="M111" s="932"/>
      <c r="N111" s="932"/>
    </row>
    <row r="112" spans="1:17" x14ac:dyDescent="0.2">
      <c r="A112" s="428" t="s">
        <v>997</v>
      </c>
    </row>
  </sheetData>
  <mergeCells count="37">
    <mergeCell ref="A110:N110"/>
    <mergeCell ref="C54:Q54"/>
    <mergeCell ref="E90:H90"/>
    <mergeCell ref="I90:Q90"/>
    <mergeCell ref="A91:A92"/>
    <mergeCell ref="B91:C91"/>
    <mergeCell ref="H91:H92"/>
    <mergeCell ref="N91:N92"/>
    <mergeCell ref="O91:O92"/>
    <mergeCell ref="P91:P92"/>
    <mergeCell ref="H50:Q50"/>
    <mergeCell ref="B10:E10"/>
    <mergeCell ref="F10:G10"/>
    <mergeCell ref="B11:E11"/>
    <mergeCell ref="F11:G11"/>
    <mergeCell ref="B12:E12"/>
    <mergeCell ref="F12:G12"/>
    <mergeCell ref="B13:E13"/>
    <mergeCell ref="F13:G13"/>
    <mergeCell ref="B14:E14"/>
    <mergeCell ref="F14:K14"/>
    <mergeCell ref="H49:Q49"/>
    <mergeCell ref="B7:E7"/>
    <mergeCell ref="F7:G7"/>
    <mergeCell ref="B8:E8"/>
    <mergeCell ref="F8:G8"/>
    <mergeCell ref="B9:E9"/>
    <mergeCell ref="F9:G9"/>
    <mergeCell ref="A1:O1"/>
    <mergeCell ref="A2:O2"/>
    <mergeCell ref="A4:E4"/>
    <mergeCell ref="F4:G5"/>
    <mergeCell ref="H4:I5"/>
    <mergeCell ref="J4:K5"/>
    <mergeCell ref="N4:O5"/>
    <mergeCell ref="B5:E5"/>
    <mergeCell ref="L4:M5"/>
  </mergeCells>
  <printOptions horizontalCentered="1"/>
  <pageMargins left="0.75" right="0.75" top="1" bottom="0.92" header="0.5" footer="0.63"/>
  <pageSetup scale="64" fitToHeight="3" orientation="landscape" useFirstPageNumber="1" r:id="rId1"/>
  <headerFooter alignWithMargins="0"/>
  <rowBreaks count="2" manualBreakCount="2">
    <brk id="46" max="16383" man="1"/>
    <brk id="8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113"/>
  <sheetViews>
    <sheetView view="pageLayout" topLeftCell="C1" zoomScaleNormal="100" zoomScaleSheetLayoutView="100" workbookViewId="0">
      <selection activeCell="M45" sqref="M45:M47"/>
    </sheetView>
  </sheetViews>
  <sheetFormatPr defaultColWidth="9.140625" defaultRowHeight="14.25" x14ac:dyDescent="0.2"/>
  <cols>
    <col min="1" max="1" width="9.28515625" style="125" customWidth="1"/>
    <col min="2" max="2" width="29.7109375" style="125" customWidth="1"/>
    <col min="3" max="3" width="20.5703125" style="717" customWidth="1"/>
    <col min="4" max="4" width="12.5703125" style="125" customWidth="1"/>
    <col min="5" max="6" width="10.140625" style="125" customWidth="1"/>
    <col min="7" max="7" width="16" style="125" customWidth="1"/>
    <col min="8" max="8" width="8.42578125" style="125" customWidth="1"/>
    <col min="9" max="9" width="12.140625" style="125" customWidth="1"/>
    <col min="10" max="10" width="8.42578125" style="125" customWidth="1"/>
    <col min="11" max="11" width="9" style="125" customWidth="1"/>
    <col min="12" max="12" width="11.5703125" style="287" customWidth="1"/>
    <col min="13" max="13" width="7.85546875" style="125" customWidth="1"/>
    <col min="14" max="14" width="10.140625" style="125" customWidth="1"/>
    <col min="15" max="15" width="7.7109375" style="125" customWidth="1"/>
    <col min="16" max="16" width="9.140625" style="125"/>
    <col min="17" max="17" width="10" style="125" customWidth="1"/>
    <col min="18" max="16384" width="9.140625" style="125"/>
  </cols>
  <sheetData>
    <row r="1" spans="1:22" ht="16.5" customHeight="1" x14ac:dyDescent="0.3">
      <c r="A1" s="1197" t="s">
        <v>984</v>
      </c>
      <c r="B1" s="1197"/>
      <c r="C1" s="1197"/>
      <c r="D1" s="1197"/>
      <c r="E1" s="1197"/>
      <c r="F1" s="1197"/>
      <c r="G1" s="1197"/>
      <c r="H1" s="1197"/>
      <c r="I1" s="1197"/>
      <c r="J1" s="1197"/>
      <c r="K1" s="1197"/>
      <c r="L1" s="1197"/>
      <c r="M1" s="1197"/>
      <c r="N1" s="1197"/>
      <c r="O1" s="1197"/>
    </row>
    <row r="2" spans="1:22" ht="15" customHeight="1" x14ac:dyDescent="0.25">
      <c r="A2" s="1197" t="s">
        <v>416</v>
      </c>
      <c r="B2" s="1197"/>
      <c r="C2" s="1197"/>
      <c r="D2" s="1197"/>
      <c r="E2" s="1197"/>
      <c r="F2" s="1197"/>
      <c r="G2" s="1197"/>
      <c r="H2" s="1197"/>
      <c r="I2" s="1197"/>
      <c r="J2" s="1197"/>
      <c r="K2" s="1197"/>
      <c r="L2" s="1197"/>
      <c r="M2" s="1197"/>
      <c r="N2" s="1197"/>
      <c r="O2" s="1197"/>
    </row>
    <row r="3" spans="1:22" ht="15.75" thickBot="1" x14ac:dyDescent="0.3">
      <c r="A3" s="522"/>
      <c r="B3" s="523"/>
      <c r="C3" s="712"/>
      <c r="D3" s="523"/>
      <c r="E3" s="523"/>
      <c r="F3" s="523"/>
      <c r="G3" s="523"/>
      <c r="H3" s="523"/>
      <c r="I3" s="523"/>
      <c r="J3" s="523"/>
      <c r="K3" s="523"/>
      <c r="L3" s="524"/>
      <c r="M3" s="523"/>
    </row>
    <row r="4" spans="1:22" ht="16.5" x14ac:dyDescent="0.3">
      <c r="A4" s="1198" t="s">
        <v>417</v>
      </c>
      <c r="B4" s="1011"/>
      <c r="C4" s="684"/>
      <c r="D4" s="236" t="s">
        <v>418</v>
      </c>
      <c r="E4" s="1400" t="s">
        <v>677</v>
      </c>
      <c r="F4" s="1400"/>
      <c r="G4" s="288" t="s">
        <v>488</v>
      </c>
      <c r="H4" s="289" t="s">
        <v>678</v>
      </c>
      <c r="I4" s="289"/>
      <c r="J4" s="1199" t="s">
        <v>417</v>
      </c>
      <c r="K4" s="1199"/>
      <c r="L4" s="344" t="s">
        <v>490</v>
      </c>
      <c r="M4" s="344"/>
      <c r="N4" s="1202" t="s">
        <v>378</v>
      </c>
      <c r="O4" s="1203"/>
    </row>
    <row r="5" spans="1:22" ht="16.5" x14ac:dyDescent="0.3">
      <c r="A5" s="290" t="s">
        <v>157</v>
      </c>
      <c r="B5" s="238" t="s">
        <v>420</v>
      </c>
      <c r="C5" s="685"/>
      <c r="D5" s="239" t="s">
        <v>421</v>
      </c>
      <c r="E5" s="1230" t="s">
        <v>679</v>
      </c>
      <c r="F5" s="1230"/>
      <c r="G5" s="291" t="s">
        <v>491</v>
      </c>
      <c r="H5" s="292" t="s">
        <v>492</v>
      </c>
      <c r="I5" s="292"/>
      <c r="J5" s="1230" t="s">
        <v>493</v>
      </c>
      <c r="K5" s="1230"/>
      <c r="L5" s="345" t="s">
        <v>494</v>
      </c>
      <c r="M5" s="345"/>
      <c r="N5" s="1204" t="s">
        <v>680</v>
      </c>
      <c r="O5" s="1205"/>
    </row>
    <row r="6" spans="1:22" ht="15.75" thickBot="1" x14ac:dyDescent="0.3">
      <c r="A6" s="1137" t="s">
        <v>422</v>
      </c>
      <c r="B6" s="1401"/>
      <c r="C6" s="1401"/>
      <c r="D6" s="1401"/>
      <c r="E6" s="1401"/>
      <c r="F6" s="1401"/>
      <c r="G6" s="1401"/>
      <c r="H6" s="1401"/>
      <c r="I6" s="1401"/>
      <c r="J6" s="1401"/>
      <c r="K6" s="1401"/>
      <c r="L6" s="1401"/>
      <c r="M6" s="1401"/>
      <c r="N6" s="1401"/>
      <c r="O6" s="1139"/>
    </row>
    <row r="7" spans="1:22" ht="17.25" customHeight="1" thickTop="1" thickBot="1" x14ac:dyDescent="0.25">
      <c r="A7" s="525">
        <v>1</v>
      </c>
      <c r="B7" s="510" t="s">
        <v>423</v>
      </c>
      <c r="C7" s="687"/>
      <c r="D7" s="294" t="s">
        <v>425</v>
      </c>
      <c r="E7" s="1404">
        <v>0.28000000000000003</v>
      </c>
      <c r="F7" s="1407" t="s">
        <v>681</v>
      </c>
      <c r="G7" s="1312" t="s">
        <v>894</v>
      </c>
      <c r="H7" s="526">
        <f>C$73</f>
        <v>9.8000000000000007</v>
      </c>
      <c r="I7" s="296" t="s">
        <v>682</v>
      </c>
      <c r="J7" s="1410">
        <v>336000</v>
      </c>
      <c r="K7" s="1413" t="s">
        <v>759</v>
      </c>
      <c r="L7" s="528">
        <v>8760</v>
      </c>
      <c r="M7" s="299" t="s">
        <v>426</v>
      </c>
      <c r="N7" s="300">
        <f>H$7*J$7/6/2000</f>
        <v>274.40000000000003</v>
      </c>
      <c r="O7" s="301" t="s">
        <v>497</v>
      </c>
      <c r="P7" s="340"/>
    </row>
    <row r="8" spans="1:22" ht="16.5" customHeight="1" thickTop="1" thickBot="1" x14ac:dyDescent="0.25">
      <c r="A8" s="529">
        <v>2</v>
      </c>
      <c r="B8" s="510" t="s">
        <v>427</v>
      </c>
      <c r="C8" s="687"/>
      <c r="D8" s="294" t="s">
        <v>425</v>
      </c>
      <c r="E8" s="1405"/>
      <c r="F8" s="1408"/>
      <c r="G8" s="1313"/>
      <c r="H8" s="526">
        <f t="shared" ref="H8:H12" si="0">C$73</f>
        <v>9.8000000000000007</v>
      </c>
      <c r="I8" s="302" t="s">
        <v>682</v>
      </c>
      <c r="J8" s="1411"/>
      <c r="K8" s="1414"/>
      <c r="L8" s="257">
        <v>8760</v>
      </c>
      <c r="M8" s="303" t="s">
        <v>426</v>
      </c>
      <c r="N8" s="304">
        <f t="shared" ref="N8:N12" si="1">H$7*J$7/6/2000</f>
        <v>274.40000000000003</v>
      </c>
      <c r="O8" s="305" t="s">
        <v>497</v>
      </c>
    </row>
    <row r="9" spans="1:22" ht="16.5" customHeight="1" thickTop="1" thickBot="1" x14ac:dyDescent="0.25">
      <c r="A9" s="529">
        <v>3</v>
      </c>
      <c r="B9" s="510" t="s">
        <v>429</v>
      </c>
      <c r="C9" s="687"/>
      <c r="D9" s="294" t="s">
        <v>425</v>
      </c>
      <c r="E9" s="1405"/>
      <c r="F9" s="1408"/>
      <c r="G9" s="1313"/>
      <c r="H9" s="526">
        <f t="shared" si="0"/>
        <v>9.8000000000000007</v>
      </c>
      <c r="I9" s="302" t="s">
        <v>682</v>
      </c>
      <c r="J9" s="1411"/>
      <c r="K9" s="1414"/>
      <c r="L9" s="257">
        <v>8760</v>
      </c>
      <c r="M9" s="303" t="s">
        <v>426</v>
      </c>
      <c r="N9" s="304">
        <f t="shared" si="1"/>
        <v>274.40000000000003</v>
      </c>
      <c r="O9" s="305" t="s">
        <v>497</v>
      </c>
      <c r="P9" s="307"/>
      <c r="Q9" s="307"/>
      <c r="R9" s="307"/>
      <c r="S9" s="307"/>
      <c r="T9" s="307"/>
      <c r="U9" s="307"/>
      <c r="V9" s="307"/>
    </row>
    <row r="10" spans="1:22" ht="16.5" customHeight="1" thickTop="1" thickBot="1" x14ac:dyDescent="0.25">
      <c r="A10" s="529">
        <v>4</v>
      </c>
      <c r="B10" s="510" t="s">
        <v>430</v>
      </c>
      <c r="C10" s="687"/>
      <c r="D10" s="294" t="s">
        <v>425</v>
      </c>
      <c r="E10" s="1405"/>
      <c r="F10" s="1408"/>
      <c r="G10" s="1313"/>
      <c r="H10" s="526">
        <f t="shared" si="0"/>
        <v>9.8000000000000007</v>
      </c>
      <c r="I10" s="302" t="s">
        <v>682</v>
      </c>
      <c r="J10" s="1411"/>
      <c r="K10" s="1414"/>
      <c r="L10" s="257">
        <v>8760</v>
      </c>
      <c r="M10" s="303" t="s">
        <v>426</v>
      </c>
      <c r="N10" s="304">
        <f t="shared" si="1"/>
        <v>274.40000000000003</v>
      </c>
      <c r="O10" s="305" t="s">
        <v>497</v>
      </c>
      <c r="P10" s="307"/>
      <c r="Q10" s="307"/>
      <c r="R10" s="307"/>
      <c r="S10" s="307"/>
      <c r="T10" s="307"/>
      <c r="U10" s="307"/>
      <c r="V10" s="307"/>
    </row>
    <row r="11" spans="1:22" ht="16.5" customHeight="1" thickTop="1" thickBot="1" x14ac:dyDescent="0.25">
      <c r="A11" s="529">
        <v>5</v>
      </c>
      <c r="B11" s="510" t="s">
        <v>431</v>
      </c>
      <c r="C11" s="687"/>
      <c r="D11" s="294" t="s">
        <v>425</v>
      </c>
      <c r="E11" s="1405"/>
      <c r="F11" s="1408"/>
      <c r="G11" s="1313"/>
      <c r="H11" s="526">
        <f t="shared" si="0"/>
        <v>9.8000000000000007</v>
      </c>
      <c r="I11" s="302" t="s">
        <v>682</v>
      </c>
      <c r="J11" s="1411"/>
      <c r="K11" s="1414"/>
      <c r="L11" s="257">
        <v>8760</v>
      </c>
      <c r="M11" s="303" t="s">
        <v>426</v>
      </c>
      <c r="N11" s="304">
        <f t="shared" si="1"/>
        <v>274.40000000000003</v>
      </c>
      <c r="O11" s="305" t="s">
        <v>497</v>
      </c>
      <c r="P11" s="308"/>
    </row>
    <row r="12" spans="1:22" ht="16.5" customHeight="1" thickTop="1" x14ac:dyDescent="0.2">
      <c r="A12" s="529">
        <v>6</v>
      </c>
      <c r="B12" s="510" t="s">
        <v>432</v>
      </c>
      <c r="C12" s="687"/>
      <c r="D12" s="294" t="s">
        <v>425</v>
      </c>
      <c r="E12" s="1406"/>
      <c r="F12" s="1409"/>
      <c r="G12" s="1314"/>
      <c r="H12" s="526">
        <f t="shared" si="0"/>
        <v>9.8000000000000007</v>
      </c>
      <c r="I12" s="302" t="s">
        <v>682</v>
      </c>
      <c r="J12" s="1412"/>
      <c r="K12" s="1415"/>
      <c r="L12" s="257">
        <v>8760</v>
      </c>
      <c r="M12" s="303" t="s">
        <v>426</v>
      </c>
      <c r="N12" s="304">
        <f t="shared" si="1"/>
        <v>274.40000000000003</v>
      </c>
      <c r="O12" s="305" t="s">
        <v>497</v>
      </c>
      <c r="P12" s="308"/>
    </row>
    <row r="13" spans="1:22" ht="28.5" x14ac:dyDescent="0.2">
      <c r="A13" s="529" t="s">
        <v>53</v>
      </c>
      <c r="B13" s="687" t="s">
        <v>433</v>
      </c>
      <c r="C13" s="687"/>
      <c r="D13" s="294" t="s">
        <v>49</v>
      </c>
      <c r="E13" s="1402" t="s">
        <v>49</v>
      </c>
      <c r="F13" s="1403"/>
      <c r="G13" s="269" t="s">
        <v>49</v>
      </c>
      <c r="H13" s="1402" t="s">
        <v>49</v>
      </c>
      <c r="I13" s="1403"/>
      <c r="J13" s="530">
        <v>13150</v>
      </c>
      <c r="K13" s="527" t="s">
        <v>117</v>
      </c>
      <c r="L13" s="257">
        <v>2195</v>
      </c>
      <c r="M13" s="531" t="s">
        <v>426</v>
      </c>
      <c r="N13" s="532">
        <v>0</v>
      </c>
      <c r="O13" s="533" t="s">
        <v>497</v>
      </c>
      <c r="P13" s="307"/>
      <c r="Q13" s="307"/>
      <c r="R13" s="307"/>
      <c r="S13" s="307"/>
      <c r="T13" s="307"/>
      <c r="U13" s="307"/>
      <c r="V13" s="307"/>
    </row>
    <row r="14" spans="1:22" ht="28.5" x14ac:dyDescent="0.2">
      <c r="A14" s="529" t="s">
        <v>54</v>
      </c>
      <c r="B14" s="687" t="s">
        <v>436</v>
      </c>
      <c r="C14" s="687"/>
      <c r="D14" s="294" t="s">
        <v>49</v>
      </c>
      <c r="E14" s="1402" t="s">
        <v>49</v>
      </c>
      <c r="F14" s="1403"/>
      <c r="G14" s="269" t="s">
        <v>49</v>
      </c>
      <c r="H14" s="1402" t="s">
        <v>49</v>
      </c>
      <c r="I14" s="1403"/>
      <c r="J14" s="530">
        <v>884</v>
      </c>
      <c r="K14" s="527" t="s">
        <v>117</v>
      </c>
      <c r="L14" s="257">
        <v>100</v>
      </c>
      <c r="M14" s="531" t="s">
        <v>426</v>
      </c>
      <c r="N14" s="532">
        <v>0</v>
      </c>
      <c r="O14" s="533" t="s">
        <v>497</v>
      </c>
      <c r="P14" s="307"/>
      <c r="Q14" s="307"/>
      <c r="R14" s="307"/>
      <c r="S14" s="307"/>
      <c r="T14" s="307"/>
      <c r="U14" s="307"/>
      <c r="V14" s="307"/>
    </row>
    <row r="15" spans="1:22" ht="28.5" x14ac:dyDescent="0.2">
      <c r="A15" s="529" t="s">
        <v>55</v>
      </c>
      <c r="B15" s="687" t="s">
        <v>438</v>
      </c>
      <c r="C15" s="687"/>
      <c r="D15" s="294" t="s">
        <v>49</v>
      </c>
      <c r="E15" s="1402" t="s">
        <v>49</v>
      </c>
      <c r="F15" s="1403"/>
      <c r="G15" s="269" t="s">
        <v>49</v>
      </c>
      <c r="H15" s="1402" t="s">
        <v>49</v>
      </c>
      <c r="I15" s="1403"/>
      <c r="J15" s="530">
        <v>9250</v>
      </c>
      <c r="K15" s="527" t="s">
        <v>117</v>
      </c>
      <c r="L15" s="257">
        <v>45</v>
      </c>
      <c r="M15" s="531" t="s">
        <v>426</v>
      </c>
      <c r="N15" s="532">
        <v>0</v>
      </c>
      <c r="O15" s="533" t="s">
        <v>497</v>
      </c>
      <c r="P15" s="307"/>
      <c r="Q15" s="307"/>
      <c r="R15" s="307"/>
      <c r="S15" s="307"/>
      <c r="T15" s="307"/>
      <c r="U15" s="307"/>
      <c r="V15" s="307"/>
    </row>
    <row r="16" spans="1:22" ht="28.5" x14ac:dyDescent="0.2">
      <c r="A16" s="529">
        <v>8</v>
      </c>
      <c r="B16" s="683" t="s">
        <v>440</v>
      </c>
      <c r="C16" s="687" t="s">
        <v>988</v>
      </c>
      <c r="D16" s="294" t="s">
        <v>441</v>
      </c>
      <c r="E16" s="534">
        <v>1.5E-3</v>
      </c>
      <c r="F16" s="535" t="s">
        <v>683</v>
      </c>
      <c r="G16" s="294" t="s">
        <v>684</v>
      </c>
      <c r="H16" s="536">
        <f t="shared" ref="H16:H44" si="2">(E16/100)*2*$D$64*1000</f>
        <v>0.21149999999999999</v>
      </c>
      <c r="I16" s="302" t="s">
        <v>685</v>
      </c>
      <c r="J16" s="530">
        <v>2937</v>
      </c>
      <c r="K16" s="527" t="s">
        <v>113</v>
      </c>
      <c r="L16" s="257">
        <v>500</v>
      </c>
      <c r="M16" s="531" t="s">
        <v>426</v>
      </c>
      <c r="N16" s="1001">
        <f t="shared" ref="N16:N44" si="3">(H16/1000)*(1/$D$63)*$D$65*L16*J16/$D$66</f>
        <v>7.9347235401459864E-3</v>
      </c>
      <c r="O16" s="352" t="s">
        <v>497</v>
      </c>
      <c r="P16" s="307"/>
      <c r="Q16" s="307"/>
      <c r="R16" s="307"/>
      <c r="S16" s="307"/>
      <c r="T16" s="307"/>
      <c r="U16" s="307"/>
      <c r="V16" s="307"/>
    </row>
    <row r="17" spans="1:22" x14ac:dyDescent="0.2">
      <c r="A17" s="529">
        <v>9</v>
      </c>
      <c r="B17" s="261" t="s">
        <v>444</v>
      </c>
      <c r="C17" s="687" t="s">
        <v>443</v>
      </c>
      <c r="D17" s="294" t="s">
        <v>441</v>
      </c>
      <c r="E17" s="537">
        <v>0.5</v>
      </c>
      <c r="F17" s="538" t="s">
        <v>686</v>
      </c>
      <c r="G17" s="294" t="s">
        <v>684</v>
      </c>
      <c r="H17" s="539">
        <f t="shared" si="2"/>
        <v>70.5</v>
      </c>
      <c r="I17" s="302" t="s">
        <v>685</v>
      </c>
      <c r="J17" s="530">
        <v>352.89473684210526</v>
      </c>
      <c r="K17" s="527" t="s">
        <v>113</v>
      </c>
      <c r="L17" s="257">
        <v>500</v>
      </c>
      <c r="M17" s="531" t="s">
        <v>426</v>
      </c>
      <c r="N17" s="1001">
        <f t="shared" si="3"/>
        <v>0.3177984537072609</v>
      </c>
      <c r="O17" s="352" t="s">
        <v>497</v>
      </c>
      <c r="P17" s="307"/>
      <c r="Q17" s="307"/>
      <c r="R17" s="307"/>
      <c r="S17" s="307"/>
      <c r="T17" s="307"/>
      <c r="U17" s="307"/>
      <c r="V17" s="307"/>
    </row>
    <row r="18" spans="1:22" s="284" customFormat="1" ht="16.5" x14ac:dyDescent="0.2">
      <c r="A18" s="529">
        <v>10</v>
      </c>
      <c r="B18" s="686" t="s">
        <v>446</v>
      </c>
      <c r="C18" s="687" t="s">
        <v>443</v>
      </c>
      <c r="D18" s="294" t="s">
        <v>441</v>
      </c>
      <c r="E18" s="540">
        <v>1.5E-3</v>
      </c>
      <c r="F18" s="535" t="s">
        <v>683</v>
      </c>
      <c r="G18" s="294" t="s">
        <v>684</v>
      </c>
      <c r="H18" s="536">
        <f t="shared" si="2"/>
        <v>0.21149999999999999</v>
      </c>
      <c r="I18" s="302" t="s">
        <v>685</v>
      </c>
      <c r="J18" s="530">
        <v>762</v>
      </c>
      <c r="K18" s="527" t="s">
        <v>113</v>
      </c>
      <c r="L18" s="257">
        <v>500</v>
      </c>
      <c r="M18" s="531" t="s">
        <v>426</v>
      </c>
      <c r="N18" s="1001">
        <f t="shared" si="3"/>
        <v>2.0586514598540146E-3</v>
      </c>
      <c r="O18" s="352" t="s">
        <v>497</v>
      </c>
      <c r="P18" s="542"/>
    </row>
    <row r="19" spans="1:22" ht="16.5" x14ac:dyDescent="0.2">
      <c r="A19" s="529">
        <v>11</v>
      </c>
      <c r="B19" s="686" t="s">
        <v>446</v>
      </c>
      <c r="C19" s="687" t="s">
        <v>443</v>
      </c>
      <c r="D19" s="294" t="s">
        <v>441</v>
      </c>
      <c r="E19" s="540">
        <v>1.5E-3</v>
      </c>
      <c r="F19" s="535" t="s">
        <v>683</v>
      </c>
      <c r="G19" s="269" t="s">
        <v>684</v>
      </c>
      <c r="H19" s="536">
        <f t="shared" si="2"/>
        <v>0.21149999999999999</v>
      </c>
      <c r="I19" s="302" t="s">
        <v>685</v>
      </c>
      <c r="J19" s="530">
        <v>762</v>
      </c>
      <c r="K19" s="527" t="s">
        <v>113</v>
      </c>
      <c r="L19" s="257">
        <v>500</v>
      </c>
      <c r="M19" s="531" t="s">
        <v>426</v>
      </c>
      <c r="N19" s="1001">
        <f t="shared" si="3"/>
        <v>2.0586514598540146E-3</v>
      </c>
      <c r="O19" s="352" t="s">
        <v>497</v>
      </c>
      <c r="P19" s="320"/>
    </row>
    <row r="20" spans="1:22" x14ac:dyDescent="0.2">
      <c r="A20" s="529">
        <v>12</v>
      </c>
      <c r="B20" s="261" t="s">
        <v>447</v>
      </c>
      <c r="C20" s="687" t="s">
        <v>443</v>
      </c>
      <c r="D20" s="294" t="s">
        <v>441</v>
      </c>
      <c r="E20" s="537">
        <v>0.5</v>
      </c>
      <c r="F20" s="538" t="s">
        <v>686</v>
      </c>
      <c r="G20" s="273" t="s">
        <v>684</v>
      </c>
      <c r="H20" s="539">
        <f t="shared" si="2"/>
        <v>70.5</v>
      </c>
      <c r="I20" s="302" t="s">
        <v>685</v>
      </c>
      <c r="J20" s="530">
        <v>82</v>
      </c>
      <c r="K20" s="527" t="s">
        <v>113</v>
      </c>
      <c r="L20" s="257">
        <v>500</v>
      </c>
      <c r="M20" s="531" t="s">
        <v>426</v>
      </c>
      <c r="N20" s="1001">
        <f t="shared" si="3"/>
        <v>7.3844890510948905E-2</v>
      </c>
      <c r="O20" s="352" t="s">
        <v>497</v>
      </c>
      <c r="P20" s="320"/>
    </row>
    <row r="21" spans="1:22" ht="16.5" x14ac:dyDescent="0.2">
      <c r="A21" s="529">
        <v>13</v>
      </c>
      <c r="B21" s="268" t="s">
        <v>448</v>
      </c>
      <c r="C21" s="687" t="s">
        <v>443</v>
      </c>
      <c r="D21" s="294" t="s">
        <v>441</v>
      </c>
      <c r="E21" s="540">
        <v>1.5E-3</v>
      </c>
      <c r="F21" s="535" t="s">
        <v>683</v>
      </c>
      <c r="G21" s="273" t="s">
        <v>684</v>
      </c>
      <c r="H21" s="539">
        <f t="shared" si="2"/>
        <v>0.21149999999999999</v>
      </c>
      <c r="I21" s="302" t="s">
        <v>685</v>
      </c>
      <c r="J21" s="530">
        <v>587</v>
      </c>
      <c r="K21" s="527" t="s">
        <v>113</v>
      </c>
      <c r="L21" s="257">
        <v>500</v>
      </c>
      <c r="M21" s="531" t="s">
        <v>426</v>
      </c>
      <c r="N21" s="1001">
        <f t="shared" si="3"/>
        <v>1.5858640510948907E-3</v>
      </c>
      <c r="O21" s="352" t="s">
        <v>497</v>
      </c>
      <c r="P21" s="320"/>
    </row>
    <row r="22" spans="1:22" ht="16.5" x14ac:dyDescent="0.2">
      <c r="A22" s="529">
        <v>14</v>
      </c>
      <c r="B22" s="261" t="s">
        <v>449</v>
      </c>
      <c r="C22" s="687" t="s">
        <v>443</v>
      </c>
      <c r="D22" s="294" t="s">
        <v>441</v>
      </c>
      <c r="E22" s="540">
        <v>1.5E-3</v>
      </c>
      <c r="F22" s="535" t="s">
        <v>683</v>
      </c>
      <c r="G22" s="273" t="s">
        <v>684</v>
      </c>
      <c r="H22" s="536">
        <f t="shared" si="2"/>
        <v>0.21149999999999999</v>
      </c>
      <c r="I22" s="302" t="s">
        <v>685</v>
      </c>
      <c r="J22" s="530">
        <v>320</v>
      </c>
      <c r="K22" s="527" t="s">
        <v>113</v>
      </c>
      <c r="L22" s="257">
        <v>500</v>
      </c>
      <c r="M22" s="531" t="s">
        <v>426</v>
      </c>
      <c r="N22" s="1001">
        <f t="shared" si="3"/>
        <v>8.6452554744525557E-4</v>
      </c>
      <c r="O22" s="352" t="s">
        <v>497</v>
      </c>
      <c r="P22" s="320"/>
    </row>
    <row r="23" spans="1:22" x14ac:dyDescent="0.2">
      <c r="A23" s="529">
        <v>15</v>
      </c>
      <c r="B23" s="261" t="s">
        <v>450</v>
      </c>
      <c r="C23" s="687" t="s">
        <v>443</v>
      </c>
      <c r="D23" s="294" t="s">
        <v>441</v>
      </c>
      <c r="E23" s="537">
        <v>0.5</v>
      </c>
      <c r="F23" s="538" t="s">
        <v>686</v>
      </c>
      <c r="G23" s="273" t="s">
        <v>684</v>
      </c>
      <c r="H23" s="539">
        <f t="shared" si="2"/>
        <v>70.5</v>
      </c>
      <c r="I23" s="302" t="s">
        <v>685</v>
      </c>
      <c r="J23" s="530">
        <v>1058.6842105263158</v>
      </c>
      <c r="K23" s="527" t="s">
        <v>113</v>
      </c>
      <c r="L23" s="257">
        <v>500</v>
      </c>
      <c r="M23" s="531" t="s">
        <v>426</v>
      </c>
      <c r="N23" s="1001">
        <f t="shared" si="3"/>
        <v>0.95339536112178258</v>
      </c>
      <c r="O23" s="352" t="s">
        <v>497</v>
      </c>
      <c r="P23" s="320"/>
    </row>
    <row r="24" spans="1:22" x14ac:dyDescent="0.2">
      <c r="A24" s="529">
        <v>16</v>
      </c>
      <c r="B24" s="686" t="s">
        <v>451</v>
      </c>
      <c r="C24" s="687" t="s">
        <v>443</v>
      </c>
      <c r="D24" s="294" t="s">
        <v>441</v>
      </c>
      <c r="E24" s="537">
        <v>0.5</v>
      </c>
      <c r="F24" s="538" t="s">
        <v>686</v>
      </c>
      <c r="G24" s="273" t="s">
        <v>684</v>
      </c>
      <c r="H24" s="539">
        <f t="shared" si="2"/>
        <v>70.5</v>
      </c>
      <c r="I24" s="302" t="s">
        <v>685</v>
      </c>
      <c r="J24" s="530">
        <v>211.73684210526318</v>
      </c>
      <c r="K24" s="527" t="s">
        <v>113</v>
      </c>
      <c r="L24" s="257">
        <v>500</v>
      </c>
      <c r="M24" s="531" t="s">
        <v>426</v>
      </c>
      <c r="N24" s="1001">
        <f t="shared" si="3"/>
        <v>0.19067907222435654</v>
      </c>
      <c r="O24" s="352" t="s">
        <v>497</v>
      </c>
      <c r="P24" s="320"/>
    </row>
    <row r="25" spans="1:22" ht="16.5" x14ac:dyDescent="0.2">
      <c r="A25" s="529">
        <v>17</v>
      </c>
      <c r="B25" s="686" t="s">
        <v>451</v>
      </c>
      <c r="C25" s="687" t="s">
        <v>443</v>
      </c>
      <c r="D25" s="294" t="s">
        <v>441</v>
      </c>
      <c r="E25" s="540">
        <v>1.5E-3</v>
      </c>
      <c r="F25" s="535" t="s">
        <v>683</v>
      </c>
      <c r="G25" s="273" t="s">
        <v>684</v>
      </c>
      <c r="H25" s="536">
        <f t="shared" si="2"/>
        <v>0.21149999999999999</v>
      </c>
      <c r="I25" s="302" t="s">
        <v>685</v>
      </c>
      <c r="J25" s="530">
        <v>176.44736842105263</v>
      </c>
      <c r="K25" s="527" t="s">
        <v>113</v>
      </c>
      <c r="L25" s="257">
        <v>500</v>
      </c>
      <c r="M25" s="531" t="s">
        <v>426</v>
      </c>
      <c r="N25" s="1001">
        <f t="shared" si="3"/>
        <v>4.7669768056089127E-4</v>
      </c>
      <c r="O25" s="352" t="s">
        <v>497</v>
      </c>
      <c r="P25" s="320"/>
    </row>
    <row r="26" spans="1:22" x14ac:dyDescent="0.2">
      <c r="A26" s="529">
        <v>18</v>
      </c>
      <c r="B26" s="686" t="s">
        <v>452</v>
      </c>
      <c r="C26" s="687" t="s">
        <v>443</v>
      </c>
      <c r="D26" s="294" t="s">
        <v>441</v>
      </c>
      <c r="E26" s="537">
        <v>0.5</v>
      </c>
      <c r="F26" s="538" t="s">
        <v>686</v>
      </c>
      <c r="G26" s="273" t="s">
        <v>684</v>
      </c>
      <c r="H26" s="539">
        <f t="shared" si="2"/>
        <v>70.5</v>
      </c>
      <c r="I26" s="302" t="s">
        <v>685</v>
      </c>
      <c r="J26" s="530">
        <v>211.73684210526318</v>
      </c>
      <c r="K26" s="527" t="s">
        <v>113</v>
      </c>
      <c r="L26" s="257">
        <v>500</v>
      </c>
      <c r="M26" s="531" t="s">
        <v>426</v>
      </c>
      <c r="N26" s="1001">
        <f t="shared" si="3"/>
        <v>0.19067907222435654</v>
      </c>
      <c r="O26" s="352" t="s">
        <v>497</v>
      </c>
      <c r="P26" s="320"/>
    </row>
    <row r="27" spans="1:22" ht="16.5" x14ac:dyDescent="0.2">
      <c r="A27" s="529">
        <v>19</v>
      </c>
      <c r="B27" s="686" t="s">
        <v>453</v>
      </c>
      <c r="C27" s="687" t="s">
        <v>443</v>
      </c>
      <c r="D27" s="294" t="s">
        <v>441</v>
      </c>
      <c r="E27" s="540">
        <v>1.5E-3</v>
      </c>
      <c r="F27" s="535" t="s">
        <v>683</v>
      </c>
      <c r="G27" s="273" t="s">
        <v>684</v>
      </c>
      <c r="H27" s="539">
        <f t="shared" si="2"/>
        <v>0.21149999999999999</v>
      </c>
      <c r="I27" s="302" t="s">
        <v>685</v>
      </c>
      <c r="J27" s="530">
        <v>70.578947368421055</v>
      </c>
      <c r="K27" s="527" t="s">
        <v>113</v>
      </c>
      <c r="L27" s="257">
        <v>500</v>
      </c>
      <c r="M27" s="531" t="s">
        <v>426</v>
      </c>
      <c r="N27" s="1001">
        <f t="shared" si="3"/>
        <v>1.9067907222435654E-4</v>
      </c>
      <c r="O27" s="352" t="s">
        <v>497</v>
      </c>
      <c r="P27" s="320"/>
    </row>
    <row r="28" spans="1:22" x14ac:dyDescent="0.2">
      <c r="A28" s="529">
        <v>20</v>
      </c>
      <c r="B28" s="686" t="s">
        <v>454</v>
      </c>
      <c r="C28" s="687" t="s">
        <v>443</v>
      </c>
      <c r="D28" s="294" t="s">
        <v>441</v>
      </c>
      <c r="E28" s="537">
        <v>0.5</v>
      </c>
      <c r="F28" s="538" t="s">
        <v>686</v>
      </c>
      <c r="G28" s="273" t="s">
        <v>684</v>
      </c>
      <c r="H28" s="539">
        <f t="shared" si="2"/>
        <v>70.5</v>
      </c>
      <c r="I28" s="302" t="s">
        <v>685</v>
      </c>
      <c r="J28" s="530">
        <v>35.289473684210527</v>
      </c>
      <c r="K28" s="527" t="s">
        <v>113</v>
      </c>
      <c r="L28" s="257">
        <v>500</v>
      </c>
      <c r="M28" s="531" t="s">
        <v>426</v>
      </c>
      <c r="N28" s="1001">
        <f t="shared" si="3"/>
        <v>3.1779845370726083E-2</v>
      </c>
      <c r="O28" s="352" t="s">
        <v>497</v>
      </c>
      <c r="P28" s="320"/>
    </row>
    <row r="29" spans="1:22" x14ac:dyDescent="0.2">
      <c r="A29" s="529">
        <v>21</v>
      </c>
      <c r="B29" s="686" t="s">
        <v>455</v>
      </c>
      <c r="C29" s="687" t="s">
        <v>443</v>
      </c>
      <c r="D29" s="294" t="s">
        <v>441</v>
      </c>
      <c r="E29" s="537">
        <v>0.5</v>
      </c>
      <c r="F29" s="538" t="s">
        <v>686</v>
      </c>
      <c r="G29" s="273" t="s">
        <v>684</v>
      </c>
      <c r="H29" s="539">
        <f t="shared" si="2"/>
        <v>70.5</v>
      </c>
      <c r="I29" s="302" t="s">
        <v>685</v>
      </c>
      <c r="J29" s="530">
        <v>95</v>
      </c>
      <c r="K29" s="527" t="s">
        <v>113</v>
      </c>
      <c r="L29" s="257">
        <v>500</v>
      </c>
      <c r="M29" s="531" t="s">
        <v>426</v>
      </c>
      <c r="N29" s="1001">
        <f t="shared" si="3"/>
        <v>8.5552007299270066E-2</v>
      </c>
      <c r="O29" s="352" t="s">
        <v>497</v>
      </c>
      <c r="P29" s="320"/>
    </row>
    <row r="30" spans="1:22" x14ac:dyDescent="0.2">
      <c r="A30" s="529">
        <v>22</v>
      </c>
      <c r="B30" s="686" t="s">
        <v>222</v>
      </c>
      <c r="C30" s="687" t="s">
        <v>443</v>
      </c>
      <c r="D30" s="294" t="s">
        <v>441</v>
      </c>
      <c r="E30" s="537">
        <v>0.5</v>
      </c>
      <c r="F30" s="538" t="s">
        <v>686</v>
      </c>
      <c r="G30" s="273" t="s">
        <v>684</v>
      </c>
      <c r="H30" s="539">
        <f t="shared" si="2"/>
        <v>70.5</v>
      </c>
      <c r="I30" s="302" t="s">
        <v>685</v>
      </c>
      <c r="J30" s="530">
        <v>35.289473684210527</v>
      </c>
      <c r="K30" s="527" t="s">
        <v>113</v>
      </c>
      <c r="L30" s="257">
        <v>500</v>
      </c>
      <c r="M30" s="531" t="s">
        <v>426</v>
      </c>
      <c r="N30" s="1001">
        <f t="shared" si="3"/>
        <v>3.1779845370726083E-2</v>
      </c>
      <c r="O30" s="352" t="s">
        <v>497</v>
      </c>
      <c r="P30" s="320"/>
    </row>
    <row r="31" spans="1:22" x14ac:dyDescent="0.2">
      <c r="A31" s="529">
        <v>23</v>
      </c>
      <c r="B31" s="686" t="s">
        <v>452</v>
      </c>
      <c r="C31" s="687" t="s">
        <v>443</v>
      </c>
      <c r="D31" s="294" t="s">
        <v>441</v>
      </c>
      <c r="E31" s="537">
        <v>0.5</v>
      </c>
      <c r="F31" s="538" t="s">
        <v>686</v>
      </c>
      <c r="G31" s="273" t="s">
        <v>684</v>
      </c>
      <c r="H31" s="539">
        <f t="shared" si="2"/>
        <v>70.5</v>
      </c>
      <c r="I31" s="302" t="s">
        <v>685</v>
      </c>
      <c r="J31" s="530">
        <v>155.27368421052631</v>
      </c>
      <c r="K31" s="527" t="s">
        <v>113</v>
      </c>
      <c r="L31" s="257">
        <v>500</v>
      </c>
      <c r="M31" s="531" t="s">
        <v>426</v>
      </c>
      <c r="N31" s="1001">
        <f t="shared" si="3"/>
        <v>0.1398313196311948</v>
      </c>
      <c r="O31" s="352" t="s">
        <v>497</v>
      </c>
      <c r="P31" s="320"/>
    </row>
    <row r="32" spans="1:22" x14ac:dyDescent="0.2">
      <c r="A32" s="529">
        <v>24</v>
      </c>
      <c r="B32" s="686" t="s">
        <v>456</v>
      </c>
      <c r="C32" s="687" t="s">
        <v>443</v>
      </c>
      <c r="D32" s="294" t="s">
        <v>441</v>
      </c>
      <c r="E32" s="537">
        <v>0.5</v>
      </c>
      <c r="F32" s="538" t="s">
        <v>686</v>
      </c>
      <c r="G32" s="273" t="s">
        <v>684</v>
      </c>
      <c r="H32" s="539">
        <f t="shared" si="2"/>
        <v>70.5</v>
      </c>
      <c r="I32" s="302" t="s">
        <v>685</v>
      </c>
      <c r="J32" s="530">
        <v>50</v>
      </c>
      <c r="K32" s="527" t="s">
        <v>113</v>
      </c>
      <c r="L32" s="257">
        <v>500</v>
      </c>
      <c r="M32" s="531" t="s">
        <v>426</v>
      </c>
      <c r="N32" s="1001">
        <f t="shared" si="3"/>
        <v>4.5027372262773722E-2</v>
      </c>
      <c r="O32" s="352" t="s">
        <v>497</v>
      </c>
      <c r="P32" s="320"/>
    </row>
    <row r="33" spans="1:16" ht="16.5" x14ac:dyDescent="0.2">
      <c r="A33" s="529">
        <v>25</v>
      </c>
      <c r="B33" s="686" t="s">
        <v>457</v>
      </c>
      <c r="C33" s="687" t="s">
        <v>443</v>
      </c>
      <c r="D33" s="294" t="s">
        <v>441</v>
      </c>
      <c r="E33" s="540">
        <v>1.5E-3</v>
      </c>
      <c r="F33" s="535" t="s">
        <v>683</v>
      </c>
      <c r="G33" s="273" t="s">
        <v>684</v>
      </c>
      <c r="H33" s="536">
        <f t="shared" si="2"/>
        <v>0.21149999999999999</v>
      </c>
      <c r="I33" s="302" t="s">
        <v>685</v>
      </c>
      <c r="J33" s="530">
        <v>18.350526315789473</v>
      </c>
      <c r="K33" s="527" t="s">
        <v>113</v>
      </c>
      <c r="L33" s="257">
        <v>500</v>
      </c>
      <c r="M33" s="531" t="s">
        <v>426</v>
      </c>
      <c r="N33" s="1001">
        <f t="shared" si="3"/>
        <v>4.9576558778332694E-5</v>
      </c>
      <c r="O33" s="352" t="s">
        <v>497</v>
      </c>
      <c r="P33" s="320"/>
    </row>
    <row r="34" spans="1:16" x14ac:dyDescent="0.2">
      <c r="A34" s="529">
        <v>26</v>
      </c>
      <c r="B34" s="686" t="s">
        <v>458</v>
      </c>
      <c r="C34" s="687" t="s">
        <v>443</v>
      </c>
      <c r="D34" s="294" t="s">
        <v>441</v>
      </c>
      <c r="E34" s="537">
        <v>0.5</v>
      </c>
      <c r="F34" s="538" t="s">
        <v>686</v>
      </c>
      <c r="G34" s="273" t="s">
        <v>684</v>
      </c>
      <c r="H34" s="539">
        <f t="shared" si="2"/>
        <v>70.5</v>
      </c>
      <c r="I34" s="302" t="s">
        <v>685</v>
      </c>
      <c r="J34" s="530">
        <v>68</v>
      </c>
      <c r="K34" s="527" t="s">
        <v>113</v>
      </c>
      <c r="L34" s="257">
        <v>500</v>
      </c>
      <c r="M34" s="531" t="s">
        <v>426</v>
      </c>
      <c r="N34" s="1001">
        <f t="shared" si="3"/>
        <v>6.1237226277372263E-2</v>
      </c>
      <c r="O34" s="352" t="s">
        <v>497</v>
      </c>
      <c r="P34" s="320"/>
    </row>
    <row r="35" spans="1:16" ht="16.5" x14ac:dyDescent="0.2">
      <c r="A35" s="529">
        <v>27</v>
      </c>
      <c r="B35" s="266" t="s">
        <v>459</v>
      </c>
      <c r="C35" s="687" t="s">
        <v>443</v>
      </c>
      <c r="D35" s="294" t="s">
        <v>441</v>
      </c>
      <c r="E35" s="540">
        <v>1.5E-3</v>
      </c>
      <c r="F35" s="535" t="s">
        <v>683</v>
      </c>
      <c r="G35" s="273" t="s">
        <v>684</v>
      </c>
      <c r="H35" s="536">
        <f t="shared" si="2"/>
        <v>0.21149999999999999</v>
      </c>
      <c r="I35" s="302" t="s">
        <v>685</v>
      </c>
      <c r="J35" s="530">
        <v>274</v>
      </c>
      <c r="K35" s="527" t="s">
        <v>113</v>
      </c>
      <c r="L35" s="257">
        <v>500</v>
      </c>
      <c r="M35" s="531" t="s">
        <v>426</v>
      </c>
      <c r="N35" s="1001">
        <f t="shared" si="3"/>
        <v>7.4025000000000002E-4</v>
      </c>
      <c r="O35" s="352" t="s">
        <v>497</v>
      </c>
      <c r="P35" s="320"/>
    </row>
    <row r="36" spans="1:16" ht="16.5" x14ac:dyDescent="0.2">
      <c r="A36" s="529">
        <v>28</v>
      </c>
      <c r="B36" s="266" t="s">
        <v>459</v>
      </c>
      <c r="C36" s="687" t="s">
        <v>443</v>
      </c>
      <c r="D36" s="294" t="s">
        <v>441</v>
      </c>
      <c r="E36" s="540">
        <v>1.5E-3</v>
      </c>
      <c r="F36" s="535" t="s">
        <v>683</v>
      </c>
      <c r="G36" s="273" t="s">
        <v>684</v>
      </c>
      <c r="H36" s="536">
        <f t="shared" si="2"/>
        <v>0.21149999999999999</v>
      </c>
      <c r="I36" s="302" t="s">
        <v>685</v>
      </c>
      <c r="J36" s="530">
        <v>274</v>
      </c>
      <c r="K36" s="527" t="s">
        <v>113</v>
      </c>
      <c r="L36" s="257">
        <v>500</v>
      </c>
      <c r="M36" s="531" t="s">
        <v>426</v>
      </c>
      <c r="N36" s="1001">
        <f t="shared" si="3"/>
        <v>7.4025000000000002E-4</v>
      </c>
      <c r="O36" s="352" t="s">
        <v>497</v>
      </c>
      <c r="P36" s="320"/>
    </row>
    <row r="37" spans="1:16" ht="16.5" x14ac:dyDescent="0.2">
      <c r="A37" s="529" t="s">
        <v>748</v>
      </c>
      <c r="B37" s="266" t="s">
        <v>763</v>
      </c>
      <c r="C37" s="687" t="s">
        <v>460</v>
      </c>
      <c r="D37" s="294" t="s">
        <v>441</v>
      </c>
      <c r="E37" s="540">
        <v>1.5E-3</v>
      </c>
      <c r="F37" s="535" t="s">
        <v>683</v>
      </c>
      <c r="G37" s="273" t="s">
        <v>684</v>
      </c>
      <c r="H37" s="539">
        <f t="shared" si="2"/>
        <v>0.21149999999999999</v>
      </c>
      <c r="I37" s="302" t="s">
        <v>685</v>
      </c>
      <c r="J37" s="530">
        <v>74</v>
      </c>
      <c r="K37" s="527" t="s">
        <v>113</v>
      </c>
      <c r="L37" s="257">
        <v>500</v>
      </c>
      <c r="M37" s="531" t="s">
        <v>426</v>
      </c>
      <c r="N37" s="1001">
        <f t="shared" si="3"/>
        <v>1.9992153284671536E-4</v>
      </c>
      <c r="O37" s="352" t="s">
        <v>497</v>
      </c>
      <c r="P37" s="320"/>
    </row>
    <row r="38" spans="1:16" x14ac:dyDescent="0.2">
      <c r="A38" s="529">
        <v>30</v>
      </c>
      <c r="B38" s="266" t="s">
        <v>461</v>
      </c>
      <c r="C38" s="687" t="s">
        <v>460</v>
      </c>
      <c r="D38" s="294" t="s">
        <v>441</v>
      </c>
      <c r="E38" s="537">
        <v>0.5</v>
      </c>
      <c r="F38" s="538" t="s">
        <v>686</v>
      </c>
      <c r="G38" s="273" t="s">
        <v>684</v>
      </c>
      <c r="H38" s="539">
        <f t="shared" si="2"/>
        <v>70.5</v>
      </c>
      <c r="I38" s="302" t="s">
        <v>685</v>
      </c>
      <c r="J38" s="530">
        <v>75</v>
      </c>
      <c r="K38" s="527" t="s">
        <v>113</v>
      </c>
      <c r="L38" s="257">
        <v>500</v>
      </c>
      <c r="M38" s="531" t="s">
        <v>426</v>
      </c>
      <c r="N38" s="1001">
        <f t="shared" si="3"/>
        <v>6.754105839416058E-2</v>
      </c>
      <c r="O38" s="352" t="s">
        <v>497</v>
      </c>
      <c r="P38" s="320"/>
    </row>
    <row r="39" spans="1:16" x14ac:dyDescent="0.2">
      <c r="A39" s="529" t="s">
        <v>749</v>
      </c>
      <c r="B39" s="266" t="s">
        <v>763</v>
      </c>
      <c r="C39" s="687" t="s">
        <v>460</v>
      </c>
      <c r="D39" s="294" t="s">
        <v>441</v>
      </c>
      <c r="E39" s="537">
        <v>0.5</v>
      </c>
      <c r="F39" s="538" t="s">
        <v>686</v>
      </c>
      <c r="G39" s="273" t="s">
        <v>684</v>
      </c>
      <c r="H39" s="539">
        <f t="shared" si="2"/>
        <v>70.5</v>
      </c>
      <c r="I39" s="302" t="s">
        <v>685</v>
      </c>
      <c r="J39" s="530">
        <v>74</v>
      </c>
      <c r="K39" s="527" t="s">
        <v>113</v>
      </c>
      <c r="L39" s="257">
        <v>500</v>
      </c>
      <c r="M39" s="531" t="s">
        <v>426</v>
      </c>
      <c r="N39" s="1001">
        <f t="shared" si="3"/>
        <v>6.6640510948905121E-2</v>
      </c>
      <c r="O39" s="352" t="s">
        <v>497</v>
      </c>
      <c r="P39" s="320"/>
    </row>
    <row r="40" spans="1:16" x14ac:dyDescent="0.2">
      <c r="A40" s="529">
        <v>32</v>
      </c>
      <c r="B40" s="266" t="s">
        <v>462</v>
      </c>
      <c r="C40" s="687" t="s">
        <v>460</v>
      </c>
      <c r="D40" s="294" t="s">
        <v>441</v>
      </c>
      <c r="E40" s="537">
        <v>0.5</v>
      </c>
      <c r="F40" s="538" t="s">
        <v>686</v>
      </c>
      <c r="G40" s="273" t="s">
        <v>684</v>
      </c>
      <c r="H40" s="539">
        <f t="shared" si="2"/>
        <v>70.5</v>
      </c>
      <c r="I40" s="302" t="s">
        <v>685</v>
      </c>
      <c r="J40" s="530">
        <v>75</v>
      </c>
      <c r="K40" s="527" t="s">
        <v>113</v>
      </c>
      <c r="L40" s="257">
        <v>500</v>
      </c>
      <c r="M40" s="531" t="s">
        <v>426</v>
      </c>
      <c r="N40" s="1001">
        <f t="shared" si="3"/>
        <v>6.754105839416058E-2</v>
      </c>
      <c r="O40" s="352" t="s">
        <v>497</v>
      </c>
      <c r="P40" s="320"/>
    </row>
    <row r="41" spans="1:16" x14ac:dyDescent="0.2">
      <c r="A41" s="529">
        <v>33</v>
      </c>
      <c r="B41" s="266" t="s">
        <v>462</v>
      </c>
      <c r="C41" s="687" t="s">
        <v>460</v>
      </c>
      <c r="D41" s="294" t="s">
        <v>441</v>
      </c>
      <c r="E41" s="537">
        <v>0.5</v>
      </c>
      <c r="F41" s="538" t="s">
        <v>686</v>
      </c>
      <c r="G41" s="273" t="s">
        <v>684</v>
      </c>
      <c r="H41" s="539">
        <f t="shared" si="2"/>
        <v>70.5</v>
      </c>
      <c r="I41" s="302" t="s">
        <v>685</v>
      </c>
      <c r="J41" s="530">
        <v>75</v>
      </c>
      <c r="K41" s="527" t="s">
        <v>113</v>
      </c>
      <c r="L41" s="257">
        <v>500</v>
      </c>
      <c r="M41" s="531" t="s">
        <v>426</v>
      </c>
      <c r="N41" s="1001">
        <f t="shared" si="3"/>
        <v>6.754105839416058E-2</v>
      </c>
      <c r="O41" s="352" t="s">
        <v>497</v>
      </c>
      <c r="P41" s="320"/>
    </row>
    <row r="42" spans="1:16" x14ac:dyDescent="0.2">
      <c r="A42" s="529">
        <v>34</v>
      </c>
      <c r="B42" s="266" t="s">
        <v>464</v>
      </c>
      <c r="C42" s="687" t="s">
        <v>463</v>
      </c>
      <c r="D42" s="294" t="s">
        <v>441</v>
      </c>
      <c r="E42" s="537">
        <v>0.5</v>
      </c>
      <c r="F42" s="538" t="s">
        <v>686</v>
      </c>
      <c r="G42" s="273" t="s">
        <v>684</v>
      </c>
      <c r="H42" s="539">
        <f t="shared" si="2"/>
        <v>70.5</v>
      </c>
      <c r="I42" s="302" t="s">
        <v>685</v>
      </c>
      <c r="J42" s="530">
        <v>220</v>
      </c>
      <c r="K42" s="527" t="s">
        <v>113</v>
      </c>
      <c r="L42" s="257">
        <v>500</v>
      </c>
      <c r="M42" s="531" t="s">
        <v>426</v>
      </c>
      <c r="N42" s="1001">
        <f t="shared" si="3"/>
        <v>0.1981204379562044</v>
      </c>
      <c r="O42" s="352" t="s">
        <v>497</v>
      </c>
      <c r="P42" s="320"/>
    </row>
    <row r="43" spans="1:16" ht="16.5" x14ac:dyDescent="0.2">
      <c r="A43" s="529">
        <v>35</v>
      </c>
      <c r="B43" s="266" t="s">
        <v>465</v>
      </c>
      <c r="C43" s="687" t="s">
        <v>463</v>
      </c>
      <c r="D43" s="294" t="s">
        <v>441</v>
      </c>
      <c r="E43" s="540">
        <v>1.5E-3</v>
      </c>
      <c r="F43" s="535" t="s">
        <v>683</v>
      </c>
      <c r="G43" s="273" t="s">
        <v>684</v>
      </c>
      <c r="H43" s="539">
        <f t="shared" si="2"/>
        <v>0.21149999999999999</v>
      </c>
      <c r="I43" s="302" t="s">
        <v>685</v>
      </c>
      <c r="J43" s="530">
        <v>55</v>
      </c>
      <c r="K43" s="527" t="s">
        <v>113</v>
      </c>
      <c r="L43" s="257">
        <v>500</v>
      </c>
      <c r="M43" s="531" t="s">
        <v>426</v>
      </c>
      <c r="N43" s="1001">
        <f t="shared" si="3"/>
        <v>1.4859032846715328E-4</v>
      </c>
      <c r="O43" s="352" t="s">
        <v>497</v>
      </c>
      <c r="P43" s="320"/>
    </row>
    <row r="44" spans="1:16" x14ac:dyDescent="0.2">
      <c r="A44" s="529">
        <v>36</v>
      </c>
      <c r="B44" s="266" t="s">
        <v>466</v>
      </c>
      <c r="C44" s="687" t="s">
        <v>463</v>
      </c>
      <c r="D44" s="294" t="s">
        <v>441</v>
      </c>
      <c r="E44" s="537">
        <v>0.5</v>
      </c>
      <c r="F44" s="538" t="s">
        <v>686</v>
      </c>
      <c r="G44" s="273" t="s">
        <v>684</v>
      </c>
      <c r="H44" s="539">
        <f t="shared" si="2"/>
        <v>70.5</v>
      </c>
      <c r="I44" s="302" t="s">
        <v>685</v>
      </c>
      <c r="J44" s="530">
        <v>220</v>
      </c>
      <c r="K44" s="527" t="s">
        <v>113</v>
      </c>
      <c r="L44" s="257">
        <v>500</v>
      </c>
      <c r="M44" s="531" t="s">
        <v>426</v>
      </c>
      <c r="N44" s="1001">
        <f t="shared" si="3"/>
        <v>0.1981204379562044</v>
      </c>
      <c r="O44" s="352" t="s">
        <v>497</v>
      </c>
      <c r="P44" s="320"/>
    </row>
    <row r="45" spans="1:16" x14ac:dyDescent="0.2">
      <c r="A45" s="529" t="s">
        <v>56</v>
      </c>
      <c r="B45" s="510" t="s">
        <v>467</v>
      </c>
      <c r="C45" s="687"/>
      <c r="D45" s="294" t="s">
        <v>49</v>
      </c>
      <c r="E45" s="1121" t="s">
        <v>49</v>
      </c>
      <c r="F45" s="1122"/>
      <c r="G45" s="269" t="s">
        <v>49</v>
      </c>
      <c r="H45" s="1402" t="s">
        <v>49</v>
      </c>
      <c r="I45" s="1403"/>
      <c r="J45" s="530">
        <v>3620</v>
      </c>
      <c r="K45" s="527" t="s">
        <v>117</v>
      </c>
      <c r="L45" s="257">
        <v>4380</v>
      </c>
      <c r="M45" s="531" t="s">
        <v>426</v>
      </c>
      <c r="N45" s="543">
        <v>0</v>
      </c>
      <c r="O45" s="352" t="s">
        <v>497</v>
      </c>
      <c r="P45" s="320"/>
    </row>
    <row r="46" spans="1:16" x14ac:dyDescent="0.2">
      <c r="A46" s="529" t="s">
        <v>57</v>
      </c>
      <c r="B46" s="510" t="s">
        <v>469</v>
      </c>
      <c r="C46" s="687"/>
      <c r="D46" s="294" t="s">
        <v>49</v>
      </c>
      <c r="E46" s="1121" t="s">
        <v>49</v>
      </c>
      <c r="F46" s="1122"/>
      <c r="G46" s="269" t="s">
        <v>49</v>
      </c>
      <c r="H46" s="1402" t="s">
        <v>49</v>
      </c>
      <c r="I46" s="1403"/>
      <c r="J46" s="530">
        <v>3620</v>
      </c>
      <c r="K46" s="527" t="s">
        <v>117</v>
      </c>
      <c r="L46" s="257">
        <v>4380</v>
      </c>
      <c r="M46" s="531" t="s">
        <v>426</v>
      </c>
      <c r="N46" s="543">
        <v>0</v>
      </c>
      <c r="O46" s="352" t="s">
        <v>497</v>
      </c>
      <c r="P46" s="320"/>
    </row>
    <row r="47" spans="1:16" x14ac:dyDescent="0.2">
      <c r="A47" s="529">
        <v>52</v>
      </c>
      <c r="B47" s="510" t="s">
        <v>470</v>
      </c>
      <c r="C47" s="687"/>
      <c r="D47" s="294" t="s">
        <v>49</v>
      </c>
      <c r="E47" s="1121" t="s">
        <v>49</v>
      </c>
      <c r="F47" s="1122"/>
      <c r="G47" s="269" t="s">
        <v>49</v>
      </c>
      <c r="H47" s="1402" t="s">
        <v>49</v>
      </c>
      <c r="I47" s="1403"/>
      <c r="J47" s="1240" t="s">
        <v>49</v>
      </c>
      <c r="K47" s="1241"/>
      <c r="L47" s="544">
        <v>82049</v>
      </c>
      <c r="M47" s="531" t="s">
        <v>497</v>
      </c>
      <c r="N47" s="543">
        <v>0</v>
      </c>
      <c r="O47" s="352" t="s">
        <v>497</v>
      </c>
      <c r="P47" s="320"/>
    </row>
    <row r="48" spans="1:16" ht="17.25" thickBot="1" x14ac:dyDescent="0.35">
      <c r="A48" s="1218" t="s">
        <v>776</v>
      </c>
      <c r="B48" s="1219"/>
      <c r="C48" s="1219"/>
      <c r="D48" s="1219"/>
      <c r="E48" s="1219"/>
      <c r="F48" s="1219"/>
      <c r="G48" s="1219"/>
      <c r="H48" s="1219"/>
      <c r="I48" s="1219"/>
      <c r="J48" s="1219"/>
      <c r="K48" s="1219"/>
      <c r="L48" s="1219"/>
      <c r="M48" s="1220"/>
      <c r="N48" s="325">
        <f>SUM(N7:N47)</f>
        <v>1649.2041574092764</v>
      </c>
      <c r="O48" s="326" t="s">
        <v>497</v>
      </c>
    </row>
    <row r="49" spans="1:15" ht="15.75" thickBot="1" x14ac:dyDescent="0.3">
      <c r="A49" s="1151" t="s">
        <v>471</v>
      </c>
      <c r="B49" s="1152"/>
      <c r="C49" s="1152"/>
      <c r="D49" s="1152"/>
      <c r="E49" s="1152"/>
      <c r="F49" s="1152"/>
      <c r="G49" s="1152"/>
      <c r="H49" s="1152"/>
      <c r="I49" s="1152"/>
      <c r="J49" s="1152"/>
      <c r="K49" s="1152"/>
      <c r="L49" s="1152"/>
      <c r="M49" s="1152"/>
      <c r="N49" s="1152"/>
      <c r="O49" s="1153"/>
    </row>
    <row r="50" spans="1:15" ht="15" thickTop="1" x14ac:dyDescent="0.2">
      <c r="A50" s="529" t="s">
        <v>49</v>
      </c>
      <c r="B50" s="510" t="s">
        <v>472</v>
      </c>
      <c r="C50" s="687"/>
      <c r="D50" s="294" t="s">
        <v>49</v>
      </c>
      <c r="E50" s="1121" t="s">
        <v>49</v>
      </c>
      <c r="F50" s="1122"/>
      <c r="G50" s="269" t="s">
        <v>49</v>
      </c>
      <c r="H50" s="1402" t="s">
        <v>49</v>
      </c>
      <c r="I50" s="1403"/>
      <c r="J50" s="530">
        <v>1460</v>
      </c>
      <c r="K50" s="527" t="s">
        <v>117</v>
      </c>
      <c r="L50" s="544">
        <v>4380</v>
      </c>
      <c r="M50" s="531" t="s">
        <v>426</v>
      </c>
      <c r="N50" s="545">
        <v>0</v>
      </c>
      <c r="O50" s="546" t="s">
        <v>497</v>
      </c>
    </row>
    <row r="51" spans="1:15" x14ac:dyDescent="0.2">
      <c r="A51" s="529" t="s">
        <v>49</v>
      </c>
      <c r="B51" s="510" t="s">
        <v>474</v>
      </c>
      <c r="C51" s="687"/>
      <c r="D51" s="294" t="s">
        <v>49</v>
      </c>
      <c r="E51" s="1121" t="s">
        <v>49</v>
      </c>
      <c r="F51" s="1122"/>
      <c r="G51" s="269" t="s">
        <v>49</v>
      </c>
      <c r="H51" s="1402" t="s">
        <v>49</v>
      </c>
      <c r="I51" s="1403"/>
      <c r="J51" s="1240" t="s">
        <v>49</v>
      </c>
      <c r="K51" s="1241"/>
      <c r="L51" s="544">
        <v>28560</v>
      </c>
      <c r="M51" s="531" t="s">
        <v>497</v>
      </c>
      <c r="N51" s="547">
        <v>0</v>
      </c>
      <c r="O51" s="548" t="s">
        <v>497</v>
      </c>
    </row>
    <row r="52" spans="1:15" x14ac:dyDescent="0.2">
      <c r="A52" s="529" t="s">
        <v>49</v>
      </c>
      <c r="B52" s="510" t="s">
        <v>476</v>
      </c>
      <c r="C52" s="687"/>
      <c r="D52" s="294" t="s">
        <v>478</v>
      </c>
      <c r="E52" s="1121" t="s">
        <v>49</v>
      </c>
      <c r="F52" s="1122"/>
      <c r="G52" s="269" t="s">
        <v>49</v>
      </c>
      <c r="H52" s="1402" t="s">
        <v>49</v>
      </c>
      <c r="I52" s="1403"/>
      <c r="J52" s="1240" t="s">
        <v>49</v>
      </c>
      <c r="K52" s="1241"/>
      <c r="L52" s="1254" t="s">
        <v>49</v>
      </c>
      <c r="M52" s="1255"/>
      <c r="N52" s="547">
        <v>0</v>
      </c>
      <c r="O52" s="548" t="s">
        <v>497</v>
      </c>
    </row>
    <row r="53" spans="1:15" x14ac:dyDescent="0.2">
      <c r="A53" s="529" t="s">
        <v>49</v>
      </c>
      <c r="B53" s="510" t="s">
        <v>479</v>
      </c>
      <c r="C53" s="687"/>
      <c r="D53" s="294" t="s">
        <v>478</v>
      </c>
      <c r="E53" s="1121" t="s">
        <v>49</v>
      </c>
      <c r="F53" s="1122"/>
      <c r="G53" s="269" t="s">
        <v>49</v>
      </c>
      <c r="H53" s="1402" t="s">
        <v>49</v>
      </c>
      <c r="I53" s="1403"/>
      <c r="J53" s="1240" t="s">
        <v>49</v>
      </c>
      <c r="K53" s="1241"/>
      <c r="L53" s="1254" t="s">
        <v>49</v>
      </c>
      <c r="M53" s="1255"/>
      <c r="N53" s="547">
        <v>0</v>
      </c>
      <c r="O53" s="548" t="s">
        <v>497</v>
      </c>
    </row>
    <row r="54" spans="1:15" ht="16.5" x14ac:dyDescent="0.3">
      <c r="A54" s="1234" t="s">
        <v>774</v>
      </c>
      <c r="B54" s="1235"/>
      <c r="C54" s="1235"/>
      <c r="D54" s="1235"/>
      <c r="E54" s="1235"/>
      <c r="F54" s="1235"/>
      <c r="G54" s="1235"/>
      <c r="H54" s="1235"/>
      <c r="I54" s="1235"/>
      <c r="J54" s="1235"/>
      <c r="K54" s="1235"/>
      <c r="L54" s="1235"/>
      <c r="M54" s="1236"/>
      <c r="N54" s="331">
        <f>SUM(N51:N51)</f>
        <v>0</v>
      </c>
      <c r="O54" s="332" t="s">
        <v>497</v>
      </c>
    </row>
    <row r="55" spans="1:15" s="374" customFormat="1" ht="15" x14ac:dyDescent="0.25">
      <c r="A55" s="366"/>
      <c r="B55" s="367"/>
      <c r="C55" s="713"/>
      <c r="D55" s="367"/>
      <c r="E55" s="367"/>
      <c r="F55" s="367"/>
      <c r="G55" s="367"/>
      <c r="H55" s="368"/>
      <c r="I55" s="368"/>
      <c r="J55" s="369"/>
      <c r="K55" s="368"/>
      <c r="L55" s="370"/>
      <c r="M55" s="371"/>
      <c r="N55" s="372"/>
      <c r="O55" s="373"/>
    </row>
    <row r="56" spans="1:15" ht="17.25" thickBot="1" x14ac:dyDescent="0.35">
      <c r="A56" s="1218" t="s">
        <v>775</v>
      </c>
      <c r="B56" s="1219"/>
      <c r="C56" s="1219"/>
      <c r="D56" s="1219"/>
      <c r="E56" s="1219"/>
      <c r="F56" s="1219"/>
      <c r="G56" s="1219"/>
      <c r="H56" s="1219"/>
      <c r="I56" s="1219"/>
      <c r="J56" s="1219"/>
      <c r="K56" s="1219"/>
      <c r="L56" s="1219"/>
      <c r="M56" s="1220"/>
      <c r="N56" s="333">
        <f>SUM(N48,N54)</f>
        <v>1649.2041574092764</v>
      </c>
      <c r="O56" s="326" t="s">
        <v>497</v>
      </c>
    </row>
    <row r="57" spans="1:15" ht="15" x14ac:dyDescent="0.25">
      <c r="A57" s="549"/>
      <c r="B57" s="283"/>
      <c r="C57" s="714"/>
      <c r="D57" s="283"/>
      <c r="E57" s="283"/>
      <c r="F57" s="283"/>
      <c r="G57" s="283"/>
      <c r="H57" s="283"/>
      <c r="I57" s="283"/>
      <c r="J57" s="283"/>
      <c r="K57" s="335"/>
      <c r="L57" s="336"/>
      <c r="M57" s="337"/>
    </row>
    <row r="58" spans="1:15" ht="15" x14ac:dyDescent="0.25">
      <c r="A58" s="550" t="s">
        <v>239</v>
      </c>
      <c r="B58" s="283"/>
      <c r="C58" s="714"/>
      <c r="D58" s="283"/>
      <c r="E58" s="283"/>
      <c r="F58" s="283"/>
      <c r="G58" s="283"/>
      <c r="H58" s="283"/>
      <c r="I58" s="283"/>
      <c r="J58" s="283"/>
      <c r="K58" s="335"/>
      <c r="L58" s="336"/>
      <c r="M58" s="337"/>
    </row>
    <row r="59" spans="1:15" s="119" customFormat="1" ht="16.5" x14ac:dyDescent="0.2">
      <c r="A59" s="551" t="s">
        <v>758</v>
      </c>
      <c r="B59" s="550"/>
      <c r="C59" s="715"/>
      <c r="D59" s="550"/>
      <c r="E59" s="550"/>
      <c r="F59" s="550"/>
      <c r="G59" s="550"/>
      <c r="H59" s="550"/>
      <c r="I59" s="550"/>
      <c r="J59" s="550"/>
      <c r="K59" s="550"/>
      <c r="L59" s="552"/>
      <c r="M59" s="550"/>
    </row>
    <row r="60" spans="1:15" s="119" customFormat="1" ht="16.5" x14ac:dyDescent="0.2">
      <c r="A60" s="553" t="s">
        <v>687</v>
      </c>
      <c r="B60" s="554"/>
      <c r="C60" s="716"/>
      <c r="D60" s="550"/>
      <c r="E60" s="550"/>
      <c r="F60" s="550"/>
      <c r="G60" s="550"/>
      <c r="H60" s="550"/>
      <c r="I60" s="550"/>
      <c r="J60" s="550"/>
      <c r="K60" s="550"/>
      <c r="L60" s="552"/>
      <c r="M60" s="550"/>
    </row>
    <row r="61" spans="1:15" x14ac:dyDescent="0.2">
      <c r="A61" s="122"/>
      <c r="B61" s="283"/>
      <c r="C61" s="714"/>
      <c r="D61" s="283"/>
      <c r="E61" s="283"/>
      <c r="F61" s="283"/>
      <c r="G61" s="283"/>
      <c r="H61" s="283"/>
      <c r="I61" s="283"/>
      <c r="J61" s="283"/>
      <c r="K61" s="286"/>
      <c r="L61" s="555"/>
      <c r="M61" s="283"/>
    </row>
    <row r="62" spans="1:15" x14ac:dyDescent="0.2">
      <c r="A62" s="125" t="s">
        <v>483</v>
      </c>
    </row>
    <row r="63" spans="1:15" x14ac:dyDescent="0.2">
      <c r="B63" s="338" t="s">
        <v>688</v>
      </c>
      <c r="C63" s="718"/>
      <c r="D63" s="126">
        <v>137000</v>
      </c>
      <c r="E63" s="125" t="s">
        <v>689</v>
      </c>
      <c r="F63" s="556" t="s">
        <v>690</v>
      </c>
    </row>
    <row r="64" spans="1:15" x14ac:dyDescent="0.2">
      <c r="B64" s="338" t="s">
        <v>691</v>
      </c>
      <c r="C64" s="718"/>
      <c r="D64" s="557">
        <v>7.05</v>
      </c>
      <c r="E64" s="125" t="s">
        <v>692</v>
      </c>
      <c r="F64" s="556" t="s">
        <v>693</v>
      </c>
    </row>
    <row r="65" spans="1:15" x14ac:dyDescent="0.2">
      <c r="B65" s="338" t="s">
        <v>694</v>
      </c>
      <c r="C65" s="718"/>
      <c r="D65" s="126">
        <v>7000</v>
      </c>
      <c r="E65" s="125" t="s">
        <v>695</v>
      </c>
      <c r="F65" s="342" t="s">
        <v>696</v>
      </c>
    </row>
    <row r="66" spans="1:15" x14ac:dyDescent="0.2">
      <c r="B66" s="338" t="s">
        <v>503</v>
      </c>
      <c r="C66" s="718"/>
      <c r="D66" s="339">
        <v>2000</v>
      </c>
      <c r="E66" s="125" t="s">
        <v>496</v>
      </c>
    </row>
    <row r="67" spans="1:15" x14ac:dyDescent="0.2">
      <c r="B67" s="338" t="s">
        <v>505</v>
      </c>
      <c r="C67" s="718"/>
      <c r="D67" s="341">
        <f>7560*D66/1000000</f>
        <v>15.12</v>
      </c>
      <c r="E67" s="125" t="s">
        <v>506</v>
      </c>
      <c r="F67" s="342" t="s">
        <v>507</v>
      </c>
    </row>
    <row r="68" spans="1:15" x14ac:dyDescent="0.2">
      <c r="B68" s="340"/>
      <c r="C68" s="719"/>
      <c r="E68" s="66"/>
    </row>
    <row r="69" spans="1:15" x14ac:dyDescent="0.2">
      <c r="A69" s="125" t="s">
        <v>862</v>
      </c>
      <c r="E69" s="66"/>
    </row>
    <row r="70" spans="1:15" x14ac:dyDescent="0.2">
      <c r="E70" s="66"/>
    </row>
    <row r="71" spans="1:15" x14ac:dyDescent="0.2">
      <c r="A71" s="125" t="s">
        <v>863</v>
      </c>
      <c r="C71" s="717" t="s">
        <v>864</v>
      </c>
      <c r="E71" s="66"/>
    </row>
    <row r="72" spans="1:15" ht="27.75" customHeight="1" x14ac:dyDescent="0.2">
      <c r="B72" s="125" t="s">
        <v>865</v>
      </c>
      <c r="C72" s="750">
        <f>E7</f>
        <v>0.28000000000000003</v>
      </c>
      <c r="D72" s="1008" t="s">
        <v>983</v>
      </c>
      <c r="E72" s="1008"/>
      <c r="F72" s="1008"/>
      <c r="G72" s="1008"/>
      <c r="H72" s="1008"/>
      <c r="I72" s="1008"/>
      <c r="J72" s="1008"/>
      <c r="K72" s="1008"/>
      <c r="L72" s="1008"/>
      <c r="M72" s="1008"/>
      <c r="N72" s="1008"/>
      <c r="O72" s="1008"/>
    </row>
    <row r="73" spans="1:15" x14ac:dyDescent="0.2">
      <c r="B73" s="125" t="s">
        <v>124</v>
      </c>
      <c r="C73" s="717">
        <f>C72*35</f>
        <v>9.8000000000000007</v>
      </c>
      <c r="D73" s="125" t="s">
        <v>866</v>
      </c>
      <c r="E73" s="66"/>
    </row>
    <row r="74" spans="1:15" x14ac:dyDescent="0.2">
      <c r="E74" s="66"/>
    </row>
    <row r="75" spans="1:15" x14ac:dyDescent="0.2">
      <c r="A75" s="125" t="s">
        <v>867</v>
      </c>
      <c r="E75" s="66"/>
    </row>
    <row r="76" spans="1:15" x14ac:dyDescent="0.2">
      <c r="B76" s="125" t="s">
        <v>868</v>
      </c>
      <c r="C76" s="717">
        <v>7572</v>
      </c>
      <c r="D76" s="125" t="s">
        <v>869</v>
      </c>
      <c r="E76" s="66" t="s">
        <v>870</v>
      </c>
    </row>
    <row r="77" spans="1:15" x14ac:dyDescent="0.2">
      <c r="E77" s="66"/>
    </row>
    <row r="78" spans="1:15" x14ac:dyDescent="0.2">
      <c r="E78" s="66"/>
    </row>
    <row r="79" spans="1:15" x14ac:dyDescent="0.2">
      <c r="A79" s="125" t="s">
        <v>871</v>
      </c>
      <c r="C79" s="750">
        <f>C73/2000/C76*1000000</f>
        <v>0.64712097200211305</v>
      </c>
      <c r="D79" s="125" t="s">
        <v>872</v>
      </c>
      <c r="E79" s="66"/>
    </row>
    <row r="80" spans="1:15" x14ac:dyDescent="0.2">
      <c r="E80" s="66"/>
    </row>
    <row r="81" spans="1:5" x14ac:dyDescent="0.2">
      <c r="A81" s="125" t="s">
        <v>995</v>
      </c>
      <c r="E81" s="66"/>
    </row>
    <row r="82" spans="1:5" x14ac:dyDescent="0.2">
      <c r="E82" s="66"/>
    </row>
    <row r="83" spans="1:5" x14ac:dyDescent="0.2">
      <c r="E83" s="66"/>
    </row>
    <row r="84" spans="1:5" x14ac:dyDescent="0.2">
      <c r="E84" s="66"/>
    </row>
    <row r="85" spans="1:5" x14ac:dyDescent="0.2">
      <c r="E85" s="66"/>
    </row>
    <row r="86" spans="1:5" x14ac:dyDescent="0.2">
      <c r="E86" s="66"/>
    </row>
    <row r="87" spans="1:5" x14ac:dyDescent="0.2">
      <c r="E87" s="66"/>
    </row>
    <row r="88" spans="1:5" x14ac:dyDescent="0.2">
      <c r="E88" s="66"/>
    </row>
    <row r="89" spans="1:5" x14ac:dyDescent="0.2">
      <c r="E89" s="66"/>
    </row>
    <row r="90" spans="1:5" x14ac:dyDescent="0.2">
      <c r="E90" s="66"/>
    </row>
    <row r="91" spans="1:5" x14ac:dyDescent="0.2">
      <c r="E91" s="66"/>
    </row>
    <row r="92" spans="1:5" x14ac:dyDescent="0.2">
      <c r="E92" s="66"/>
    </row>
    <row r="93" spans="1:5" x14ac:dyDescent="0.2">
      <c r="E93" s="66"/>
    </row>
    <row r="94" spans="1:5" x14ac:dyDescent="0.2">
      <c r="E94" s="66"/>
    </row>
    <row r="95" spans="1:5" x14ac:dyDescent="0.2">
      <c r="E95" s="66"/>
    </row>
    <row r="96" spans="1:5" x14ac:dyDescent="0.2">
      <c r="E96" s="66"/>
    </row>
    <row r="97" spans="5:5" x14ac:dyDescent="0.2">
      <c r="E97" s="66"/>
    </row>
    <row r="98" spans="5:5" x14ac:dyDescent="0.2">
      <c r="E98" s="66"/>
    </row>
    <row r="99" spans="5:5" x14ac:dyDescent="0.2">
      <c r="E99" s="66"/>
    </row>
    <row r="100" spans="5:5" x14ac:dyDescent="0.2">
      <c r="E100" s="66"/>
    </row>
    <row r="101" spans="5:5" x14ac:dyDescent="0.2">
      <c r="E101" s="66"/>
    </row>
    <row r="102" spans="5:5" x14ac:dyDescent="0.2">
      <c r="E102" s="66"/>
    </row>
    <row r="103" spans="5:5" x14ac:dyDescent="0.2">
      <c r="E103" s="66"/>
    </row>
    <row r="104" spans="5:5" x14ac:dyDescent="0.2">
      <c r="E104" s="66"/>
    </row>
    <row r="105" spans="5:5" x14ac:dyDescent="0.2">
      <c r="E105" s="66"/>
    </row>
    <row r="106" spans="5:5" x14ac:dyDescent="0.2">
      <c r="E106" s="66"/>
    </row>
    <row r="107" spans="5:5" x14ac:dyDescent="0.2">
      <c r="E107" s="66"/>
    </row>
    <row r="108" spans="5:5" x14ac:dyDescent="0.2">
      <c r="E108" s="66"/>
    </row>
    <row r="109" spans="5:5" x14ac:dyDescent="0.2">
      <c r="E109" s="66"/>
    </row>
    <row r="110" spans="5:5" x14ac:dyDescent="0.2">
      <c r="E110" s="66"/>
    </row>
    <row r="111" spans="5:5" x14ac:dyDescent="0.2">
      <c r="E111" s="66"/>
    </row>
    <row r="112" spans="5:5" x14ac:dyDescent="0.2">
      <c r="E112" s="66"/>
    </row>
    <row r="113" spans="5:5" x14ac:dyDescent="0.2">
      <c r="E113" s="66"/>
    </row>
  </sheetData>
  <mergeCells count="46">
    <mergeCell ref="D72:O72"/>
    <mergeCell ref="A54:M54"/>
    <mergeCell ref="A56:M56"/>
    <mergeCell ref="E52:F52"/>
    <mergeCell ref="H52:I52"/>
    <mergeCell ref="J52:K52"/>
    <mergeCell ref="L52:M52"/>
    <mergeCell ref="E53:F53"/>
    <mergeCell ref="H53:I53"/>
    <mergeCell ref="J53:K53"/>
    <mergeCell ref="L53:M53"/>
    <mergeCell ref="A49:O49"/>
    <mergeCell ref="E50:F50"/>
    <mergeCell ref="H50:I50"/>
    <mergeCell ref="E51:F51"/>
    <mergeCell ref="H51:I51"/>
    <mergeCell ref="J51:K51"/>
    <mergeCell ref="A48:M48"/>
    <mergeCell ref="E14:F14"/>
    <mergeCell ref="H14:I14"/>
    <mergeCell ref="E15:F15"/>
    <mergeCell ref="H15:I15"/>
    <mergeCell ref="E45:F45"/>
    <mergeCell ref="H45:I45"/>
    <mergeCell ref="E46:F46"/>
    <mergeCell ref="H46:I46"/>
    <mergeCell ref="E47:F47"/>
    <mergeCell ref="H47:I47"/>
    <mergeCell ref="J47:K47"/>
    <mergeCell ref="E5:F5"/>
    <mergeCell ref="J5:K5"/>
    <mergeCell ref="N5:O5"/>
    <mergeCell ref="A6:O6"/>
    <mergeCell ref="E13:F13"/>
    <mergeCell ref="H13:I13"/>
    <mergeCell ref="E7:E12"/>
    <mergeCell ref="F7:F12"/>
    <mergeCell ref="G7:G12"/>
    <mergeCell ref="J7:J12"/>
    <mergeCell ref="K7:K12"/>
    <mergeCell ref="A1:O1"/>
    <mergeCell ref="A2:O2"/>
    <mergeCell ref="A4:B4"/>
    <mergeCell ref="E4:F4"/>
    <mergeCell ref="J4:K4"/>
    <mergeCell ref="N4:O4"/>
  </mergeCells>
  <printOptions horizontalCentered="1"/>
  <pageMargins left="0.75" right="0.75" top="0.75" bottom="0.92" header="0.75" footer="0.63"/>
  <pageSetup scale="65" fitToHeight="2" orientation="landscape" useFirstPageNumber="1" r:id="rId1"/>
  <headerFooter alignWithMargins="0"/>
  <rowBreaks count="1" manualBreakCount="1">
    <brk id="48" max="1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V100"/>
  <sheetViews>
    <sheetView view="pageLayout" zoomScaleNormal="100" zoomScaleSheetLayoutView="100" workbookViewId="0">
      <selection activeCell="B39" sqref="B39"/>
    </sheetView>
  </sheetViews>
  <sheetFormatPr defaultColWidth="9.140625" defaultRowHeight="14.25" x14ac:dyDescent="0.2"/>
  <cols>
    <col min="1" max="1" width="9.28515625" style="125" customWidth="1"/>
    <col min="2" max="2" width="29.7109375" style="125" customWidth="1"/>
    <col min="3" max="3" width="20.5703125" style="717" customWidth="1"/>
    <col min="4" max="4" width="12.5703125" style="125" customWidth="1"/>
    <col min="5" max="6" width="10.140625" style="125" customWidth="1"/>
    <col min="7" max="7" width="16" style="125" customWidth="1"/>
    <col min="8" max="8" width="8.42578125" style="125" customWidth="1"/>
    <col min="9" max="9" width="12.140625" style="125" customWidth="1"/>
    <col min="10" max="10" width="8.42578125" style="125" customWidth="1"/>
    <col min="11" max="11" width="9" style="125" customWidth="1"/>
    <col min="12" max="12" width="11.5703125" style="287" customWidth="1"/>
    <col min="13" max="13" width="7.85546875" style="125" customWidth="1"/>
    <col min="14" max="14" width="10.140625" style="125" customWidth="1"/>
    <col min="15" max="15" width="7.7109375" style="125" customWidth="1"/>
    <col min="16" max="16" width="9.140625" style="125"/>
    <col min="17" max="17" width="10" style="125" customWidth="1"/>
    <col min="18" max="16384" width="9.140625" style="125"/>
  </cols>
  <sheetData>
    <row r="1" spans="1:22" ht="16.5" customHeight="1" x14ac:dyDescent="0.3">
      <c r="A1" s="1197" t="s">
        <v>985</v>
      </c>
      <c r="B1" s="1197"/>
      <c r="C1" s="1197"/>
      <c r="D1" s="1197"/>
      <c r="E1" s="1197"/>
      <c r="F1" s="1197"/>
      <c r="G1" s="1197"/>
      <c r="H1" s="1197"/>
      <c r="I1" s="1197"/>
      <c r="J1" s="1197"/>
      <c r="K1" s="1197"/>
      <c r="L1" s="1197"/>
      <c r="M1" s="1197"/>
      <c r="N1" s="1197"/>
      <c r="O1" s="1197"/>
    </row>
    <row r="2" spans="1:22" ht="15" customHeight="1" x14ac:dyDescent="0.25">
      <c r="A2" s="1197" t="s">
        <v>416</v>
      </c>
      <c r="B2" s="1197"/>
      <c r="C2" s="1197"/>
      <c r="D2" s="1197"/>
      <c r="E2" s="1197"/>
      <c r="F2" s="1197"/>
      <c r="G2" s="1197"/>
      <c r="H2" s="1197"/>
      <c r="I2" s="1197"/>
      <c r="J2" s="1197"/>
      <c r="K2" s="1197"/>
      <c r="L2" s="1197"/>
      <c r="M2" s="1197"/>
      <c r="N2" s="1197"/>
      <c r="O2" s="1197"/>
    </row>
    <row r="3" spans="1:22" ht="15.75" thickBot="1" x14ac:dyDescent="0.3">
      <c r="A3" s="522"/>
      <c r="B3" s="523"/>
      <c r="C3" s="712"/>
      <c r="D3" s="523"/>
      <c r="E3" s="523"/>
      <c r="F3" s="523"/>
      <c r="G3" s="523"/>
      <c r="H3" s="523"/>
      <c r="I3" s="523"/>
      <c r="J3" s="523"/>
      <c r="K3" s="523"/>
      <c r="L3" s="524"/>
      <c r="M3" s="523"/>
    </row>
    <row r="4" spans="1:22" ht="16.5" x14ac:dyDescent="0.3">
      <c r="A4" s="1198" t="s">
        <v>417</v>
      </c>
      <c r="B4" s="1011"/>
      <c r="C4" s="724"/>
      <c r="D4" s="733" t="s">
        <v>418</v>
      </c>
      <c r="E4" s="1400" t="s">
        <v>677</v>
      </c>
      <c r="F4" s="1400"/>
      <c r="G4" s="731" t="s">
        <v>488</v>
      </c>
      <c r="H4" s="289" t="s">
        <v>678</v>
      </c>
      <c r="I4" s="289"/>
      <c r="J4" s="1199" t="s">
        <v>417</v>
      </c>
      <c r="K4" s="1199"/>
      <c r="L4" s="344" t="s">
        <v>490</v>
      </c>
      <c r="M4" s="344"/>
      <c r="N4" s="1202" t="s">
        <v>378</v>
      </c>
      <c r="O4" s="1203"/>
    </row>
    <row r="5" spans="1:22" ht="16.5" x14ac:dyDescent="0.3">
      <c r="A5" s="290" t="s">
        <v>157</v>
      </c>
      <c r="B5" s="238" t="s">
        <v>420</v>
      </c>
      <c r="C5" s="725"/>
      <c r="D5" s="729" t="s">
        <v>421</v>
      </c>
      <c r="E5" s="1230" t="s">
        <v>679</v>
      </c>
      <c r="F5" s="1230"/>
      <c r="G5" s="291" t="s">
        <v>491</v>
      </c>
      <c r="H5" s="292" t="s">
        <v>492</v>
      </c>
      <c r="I5" s="292"/>
      <c r="J5" s="1230" t="s">
        <v>493</v>
      </c>
      <c r="K5" s="1230"/>
      <c r="L5" s="345" t="s">
        <v>494</v>
      </c>
      <c r="M5" s="345"/>
      <c r="N5" s="1204" t="s">
        <v>680</v>
      </c>
      <c r="O5" s="1205"/>
    </row>
    <row r="6" spans="1:22" ht="15.75" thickBot="1" x14ac:dyDescent="0.3">
      <c r="A6" s="1137" t="s">
        <v>422</v>
      </c>
      <c r="B6" s="1401"/>
      <c r="C6" s="1401"/>
      <c r="D6" s="1401"/>
      <c r="E6" s="1401"/>
      <c r="F6" s="1401"/>
      <c r="G6" s="1401"/>
      <c r="H6" s="1401"/>
      <c r="I6" s="1401"/>
      <c r="J6" s="1401"/>
      <c r="K6" s="1401"/>
      <c r="L6" s="1401"/>
      <c r="M6" s="1401"/>
      <c r="N6" s="1401"/>
      <c r="O6" s="1139"/>
    </row>
    <row r="7" spans="1:22" ht="17.25" customHeight="1" thickTop="1" x14ac:dyDescent="0.2">
      <c r="A7" s="525">
        <v>1</v>
      </c>
      <c r="B7" s="510" t="s">
        <v>423</v>
      </c>
      <c r="C7" s="687"/>
      <c r="D7" s="726" t="s">
        <v>425</v>
      </c>
      <c r="E7" s="1404">
        <v>0.2</v>
      </c>
      <c r="F7" s="1407" t="s">
        <v>681</v>
      </c>
      <c r="G7" s="1312" t="s">
        <v>894</v>
      </c>
      <c r="H7" s="1416">
        <f>35*E7</f>
        <v>7</v>
      </c>
      <c r="I7" s="296" t="s">
        <v>682</v>
      </c>
      <c r="J7" s="1410">
        <v>300000</v>
      </c>
      <c r="K7" s="1413" t="s">
        <v>759</v>
      </c>
      <c r="L7" s="528">
        <v>8760</v>
      </c>
      <c r="M7" s="299" t="s">
        <v>426</v>
      </c>
      <c r="N7" s="300">
        <f>H$7*J$7/6/2000</f>
        <v>175</v>
      </c>
      <c r="O7" s="301" t="s">
        <v>497</v>
      </c>
      <c r="P7" s="340"/>
    </row>
    <row r="8" spans="1:22" ht="16.5" customHeight="1" x14ac:dyDescent="0.2">
      <c r="A8" s="529">
        <v>2</v>
      </c>
      <c r="B8" s="510" t="s">
        <v>427</v>
      </c>
      <c r="C8" s="687"/>
      <c r="D8" s="726" t="s">
        <v>425</v>
      </c>
      <c r="E8" s="1405"/>
      <c r="F8" s="1408"/>
      <c r="G8" s="1313"/>
      <c r="H8" s="1417"/>
      <c r="I8" s="302" t="s">
        <v>682</v>
      </c>
      <c r="J8" s="1411"/>
      <c r="K8" s="1414"/>
      <c r="L8" s="257">
        <v>8760</v>
      </c>
      <c r="M8" s="303" t="s">
        <v>426</v>
      </c>
      <c r="N8" s="304">
        <f t="shared" ref="N8:N12" si="0">H$7*J$7/6/2000</f>
        <v>175</v>
      </c>
      <c r="O8" s="305" t="s">
        <v>497</v>
      </c>
    </row>
    <row r="9" spans="1:22" ht="16.5" customHeight="1" x14ac:dyDescent="0.2">
      <c r="A9" s="529">
        <v>3</v>
      </c>
      <c r="B9" s="510" t="s">
        <v>429</v>
      </c>
      <c r="C9" s="687"/>
      <c r="D9" s="726" t="s">
        <v>425</v>
      </c>
      <c r="E9" s="1405"/>
      <c r="F9" s="1408"/>
      <c r="G9" s="1313"/>
      <c r="H9" s="1417"/>
      <c r="I9" s="302" t="s">
        <v>682</v>
      </c>
      <c r="J9" s="1411"/>
      <c r="K9" s="1414"/>
      <c r="L9" s="257">
        <v>8760</v>
      </c>
      <c r="M9" s="303" t="s">
        <v>426</v>
      </c>
      <c r="N9" s="304">
        <f t="shared" si="0"/>
        <v>175</v>
      </c>
      <c r="O9" s="305" t="s">
        <v>497</v>
      </c>
      <c r="P9" s="307"/>
      <c r="Q9" s="307"/>
      <c r="R9" s="307"/>
      <c r="S9" s="307"/>
      <c r="T9" s="307"/>
      <c r="U9" s="307"/>
      <c r="V9" s="307"/>
    </row>
    <row r="10" spans="1:22" ht="16.5" customHeight="1" x14ac:dyDescent="0.2">
      <c r="A10" s="529">
        <v>4</v>
      </c>
      <c r="B10" s="510" t="s">
        <v>430</v>
      </c>
      <c r="C10" s="687"/>
      <c r="D10" s="726" t="s">
        <v>425</v>
      </c>
      <c r="E10" s="1405"/>
      <c r="F10" s="1408"/>
      <c r="G10" s="1313"/>
      <c r="H10" s="1417"/>
      <c r="I10" s="302" t="s">
        <v>682</v>
      </c>
      <c r="J10" s="1411"/>
      <c r="K10" s="1414"/>
      <c r="L10" s="257">
        <v>8760</v>
      </c>
      <c r="M10" s="303" t="s">
        <v>426</v>
      </c>
      <c r="N10" s="304">
        <f t="shared" si="0"/>
        <v>175</v>
      </c>
      <c r="O10" s="305" t="s">
        <v>497</v>
      </c>
      <c r="P10" s="307"/>
      <c r="Q10" s="307"/>
      <c r="R10" s="307"/>
      <c r="S10" s="307"/>
      <c r="T10" s="307"/>
      <c r="U10" s="307"/>
      <c r="V10" s="307"/>
    </row>
    <row r="11" spans="1:22" ht="16.5" customHeight="1" x14ac:dyDescent="0.2">
      <c r="A11" s="529">
        <v>5</v>
      </c>
      <c r="B11" s="510" t="s">
        <v>431</v>
      </c>
      <c r="C11" s="687"/>
      <c r="D11" s="726" t="s">
        <v>425</v>
      </c>
      <c r="E11" s="1405"/>
      <c r="F11" s="1408"/>
      <c r="G11" s="1313"/>
      <c r="H11" s="1417"/>
      <c r="I11" s="302" t="s">
        <v>682</v>
      </c>
      <c r="J11" s="1411"/>
      <c r="K11" s="1414"/>
      <c r="L11" s="257">
        <v>8760</v>
      </c>
      <c r="M11" s="303" t="s">
        <v>426</v>
      </c>
      <c r="N11" s="304">
        <f t="shared" si="0"/>
        <v>175</v>
      </c>
      <c r="O11" s="305" t="s">
        <v>497</v>
      </c>
      <c r="P11" s="308"/>
    </row>
    <row r="12" spans="1:22" ht="16.5" customHeight="1" x14ac:dyDescent="0.2">
      <c r="A12" s="529">
        <v>6</v>
      </c>
      <c r="B12" s="510" t="s">
        <v>432</v>
      </c>
      <c r="C12" s="687"/>
      <c r="D12" s="726" t="s">
        <v>425</v>
      </c>
      <c r="E12" s="1406"/>
      <c r="F12" s="1409"/>
      <c r="G12" s="1314"/>
      <c r="H12" s="1418"/>
      <c r="I12" s="302" t="s">
        <v>682</v>
      </c>
      <c r="J12" s="1412"/>
      <c r="K12" s="1415"/>
      <c r="L12" s="257">
        <v>8760</v>
      </c>
      <c r="M12" s="303" t="s">
        <v>426</v>
      </c>
      <c r="N12" s="304">
        <f t="shared" si="0"/>
        <v>175</v>
      </c>
      <c r="O12" s="305" t="s">
        <v>497</v>
      </c>
      <c r="P12" s="308"/>
    </row>
    <row r="13" spans="1:22" ht="28.5" x14ac:dyDescent="0.2">
      <c r="A13" s="529" t="s">
        <v>53</v>
      </c>
      <c r="B13" s="687" t="s">
        <v>433</v>
      </c>
      <c r="C13" s="687"/>
      <c r="D13" s="726" t="s">
        <v>49</v>
      </c>
      <c r="E13" s="1402" t="s">
        <v>49</v>
      </c>
      <c r="F13" s="1403"/>
      <c r="G13" s="269" t="s">
        <v>49</v>
      </c>
      <c r="H13" s="1402" t="s">
        <v>49</v>
      </c>
      <c r="I13" s="1403"/>
      <c r="J13" s="530">
        <v>13150</v>
      </c>
      <c r="K13" s="527" t="s">
        <v>117</v>
      </c>
      <c r="L13" s="257">
        <v>2195</v>
      </c>
      <c r="M13" s="531" t="s">
        <v>426</v>
      </c>
      <c r="N13" s="532">
        <v>0</v>
      </c>
      <c r="O13" s="533" t="s">
        <v>497</v>
      </c>
      <c r="P13" s="307"/>
      <c r="Q13" s="307"/>
      <c r="R13" s="307"/>
      <c r="S13" s="307"/>
      <c r="T13" s="307"/>
      <c r="U13" s="307"/>
      <c r="V13" s="307"/>
    </row>
    <row r="14" spans="1:22" ht="28.5" x14ac:dyDescent="0.2">
      <c r="A14" s="529" t="s">
        <v>54</v>
      </c>
      <c r="B14" s="687" t="s">
        <v>436</v>
      </c>
      <c r="C14" s="687"/>
      <c r="D14" s="726" t="s">
        <v>49</v>
      </c>
      <c r="E14" s="1402" t="s">
        <v>49</v>
      </c>
      <c r="F14" s="1403"/>
      <c r="G14" s="269" t="s">
        <v>49</v>
      </c>
      <c r="H14" s="1402" t="s">
        <v>49</v>
      </c>
      <c r="I14" s="1403"/>
      <c r="J14" s="530">
        <v>884</v>
      </c>
      <c r="K14" s="527" t="s">
        <v>117</v>
      </c>
      <c r="L14" s="257">
        <v>100</v>
      </c>
      <c r="M14" s="531" t="s">
        <v>426</v>
      </c>
      <c r="N14" s="532">
        <v>0</v>
      </c>
      <c r="O14" s="533" t="s">
        <v>497</v>
      </c>
      <c r="P14" s="307"/>
      <c r="Q14" s="307"/>
      <c r="R14" s="307"/>
      <c r="S14" s="307"/>
      <c r="T14" s="307"/>
      <c r="U14" s="307"/>
      <c r="V14" s="307"/>
    </row>
    <row r="15" spans="1:22" ht="28.5" x14ac:dyDescent="0.2">
      <c r="A15" s="529" t="s">
        <v>55</v>
      </c>
      <c r="B15" s="687" t="s">
        <v>438</v>
      </c>
      <c r="C15" s="687"/>
      <c r="D15" s="726" t="s">
        <v>49</v>
      </c>
      <c r="E15" s="1402" t="s">
        <v>49</v>
      </c>
      <c r="F15" s="1403"/>
      <c r="G15" s="269" t="s">
        <v>49</v>
      </c>
      <c r="H15" s="1402" t="s">
        <v>49</v>
      </c>
      <c r="I15" s="1403"/>
      <c r="J15" s="530">
        <v>9250</v>
      </c>
      <c r="K15" s="527" t="s">
        <v>117</v>
      </c>
      <c r="L15" s="257">
        <v>45</v>
      </c>
      <c r="M15" s="531" t="s">
        <v>426</v>
      </c>
      <c r="N15" s="532">
        <v>0</v>
      </c>
      <c r="O15" s="533" t="s">
        <v>497</v>
      </c>
      <c r="P15" s="307"/>
      <c r="Q15" s="307"/>
      <c r="R15" s="307"/>
      <c r="S15" s="307"/>
      <c r="T15" s="307"/>
      <c r="U15" s="307"/>
      <c r="V15" s="307"/>
    </row>
    <row r="16" spans="1:22" ht="28.5" x14ac:dyDescent="0.2">
      <c r="A16" s="529">
        <v>8</v>
      </c>
      <c r="B16" s="722" t="s">
        <v>440</v>
      </c>
      <c r="C16" s="687" t="s">
        <v>921</v>
      </c>
      <c r="D16" s="726" t="s">
        <v>441</v>
      </c>
      <c r="E16" s="534">
        <v>1.5E-3</v>
      </c>
      <c r="F16" s="535" t="s">
        <v>683</v>
      </c>
      <c r="G16" s="726" t="s">
        <v>684</v>
      </c>
      <c r="H16" s="536">
        <f t="shared" ref="H16:H44" si="1">(E16/100)*2*$D$64*1000</f>
        <v>0.21149999999999999</v>
      </c>
      <c r="I16" s="302" t="s">
        <v>685</v>
      </c>
      <c r="J16" s="530">
        <v>2937</v>
      </c>
      <c r="K16" s="527" t="s">
        <v>113</v>
      </c>
      <c r="L16" s="257">
        <v>500</v>
      </c>
      <c r="M16" s="531" t="s">
        <v>426</v>
      </c>
      <c r="N16" s="351">
        <f t="shared" ref="N16:N44" si="2">(H16/1000)*(1/$D$63)*$D$65*L16*J16/$D$66</f>
        <v>7.9347235401459864E-3</v>
      </c>
      <c r="O16" s="352" t="s">
        <v>497</v>
      </c>
      <c r="P16" s="307"/>
      <c r="Q16" s="307"/>
      <c r="R16" s="307"/>
      <c r="S16" s="307"/>
      <c r="T16" s="307"/>
      <c r="U16" s="307"/>
      <c r="V16" s="307"/>
    </row>
    <row r="17" spans="1:22" x14ac:dyDescent="0.2">
      <c r="A17" s="529">
        <v>9</v>
      </c>
      <c r="B17" s="261" t="s">
        <v>444</v>
      </c>
      <c r="C17" s="687" t="s">
        <v>443</v>
      </c>
      <c r="D17" s="726" t="s">
        <v>441</v>
      </c>
      <c r="E17" s="534">
        <v>1.5E-3</v>
      </c>
      <c r="F17" s="538" t="s">
        <v>686</v>
      </c>
      <c r="G17" s="726" t="s">
        <v>684</v>
      </c>
      <c r="H17" s="539">
        <f t="shared" si="1"/>
        <v>0.21149999999999999</v>
      </c>
      <c r="I17" s="302" t="s">
        <v>685</v>
      </c>
      <c r="J17" s="530">
        <v>352.89473684210526</v>
      </c>
      <c r="K17" s="527" t="s">
        <v>113</v>
      </c>
      <c r="L17" s="257">
        <v>500</v>
      </c>
      <c r="M17" s="531" t="s">
        <v>426</v>
      </c>
      <c r="N17" s="541">
        <f t="shared" si="2"/>
        <v>9.5339536112178254E-4</v>
      </c>
      <c r="O17" s="352" t="s">
        <v>497</v>
      </c>
      <c r="P17" s="307"/>
      <c r="Q17" s="307"/>
      <c r="R17" s="307"/>
      <c r="S17" s="307"/>
      <c r="T17" s="307"/>
      <c r="U17" s="307"/>
      <c r="V17" s="307"/>
    </row>
    <row r="18" spans="1:22" s="284" customFormat="1" ht="16.5" x14ac:dyDescent="0.2">
      <c r="A18" s="529">
        <v>10</v>
      </c>
      <c r="B18" s="686" t="s">
        <v>446</v>
      </c>
      <c r="C18" s="687" t="s">
        <v>443</v>
      </c>
      <c r="D18" s="726" t="s">
        <v>441</v>
      </c>
      <c r="E18" s="540">
        <v>1.5E-3</v>
      </c>
      <c r="F18" s="535" t="s">
        <v>683</v>
      </c>
      <c r="G18" s="726" t="s">
        <v>684</v>
      </c>
      <c r="H18" s="536">
        <f t="shared" si="1"/>
        <v>0.21149999999999999</v>
      </c>
      <c r="I18" s="302" t="s">
        <v>685</v>
      </c>
      <c r="J18" s="530">
        <v>762</v>
      </c>
      <c r="K18" s="527" t="s">
        <v>113</v>
      </c>
      <c r="L18" s="257">
        <v>500</v>
      </c>
      <c r="M18" s="531" t="s">
        <v>426</v>
      </c>
      <c r="N18" s="541">
        <f t="shared" si="2"/>
        <v>2.0586514598540146E-3</v>
      </c>
      <c r="O18" s="352" t="s">
        <v>497</v>
      </c>
      <c r="P18" s="542"/>
    </row>
    <row r="19" spans="1:22" ht="16.5" x14ac:dyDescent="0.2">
      <c r="A19" s="529">
        <v>11</v>
      </c>
      <c r="B19" s="686" t="s">
        <v>446</v>
      </c>
      <c r="C19" s="687" t="s">
        <v>443</v>
      </c>
      <c r="D19" s="726" t="s">
        <v>441</v>
      </c>
      <c r="E19" s="540">
        <v>1.5E-3</v>
      </c>
      <c r="F19" s="535" t="s">
        <v>683</v>
      </c>
      <c r="G19" s="269" t="s">
        <v>684</v>
      </c>
      <c r="H19" s="536">
        <f t="shared" si="1"/>
        <v>0.21149999999999999</v>
      </c>
      <c r="I19" s="302" t="s">
        <v>685</v>
      </c>
      <c r="J19" s="530">
        <v>762</v>
      </c>
      <c r="K19" s="527" t="s">
        <v>113</v>
      </c>
      <c r="L19" s="257">
        <v>500</v>
      </c>
      <c r="M19" s="531" t="s">
        <v>426</v>
      </c>
      <c r="N19" s="541">
        <f t="shared" si="2"/>
        <v>2.0586514598540146E-3</v>
      </c>
      <c r="O19" s="352" t="s">
        <v>497</v>
      </c>
      <c r="P19" s="320"/>
    </row>
    <row r="20" spans="1:22" x14ac:dyDescent="0.2">
      <c r="A20" s="529">
        <v>12</v>
      </c>
      <c r="B20" s="261" t="s">
        <v>447</v>
      </c>
      <c r="C20" s="687" t="s">
        <v>443</v>
      </c>
      <c r="D20" s="726" t="s">
        <v>441</v>
      </c>
      <c r="E20" s="534">
        <v>1.5E-3</v>
      </c>
      <c r="F20" s="538" t="s">
        <v>686</v>
      </c>
      <c r="G20" s="723" t="s">
        <v>684</v>
      </c>
      <c r="H20" s="539">
        <f t="shared" si="1"/>
        <v>0.21149999999999999</v>
      </c>
      <c r="I20" s="302" t="s">
        <v>685</v>
      </c>
      <c r="J20" s="530">
        <v>82</v>
      </c>
      <c r="K20" s="527" t="s">
        <v>113</v>
      </c>
      <c r="L20" s="257">
        <v>500</v>
      </c>
      <c r="M20" s="531" t="s">
        <v>426</v>
      </c>
      <c r="N20" s="541">
        <f t="shared" si="2"/>
        <v>2.2153467153284673E-4</v>
      </c>
      <c r="O20" s="352" t="s">
        <v>497</v>
      </c>
      <c r="P20" s="320"/>
    </row>
    <row r="21" spans="1:22" ht="16.5" x14ac:dyDescent="0.2">
      <c r="A21" s="529">
        <v>13</v>
      </c>
      <c r="B21" s="268" t="s">
        <v>448</v>
      </c>
      <c r="C21" s="687" t="s">
        <v>443</v>
      </c>
      <c r="D21" s="726" t="s">
        <v>441</v>
      </c>
      <c r="E21" s="540">
        <v>1.5E-3</v>
      </c>
      <c r="F21" s="535" t="s">
        <v>683</v>
      </c>
      <c r="G21" s="723" t="s">
        <v>684</v>
      </c>
      <c r="H21" s="539">
        <f t="shared" si="1"/>
        <v>0.21149999999999999</v>
      </c>
      <c r="I21" s="302" t="s">
        <v>685</v>
      </c>
      <c r="J21" s="530">
        <v>587</v>
      </c>
      <c r="K21" s="527" t="s">
        <v>113</v>
      </c>
      <c r="L21" s="257">
        <v>500</v>
      </c>
      <c r="M21" s="531" t="s">
        <v>426</v>
      </c>
      <c r="N21" s="541">
        <f t="shared" si="2"/>
        <v>1.5858640510948907E-3</v>
      </c>
      <c r="O21" s="352" t="s">
        <v>497</v>
      </c>
      <c r="P21" s="320"/>
    </row>
    <row r="22" spans="1:22" ht="16.5" x14ac:dyDescent="0.2">
      <c r="A22" s="529">
        <v>14</v>
      </c>
      <c r="B22" s="261" t="s">
        <v>449</v>
      </c>
      <c r="C22" s="687" t="s">
        <v>443</v>
      </c>
      <c r="D22" s="726" t="s">
        <v>441</v>
      </c>
      <c r="E22" s="540">
        <v>1.5E-3</v>
      </c>
      <c r="F22" s="535" t="s">
        <v>683</v>
      </c>
      <c r="G22" s="723" t="s">
        <v>684</v>
      </c>
      <c r="H22" s="536">
        <f t="shared" si="1"/>
        <v>0.21149999999999999</v>
      </c>
      <c r="I22" s="302" t="s">
        <v>685</v>
      </c>
      <c r="J22" s="530">
        <v>320</v>
      </c>
      <c r="K22" s="527" t="s">
        <v>113</v>
      </c>
      <c r="L22" s="257">
        <v>500</v>
      </c>
      <c r="M22" s="531" t="s">
        <v>426</v>
      </c>
      <c r="N22" s="541">
        <f t="shared" si="2"/>
        <v>8.6452554744525557E-4</v>
      </c>
      <c r="O22" s="352" t="s">
        <v>497</v>
      </c>
      <c r="P22" s="320"/>
    </row>
    <row r="23" spans="1:22" x14ac:dyDescent="0.2">
      <c r="A23" s="529">
        <v>15</v>
      </c>
      <c r="B23" s="261" t="s">
        <v>450</v>
      </c>
      <c r="C23" s="687" t="s">
        <v>443</v>
      </c>
      <c r="D23" s="726" t="s">
        <v>441</v>
      </c>
      <c r="E23" s="534">
        <v>1.5E-3</v>
      </c>
      <c r="F23" s="538" t="s">
        <v>686</v>
      </c>
      <c r="G23" s="723" t="s">
        <v>684</v>
      </c>
      <c r="H23" s="539">
        <f t="shared" si="1"/>
        <v>0.21149999999999999</v>
      </c>
      <c r="I23" s="302" t="s">
        <v>685</v>
      </c>
      <c r="J23" s="530">
        <v>1058.6842105263158</v>
      </c>
      <c r="K23" s="527" t="s">
        <v>113</v>
      </c>
      <c r="L23" s="257">
        <v>500</v>
      </c>
      <c r="M23" s="531" t="s">
        <v>426</v>
      </c>
      <c r="N23" s="541">
        <f t="shared" si="2"/>
        <v>2.8601860833653483E-3</v>
      </c>
      <c r="O23" s="352" t="s">
        <v>497</v>
      </c>
      <c r="P23" s="320"/>
    </row>
    <row r="24" spans="1:22" x14ac:dyDescent="0.2">
      <c r="A24" s="529">
        <v>16</v>
      </c>
      <c r="B24" s="686" t="s">
        <v>451</v>
      </c>
      <c r="C24" s="687" t="s">
        <v>443</v>
      </c>
      <c r="D24" s="726" t="s">
        <v>441</v>
      </c>
      <c r="E24" s="534">
        <v>1.5E-3</v>
      </c>
      <c r="F24" s="538" t="s">
        <v>686</v>
      </c>
      <c r="G24" s="723" t="s">
        <v>684</v>
      </c>
      <c r="H24" s="539">
        <f t="shared" si="1"/>
        <v>0.21149999999999999</v>
      </c>
      <c r="I24" s="302" t="s">
        <v>685</v>
      </c>
      <c r="J24" s="530">
        <v>211.73684210526318</v>
      </c>
      <c r="K24" s="527" t="s">
        <v>113</v>
      </c>
      <c r="L24" s="257">
        <v>500</v>
      </c>
      <c r="M24" s="531" t="s">
        <v>426</v>
      </c>
      <c r="N24" s="541">
        <f t="shared" si="2"/>
        <v>5.7203721667306964E-4</v>
      </c>
      <c r="O24" s="352" t="s">
        <v>497</v>
      </c>
      <c r="P24" s="320"/>
    </row>
    <row r="25" spans="1:22" ht="16.5" x14ac:dyDescent="0.2">
      <c r="A25" s="529">
        <v>17</v>
      </c>
      <c r="B25" s="686" t="s">
        <v>451</v>
      </c>
      <c r="C25" s="687" t="s">
        <v>443</v>
      </c>
      <c r="D25" s="726" t="s">
        <v>441</v>
      </c>
      <c r="E25" s="540">
        <v>1.5E-3</v>
      </c>
      <c r="F25" s="535" t="s">
        <v>683</v>
      </c>
      <c r="G25" s="723" t="s">
        <v>684</v>
      </c>
      <c r="H25" s="536">
        <f t="shared" si="1"/>
        <v>0.21149999999999999</v>
      </c>
      <c r="I25" s="302" t="s">
        <v>685</v>
      </c>
      <c r="J25" s="530">
        <v>176.44736842105263</v>
      </c>
      <c r="K25" s="527" t="s">
        <v>113</v>
      </c>
      <c r="L25" s="257">
        <v>500</v>
      </c>
      <c r="M25" s="531" t="s">
        <v>426</v>
      </c>
      <c r="N25" s="541">
        <f t="shared" si="2"/>
        <v>4.7669768056089127E-4</v>
      </c>
      <c r="O25" s="352" t="s">
        <v>497</v>
      </c>
      <c r="P25" s="320"/>
    </row>
    <row r="26" spans="1:22" x14ac:dyDescent="0.2">
      <c r="A26" s="529">
        <v>18</v>
      </c>
      <c r="B26" s="686" t="s">
        <v>452</v>
      </c>
      <c r="C26" s="687" t="s">
        <v>443</v>
      </c>
      <c r="D26" s="726" t="s">
        <v>441</v>
      </c>
      <c r="E26" s="534">
        <v>1.5E-3</v>
      </c>
      <c r="F26" s="538" t="s">
        <v>686</v>
      </c>
      <c r="G26" s="723" t="s">
        <v>684</v>
      </c>
      <c r="H26" s="539">
        <f t="shared" si="1"/>
        <v>0.21149999999999999</v>
      </c>
      <c r="I26" s="302" t="s">
        <v>685</v>
      </c>
      <c r="J26" s="530">
        <v>211.73684210526318</v>
      </c>
      <c r="K26" s="527" t="s">
        <v>113</v>
      </c>
      <c r="L26" s="257">
        <v>500</v>
      </c>
      <c r="M26" s="531" t="s">
        <v>426</v>
      </c>
      <c r="N26" s="541">
        <f t="shared" si="2"/>
        <v>5.7203721667306964E-4</v>
      </c>
      <c r="O26" s="352" t="s">
        <v>497</v>
      </c>
      <c r="P26" s="320"/>
    </row>
    <row r="27" spans="1:22" ht="16.5" x14ac:dyDescent="0.2">
      <c r="A27" s="529">
        <v>19</v>
      </c>
      <c r="B27" s="686" t="s">
        <v>453</v>
      </c>
      <c r="C27" s="687" t="s">
        <v>443</v>
      </c>
      <c r="D27" s="726" t="s">
        <v>441</v>
      </c>
      <c r="E27" s="540">
        <v>1.5E-3</v>
      </c>
      <c r="F27" s="535" t="s">
        <v>683</v>
      </c>
      <c r="G27" s="723" t="s">
        <v>684</v>
      </c>
      <c r="H27" s="539">
        <f t="shared" si="1"/>
        <v>0.21149999999999999</v>
      </c>
      <c r="I27" s="302" t="s">
        <v>685</v>
      </c>
      <c r="J27" s="530">
        <v>70.578947368421055</v>
      </c>
      <c r="K27" s="527" t="s">
        <v>113</v>
      </c>
      <c r="L27" s="257">
        <v>500</v>
      </c>
      <c r="M27" s="531" t="s">
        <v>426</v>
      </c>
      <c r="N27" s="541">
        <f t="shared" si="2"/>
        <v>1.9067907222435654E-4</v>
      </c>
      <c r="O27" s="352" t="s">
        <v>497</v>
      </c>
      <c r="P27" s="320"/>
    </row>
    <row r="28" spans="1:22" x14ac:dyDescent="0.2">
      <c r="A28" s="529">
        <v>20</v>
      </c>
      <c r="B28" s="686" t="s">
        <v>454</v>
      </c>
      <c r="C28" s="687" t="s">
        <v>443</v>
      </c>
      <c r="D28" s="726" t="s">
        <v>441</v>
      </c>
      <c r="E28" s="534">
        <v>1.5E-3</v>
      </c>
      <c r="F28" s="538" t="s">
        <v>686</v>
      </c>
      <c r="G28" s="723" t="s">
        <v>684</v>
      </c>
      <c r="H28" s="539">
        <f t="shared" si="1"/>
        <v>0.21149999999999999</v>
      </c>
      <c r="I28" s="302" t="s">
        <v>685</v>
      </c>
      <c r="J28" s="530">
        <v>35.289473684210527</v>
      </c>
      <c r="K28" s="527" t="s">
        <v>113</v>
      </c>
      <c r="L28" s="257">
        <v>500</v>
      </c>
      <c r="M28" s="531" t="s">
        <v>426</v>
      </c>
      <c r="N28" s="541">
        <f t="shared" si="2"/>
        <v>9.5339536112178268E-5</v>
      </c>
      <c r="O28" s="352" t="s">
        <v>497</v>
      </c>
      <c r="P28" s="320"/>
    </row>
    <row r="29" spans="1:22" x14ac:dyDescent="0.2">
      <c r="A29" s="529">
        <v>21</v>
      </c>
      <c r="B29" s="686" t="s">
        <v>455</v>
      </c>
      <c r="C29" s="687" t="s">
        <v>443</v>
      </c>
      <c r="D29" s="726" t="s">
        <v>441</v>
      </c>
      <c r="E29" s="534">
        <v>1.5E-3</v>
      </c>
      <c r="F29" s="538" t="s">
        <v>686</v>
      </c>
      <c r="G29" s="723" t="s">
        <v>684</v>
      </c>
      <c r="H29" s="539">
        <f t="shared" si="1"/>
        <v>0.21149999999999999</v>
      </c>
      <c r="I29" s="302" t="s">
        <v>685</v>
      </c>
      <c r="J29" s="530">
        <v>95</v>
      </c>
      <c r="K29" s="527" t="s">
        <v>113</v>
      </c>
      <c r="L29" s="257">
        <v>500</v>
      </c>
      <c r="M29" s="531" t="s">
        <v>426</v>
      </c>
      <c r="N29" s="541">
        <f t="shared" si="2"/>
        <v>2.5665602189781024E-4</v>
      </c>
      <c r="O29" s="352" t="s">
        <v>497</v>
      </c>
      <c r="P29" s="320"/>
    </row>
    <row r="30" spans="1:22" x14ac:dyDescent="0.2">
      <c r="A30" s="529">
        <v>22</v>
      </c>
      <c r="B30" s="686" t="s">
        <v>222</v>
      </c>
      <c r="C30" s="687" t="s">
        <v>443</v>
      </c>
      <c r="D30" s="726" t="s">
        <v>441</v>
      </c>
      <c r="E30" s="534">
        <v>1.5E-3</v>
      </c>
      <c r="F30" s="538" t="s">
        <v>686</v>
      </c>
      <c r="G30" s="723" t="s">
        <v>684</v>
      </c>
      <c r="H30" s="539">
        <f t="shared" si="1"/>
        <v>0.21149999999999999</v>
      </c>
      <c r="I30" s="302" t="s">
        <v>685</v>
      </c>
      <c r="J30" s="530">
        <v>35.289473684210527</v>
      </c>
      <c r="K30" s="527" t="s">
        <v>113</v>
      </c>
      <c r="L30" s="257">
        <v>500</v>
      </c>
      <c r="M30" s="531" t="s">
        <v>426</v>
      </c>
      <c r="N30" s="541">
        <f t="shared" si="2"/>
        <v>9.5339536112178268E-5</v>
      </c>
      <c r="O30" s="352" t="s">
        <v>497</v>
      </c>
      <c r="P30" s="320"/>
    </row>
    <row r="31" spans="1:22" x14ac:dyDescent="0.2">
      <c r="A31" s="529">
        <v>23</v>
      </c>
      <c r="B31" s="686" t="s">
        <v>452</v>
      </c>
      <c r="C31" s="687" t="s">
        <v>443</v>
      </c>
      <c r="D31" s="726" t="s">
        <v>441</v>
      </c>
      <c r="E31" s="534">
        <v>1.5E-3</v>
      </c>
      <c r="F31" s="538" t="s">
        <v>686</v>
      </c>
      <c r="G31" s="723" t="s">
        <v>684</v>
      </c>
      <c r="H31" s="539">
        <f t="shared" si="1"/>
        <v>0.21149999999999999</v>
      </c>
      <c r="I31" s="302" t="s">
        <v>685</v>
      </c>
      <c r="J31" s="530">
        <v>155.27368421052631</v>
      </c>
      <c r="K31" s="527" t="s">
        <v>113</v>
      </c>
      <c r="L31" s="257">
        <v>500</v>
      </c>
      <c r="M31" s="531" t="s">
        <v>426</v>
      </c>
      <c r="N31" s="541">
        <f t="shared" si="2"/>
        <v>4.1949395889358433E-4</v>
      </c>
      <c r="O31" s="352" t="s">
        <v>497</v>
      </c>
      <c r="P31" s="320"/>
    </row>
    <row r="32" spans="1:22" x14ac:dyDescent="0.2">
      <c r="A32" s="529">
        <v>24</v>
      </c>
      <c r="B32" s="686" t="s">
        <v>456</v>
      </c>
      <c r="C32" s="687" t="s">
        <v>443</v>
      </c>
      <c r="D32" s="726" t="s">
        <v>441</v>
      </c>
      <c r="E32" s="534">
        <v>1.5E-3</v>
      </c>
      <c r="F32" s="538" t="s">
        <v>686</v>
      </c>
      <c r="G32" s="723" t="s">
        <v>684</v>
      </c>
      <c r="H32" s="539">
        <f t="shared" si="1"/>
        <v>0.21149999999999999</v>
      </c>
      <c r="I32" s="302" t="s">
        <v>685</v>
      </c>
      <c r="J32" s="530">
        <v>50</v>
      </c>
      <c r="K32" s="527" t="s">
        <v>113</v>
      </c>
      <c r="L32" s="257">
        <v>500</v>
      </c>
      <c r="M32" s="531" t="s">
        <v>426</v>
      </c>
      <c r="N32" s="541">
        <f t="shared" si="2"/>
        <v>1.3508211678832119E-4</v>
      </c>
      <c r="O32" s="352" t="s">
        <v>497</v>
      </c>
      <c r="P32" s="320"/>
    </row>
    <row r="33" spans="1:16" ht="16.5" x14ac:dyDescent="0.2">
      <c r="A33" s="529">
        <v>25</v>
      </c>
      <c r="B33" s="686" t="s">
        <v>457</v>
      </c>
      <c r="C33" s="687" t="s">
        <v>443</v>
      </c>
      <c r="D33" s="726" t="s">
        <v>441</v>
      </c>
      <c r="E33" s="540">
        <v>1.5E-3</v>
      </c>
      <c r="F33" s="535" t="s">
        <v>683</v>
      </c>
      <c r="G33" s="723" t="s">
        <v>684</v>
      </c>
      <c r="H33" s="536">
        <f t="shared" si="1"/>
        <v>0.21149999999999999</v>
      </c>
      <c r="I33" s="302" t="s">
        <v>685</v>
      </c>
      <c r="J33" s="530">
        <v>18.350526315789473</v>
      </c>
      <c r="K33" s="527" t="s">
        <v>113</v>
      </c>
      <c r="L33" s="257">
        <v>500</v>
      </c>
      <c r="M33" s="531" t="s">
        <v>426</v>
      </c>
      <c r="N33" s="541">
        <f t="shared" si="2"/>
        <v>4.9576558778332694E-5</v>
      </c>
      <c r="O33" s="352" t="s">
        <v>497</v>
      </c>
      <c r="P33" s="320"/>
    </row>
    <row r="34" spans="1:16" x14ac:dyDescent="0.2">
      <c r="A34" s="529">
        <v>26</v>
      </c>
      <c r="B34" s="686" t="s">
        <v>458</v>
      </c>
      <c r="C34" s="687" t="s">
        <v>443</v>
      </c>
      <c r="D34" s="726" t="s">
        <v>441</v>
      </c>
      <c r="E34" s="534">
        <v>1.5E-3</v>
      </c>
      <c r="F34" s="538" t="s">
        <v>686</v>
      </c>
      <c r="G34" s="723" t="s">
        <v>684</v>
      </c>
      <c r="H34" s="539">
        <f t="shared" si="1"/>
        <v>0.21149999999999999</v>
      </c>
      <c r="I34" s="302" t="s">
        <v>685</v>
      </c>
      <c r="J34" s="530">
        <v>68</v>
      </c>
      <c r="K34" s="527" t="s">
        <v>113</v>
      </c>
      <c r="L34" s="257">
        <v>500</v>
      </c>
      <c r="M34" s="531" t="s">
        <v>426</v>
      </c>
      <c r="N34" s="541">
        <f t="shared" si="2"/>
        <v>1.837116788321168E-4</v>
      </c>
      <c r="O34" s="352" t="s">
        <v>497</v>
      </c>
      <c r="P34" s="320"/>
    </row>
    <row r="35" spans="1:16" ht="16.5" x14ac:dyDescent="0.2">
      <c r="A35" s="529">
        <v>27</v>
      </c>
      <c r="B35" s="686" t="s">
        <v>459</v>
      </c>
      <c r="C35" s="687" t="s">
        <v>443</v>
      </c>
      <c r="D35" s="726" t="s">
        <v>441</v>
      </c>
      <c r="E35" s="540">
        <v>1.5E-3</v>
      </c>
      <c r="F35" s="535" t="s">
        <v>683</v>
      </c>
      <c r="G35" s="723" t="s">
        <v>684</v>
      </c>
      <c r="H35" s="536">
        <f t="shared" si="1"/>
        <v>0.21149999999999999</v>
      </c>
      <c r="I35" s="302" t="s">
        <v>685</v>
      </c>
      <c r="J35" s="530">
        <v>274</v>
      </c>
      <c r="K35" s="527" t="s">
        <v>113</v>
      </c>
      <c r="L35" s="257">
        <v>500</v>
      </c>
      <c r="M35" s="531" t="s">
        <v>426</v>
      </c>
      <c r="N35" s="541">
        <f t="shared" si="2"/>
        <v>7.4025000000000002E-4</v>
      </c>
      <c r="O35" s="352" t="s">
        <v>497</v>
      </c>
      <c r="P35" s="320"/>
    </row>
    <row r="36" spans="1:16" ht="16.5" x14ac:dyDescent="0.2">
      <c r="A36" s="529">
        <v>28</v>
      </c>
      <c r="B36" s="266" t="s">
        <v>459</v>
      </c>
      <c r="C36" s="687" t="s">
        <v>443</v>
      </c>
      <c r="D36" s="726" t="s">
        <v>441</v>
      </c>
      <c r="E36" s="540">
        <v>1.5E-3</v>
      </c>
      <c r="F36" s="535" t="s">
        <v>683</v>
      </c>
      <c r="G36" s="723" t="s">
        <v>684</v>
      </c>
      <c r="H36" s="536">
        <f t="shared" si="1"/>
        <v>0.21149999999999999</v>
      </c>
      <c r="I36" s="302" t="s">
        <v>685</v>
      </c>
      <c r="J36" s="530">
        <v>274</v>
      </c>
      <c r="K36" s="527" t="s">
        <v>113</v>
      </c>
      <c r="L36" s="257">
        <v>500</v>
      </c>
      <c r="M36" s="531" t="s">
        <v>426</v>
      </c>
      <c r="N36" s="541">
        <f t="shared" si="2"/>
        <v>7.4025000000000002E-4</v>
      </c>
      <c r="O36" s="352" t="s">
        <v>497</v>
      </c>
      <c r="P36" s="320"/>
    </row>
    <row r="37" spans="1:16" ht="16.5" x14ac:dyDescent="0.2">
      <c r="A37" s="529" t="s">
        <v>748</v>
      </c>
      <c r="B37" s="266" t="s">
        <v>763</v>
      </c>
      <c r="C37" s="687" t="s">
        <v>460</v>
      </c>
      <c r="D37" s="726" t="s">
        <v>441</v>
      </c>
      <c r="E37" s="540">
        <v>1.5E-3</v>
      </c>
      <c r="F37" s="535" t="s">
        <v>683</v>
      </c>
      <c r="G37" s="723" t="s">
        <v>684</v>
      </c>
      <c r="H37" s="539">
        <f t="shared" si="1"/>
        <v>0.21149999999999999</v>
      </c>
      <c r="I37" s="302" t="s">
        <v>685</v>
      </c>
      <c r="J37" s="530">
        <v>74</v>
      </c>
      <c r="K37" s="527" t="s">
        <v>113</v>
      </c>
      <c r="L37" s="257">
        <v>500</v>
      </c>
      <c r="M37" s="531" t="s">
        <v>426</v>
      </c>
      <c r="N37" s="541">
        <f t="shared" si="2"/>
        <v>1.9992153284671536E-4</v>
      </c>
      <c r="O37" s="352" t="s">
        <v>497</v>
      </c>
      <c r="P37" s="320"/>
    </row>
    <row r="38" spans="1:16" x14ac:dyDescent="0.2">
      <c r="A38" s="529">
        <v>30</v>
      </c>
      <c r="B38" s="266" t="s">
        <v>461</v>
      </c>
      <c r="C38" s="687" t="s">
        <v>460</v>
      </c>
      <c r="D38" s="726" t="s">
        <v>441</v>
      </c>
      <c r="E38" s="534">
        <v>1.5E-3</v>
      </c>
      <c r="F38" s="538" t="s">
        <v>686</v>
      </c>
      <c r="G38" s="723" t="s">
        <v>684</v>
      </c>
      <c r="H38" s="539">
        <f t="shared" si="1"/>
        <v>0.21149999999999999</v>
      </c>
      <c r="I38" s="302" t="s">
        <v>685</v>
      </c>
      <c r="J38" s="530">
        <v>75</v>
      </c>
      <c r="K38" s="527" t="s">
        <v>113</v>
      </c>
      <c r="L38" s="257">
        <v>500</v>
      </c>
      <c r="M38" s="531" t="s">
        <v>426</v>
      </c>
      <c r="N38" s="541">
        <f t="shared" si="2"/>
        <v>2.0262317518248178E-4</v>
      </c>
      <c r="O38" s="352" t="s">
        <v>497</v>
      </c>
      <c r="P38" s="320"/>
    </row>
    <row r="39" spans="1:16" x14ac:dyDescent="0.2">
      <c r="A39" s="529" t="s">
        <v>749</v>
      </c>
      <c r="B39" s="266" t="s">
        <v>763</v>
      </c>
      <c r="C39" s="687" t="s">
        <v>460</v>
      </c>
      <c r="D39" s="726" t="s">
        <v>441</v>
      </c>
      <c r="E39" s="534">
        <v>1.5E-3</v>
      </c>
      <c r="F39" s="538" t="s">
        <v>686</v>
      </c>
      <c r="G39" s="723" t="s">
        <v>684</v>
      </c>
      <c r="H39" s="539">
        <f t="shared" si="1"/>
        <v>0.21149999999999999</v>
      </c>
      <c r="I39" s="302" t="s">
        <v>685</v>
      </c>
      <c r="J39" s="530">
        <v>74</v>
      </c>
      <c r="K39" s="527" t="s">
        <v>113</v>
      </c>
      <c r="L39" s="257">
        <v>500</v>
      </c>
      <c r="M39" s="531" t="s">
        <v>426</v>
      </c>
      <c r="N39" s="541">
        <f t="shared" si="2"/>
        <v>1.9992153284671536E-4</v>
      </c>
      <c r="O39" s="352" t="s">
        <v>497</v>
      </c>
      <c r="P39" s="320"/>
    </row>
    <row r="40" spans="1:16" x14ac:dyDescent="0.2">
      <c r="A40" s="529">
        <v>32</v>
      </c>
      <c r="B40" s="266" t="s">
        <v>462</v>
      </c>
      <c r="C40" s="687" t="s">
        <v>460</v>
      </c>
      <c r="D40" s="726" t="s">
        <v>441</v>
      </c>
      <c r="E40" s="534">
        <v>1.5E-3</v>
      </c>
      <c r="F40" s="538" t="s">
        <v>686</v>
      </c>
      <c r="G40" s="723" t="s">
        <v>684</v>
      </c>
      <c r="H40" s="539">
        <f t="shared" si="1"/>
        <v>0.21149999999999999</v>
      </c>
      <c r="I40" s="302" t="s">
        <v>685</v>
      </c>
      <c r="J40" s="530">
        <v>75</v>
      </c>
      <c r="K40" s="527" t="s">
        <v>113</v>
      </c>
      <c r="L40" s="257">
        <v>500</v>
      </c>
      <c r="M40" s="531" t="s">
        <v>426</v>
      </c>
      <c r="N40" s="541">
        <f t="shared" si="2"/>
        <v>2.0262317518248178E-4</v>
      </c>
      <c r="O40" s="352" t="s">
        <v>497</v>
      </c>
      <c r="P40" s="320"/>
    </row>
    <row r="41" spans="1:16" x14ac:dyDescent="0.2">
      <c r="A41" s="529">
        <v>33</v>
      </c>
      <c r="B41" s="266" t="s">
        <v>462</v>
      </c>
      <c r="C41" s="687" t="s">
        <v>460</v>
      </c>
      <c r="D41" s="726" t="s">
        <v>441</v>
      </c>
      <c r="E41" s="534">
        <v>1.5E-3</v>
      </c>
      <c r="F41" s="538" t="s">
        <v>686</v>
      </c>
      <c r="G41" s="723" t="s">
        <v>684</v>
      </c>
      <c r="H41" s="539">
        <f t="shared" si="1"/>
        <v>0.21149999999999999</v>
      </c>
      <c r="I41" s="302" t="s">
        <v>685</v>
      </c>
      <c r="J41" s="530">
        <v>75</v>
      </c>
      <c r="K41" s="527" t="s">
        <v>113</v>
      </c>
      <c r="L41" s="257">
        <v>500</v>
      </c>
      <c r="M41" s="531" t="s">
        <v>426</v>
      </c>
      <c r="N41" s="541">
        <f t="shared" si="2"/>
        <v>2.0262317518248178E-4</v>
      </c>
      <c r="O41" s="352" t="s">
        <v>497</v>
      </c>
      <c r="P41" s="320"/>
    </row>
    <row r="42" spans="1:16" x14ac:dyDescent="0.2">
      <c r="A42" s="529">
        <v>34</v>
      </c>
      <c r="B42" s="266" t="s">
        <v>464</v>
      </c>
      <c r="C42" s="687" t="s">
        <v>463</v>
      </c>
      <c r="D42" s="726" t="s">
        <v>441</v>
      </c>
      <c r="E42" s="534">
        <v>1.5E-3</v>
      </c>
      <c r="F42" s="538" t="s">
        <v>686</v>
      </c>
      <c r="G42" s="723" t="s">
        <v>684</v>
      </c>
      <c r="H42" s="539">
        <f t="shared" si="1"/>
        <v>0.21149999999999999</v>
      </c>
      <c r="I42" s="302" t="s">
        <v>685</v>
      </c>
      <c r="J42" s="530">
        <v>220</v>
      </c>
      <c r="K42" s="527" t="s">
        <v>113</v>
      </c>
      <c r="L42" s="257">
        <v>500</v>
      </c>
      <c r="M42" s="531" t="s">
        <v>426</v>
      </c>
      <c r="N42" s="541">
        <f t="shared" si="2"/>
        <v>5.9436131386861313E-4</v>
      </c>
      <c r="O42" s="352" t="s">
        <v>497</v>
      </c>
      <c r="P42" s="320"/>
    </row>
    <row r="43" spans="1:16" ht="16.5" x14ac:dyDescent="0.2">
      <c r="A43" s="529">
        <v>35</v>
      </c>
      <c r="B43" s="266" t="s">
        <v>465</v>
      </c>
      <c r="C43" s="687" t="s">
        <v>463</v>
      </c>
      <c r="D43" s="726" t="s">
        <v>441</v>
      </c>
      <c r="E43" s="540">
        <v>1.5E-3</v>
      </c>
      <c r="F43" s="535" t="s">
        <v>683</v>
      </c>
      <c r="G43" s="723" t="s">
        <v>684</v>
      </c>
      <c r="H43" s="539">
        <f t="shared" si="1"/>
        <v>0.21149999999999999</v>
      </c>
      <c r="I43" s="302" t="s">
        <v>685</v>
      </c>
      <c r="J43" s="530">
        <v>55</v>
      </c>
      <c r="K43" s="527" t="s">
        <v>113</v>
      </c>
      <c r="L43" s="257">
        <v>500</v>
      </c>
      <c r="M43" s="531" t="s">
        <v>426</v>
      </c>
      <c r="N43" s="541">
        <f t="shared" si="2"/>
        <v>1.4859032846715328E-4</v>
      </c>
      <c r="O43" s="352" t="s">
        <v>497</v>
      </c>
      <c r="P43" s="320"/>
    </row>
    <row r="44" spans="1:16" x14ac:dyDescent="0.2">
      <c r="A44" s="529">
        <v>36</v>
      </c>
      <c r="B44" s="266" t="s">
        <v>466</v>
      </c>
      <c r="C44" s="687" t="s">
        <v>463</v>
      </c>
      <c r="D44" s="726" t="s">
        <v>441</v>
      </c>
      <c r="E44" s="537">
        <v>0.5</v>
      </c>
      <c r="F44" s="538" t="s">
        <v>686</v>
      </c>
      <c r="G44" s="723" t="s">
        <v>684</v>
      </c>
      <c r="H44" s="539">
        <f t="shared" si="1"/>
        <v>70.5</v>
      </c>
      <c r="I44" s="302" t="s">
        <v>685</v>
      </c>
      <c r="J44" s="530">
        <v>220</v>
      </c>
      <c r="K44" s="527" t="s">
        <v>113</v>
      </c>
      <c r="L44" s="257">
        <v>500</v>
      </c>
      <c r="M44" s="531" t="s">
        <v>426</v>
      </c>
      <c r="N44" s="541">
        <f t="shared" si="2"/>
        <v>0.1981204379562044</v>
      </c>
      <c r="O44" s="352" t="s">
        <v>497</v>
      </c>
      <c r="P44" s="320"/>
    </row>
    <row r="45" spans="1:16" x14ac:dyDescent="0.2">
      <c r="A45" s="529" t="s">
        <v>56</v>
      </c>
      <c r="B45" s="510" t="s">
        <v>467</v>
      </c>
      <c r="C45" s="687"/>
      <c r="D45" s="726" t="s">
        <v>49</v>
      </c>
      <c r="E45" s="1121" t="s">
        <v>49</v>
      </c>
      <c r="F45" s="1122"/>
      <c r="G45" s="269" t="s">
        <v>49</v>
      </c>
      <c r="H45" s="1402" t="s">
        <v>49</v>
      </c>
      <c r="I45" s="1403"/>
      <c r="J45" s="530">
        <v>3620</v>
      </c>
      <c r="K45" s="527" t="s">
        <v>117</v>
      </c>
      <c r="L45" s="257">
        <v>4380</v>
      </c>
      <c r="M45" s="531" t="s">
        <v>426</v>
      </c>
      <c r="N45" s="543">
        <v>0</v>
      </c>
      <c r="O45" s="352" t="s">
        <v>497</v>
      </c>
      <c r="P45" s="320"/>
    </row>
    <row r="46" spans="1:16" x14ac:dyDescent="0.2">
      <c r="A46" s="529" t="s">
        <v>57</v>
      </c>
      <c r="B46" s="510" t="s">
        <v>469</v>
      </c>
      <c r="C46" s="687"/>
      <c r="D46" s="726" t="s">
        <v>49</v>
      </c>
      <c r="E46" s="1121" t="s">
        <v>49</v>
      </c>
      <c r="F46" s="1122"/>
      <c r="G46" s="269" t="s">
        <v>49</v>
      </c>
      <c r="H46" s="1402" t="s">
        <v>49</v>
      </c>
      <c r="I46" s="1403"/>
      <c r="J46" s="530">
        <v>3620</v>
      </c>
      <c r="K46" s="527" t="s">
        <v>117</v>
      </c>
      <c r="L46" s="257">
        <v>4380</v>
      </c>
      <c r="M46" s="531" t="s">
        <v>426</v>
      </c>
      <c r="N46" s="543">
        <v>0</v>
      </c>
      <c r="O46" s="352" t="s">
        <v>497</v>
      </c>
      <c r="P46" s="320"/>
    </row>
    <row r="47" spans="1:16" x14ac:dyDescent="0.2">
      <c r="A47" s="529">
        <v>52</v>
      </c>
      <c r="B47" s="510" t="s">
        <v>470</v>
      </c>
      <c r="C47" s="687"/>
      <c r="D47" s="726" t="s">
        <v>49</v>
      </c>
      <c r="E47" s="1121" t="s">
        <v>49</v>
      </c>
      <c r="F47" s="1122"/>
      <c r="G47" s="269" t="s">
        <v>49</v>
      </c>
      <c r="H47" s="1402" t="s">
        <v>49</v>
      </c>
      <c r="I47" s="1403"/>
      <c r="J47" s="1240" t="s">
        <v>49</v>
      </c>
      <c r="K47" s="1241"/>
      <c r="L47" s="544">
        <v>82049</v>
      </c>
      <c r="M47" s="531" t="s">
        <v>497</v>
      </c>
      <c r="N47" s="543">
        <v>0</v>
      </c>
      <c r="O47" s="352" t="s">
        <v>497</v>
      </c>
      <c r="P47" s="320"/>
    </row>
    <row r="48" spans="1:16" ht="17.25" thickBot="1" x14ac:dyDescent="0.35">
      <c r="A48" s="1218" t="s">
        <v>776</v>
      </c>
      <c r="B48" s="1219"/>
      <c r="C48" s="1219"/>
      <c r="D48" s="1219"/>
      <c r="E48" s="1219"/>
      <c r="F48" s="1219"/>
      <c r="G48" s="1219"/>
      <c r="H48" s="1219"/>
      <c r="I48" s="1219"/>
      <c r="J48" s="1219"/>
      <c r="K48" s="1219"/>
      <c r="L48" s="1219"/>
      <c r="M48" s="1220"/>
      <c r="N48" s="325">
        <f>SUM(N7:N47)</f>
        <v>1050.2229357849581</v>
      </c>
      <c r="O48" s="326" t="s">
        <v>497</v>
      </c>
    </row>
    <row r="49" spans="1:15" ht="15.75" thickBot="1" x14ac:dyDescent="0.3">
      <c r="A49" s="1151" t="s">
        <v>471</v>
      </c>
      <c r="B49" s="1152"/>
      <c r="C49" s="1152"/>
      <c r="D49" s="1152"/>
      <c r="E49" s="1152"/>
      <c r="F49" s="1152"/>
      <c r="G49" s="1152"/>
      <c r="H49" s="1152"/>
      <c r="I49" s="1152"/>
      <c r="J49" s="1152"/>
      <c r="K49" s="1152"/>
      <c r="L49" s="1152"/>
      <c r="M49" s="1152"/>
      <c r="N49" s="1152"/>
      <c r="O49" s="1153"/>
    </row>
    <row r="50" spans="1:15" ht="15" thickTop="1" x14ac:dyDescent="0.2">
      <c r="A50" s="529" t="s">
        <v>49</v>
      </c>
      <c r="B50" s="510" t="s">
        <v>472</v>
      </c>
      <c r="C50" s="687"/>
      <c r="D50" s="726" t="s">
        <v>49</v>
      </c>
      <c r="E50" s="1121" t="s">
        <v>49</v>
      </c>
      <c r="F50" s="1122"/>
      <c r="G50" s="269" t="s">
        <v>49</v>
      </c>
      <c r="H50" s="1402" t="s">
        <v>49</v>
      </c>
      <c r="I50" s="1403"/>
      <c r="J50" s="530">
        <v>1460</v>
      </c>
      <c r="K50" s="527" t="s">
        <v>117</v>
      </c>
      <c r="L50" s="544">
        <v>8760</v>
      </c>
      <c r="M50" s="531" t="s">
        <v>426</v>
      </c>
      <c r="N50" s="545">
        <v>0</v>
      </c>
      <c r="O50" s="546" t="s">
        <v>497</v>
      </c>
    </row>
    <row r="51" spans="1:15" x14ac:dyDescent="0.2">
      <c r="A51" s="529" t="s">
        <v>49</v>
      </c>
      <c r="B51" s="510" t="s">
        <v>474</v>
      </c>
      <c r="C51" s="687"/>
      <c r="D51" s="726" t="s">
        <v>49</v>
      </c>
      <c r="E51" s="1121" t="s">
        <v>49</v>
      </c>
      <c r="F51" s="1122"/>
      <c r="G51" s="269" t="s">
        <v>49</v>
      </c>
      <c r="H51" s="1402" t="s">
        <v>49</v>
      </c>
      <c r="I51" s="1403"/>
      <c r="J51" s="1240" t="s">
        <v>49</v>
      </c>
      <c r="K51" s="1241"/>
      <c r="L51" s="544">
        <v>67959.523809523816</v>
      </c>
      <c r="M51" s="531" t="s">
        <v>497</v>
      </c>
      <c r="N51" s="547">
        <v>0</v>
      </c>
      <c r="O51" s="548" t="s">
        <v>497</v>
      </c>
    </row>
    <row r="52" spans="1:15" x14ac:dyDescent="0.2">
      <c r="A52" s="529" t="s">
        <v>49</v>
      </c>
      <c r="B52" s="510" t="s">
        <v>476</v>
      </c>
      <c r="C52" s="687"/>
      <c r="D52" s="726" t="s">
        <v>478</v>
      </c>
      <c r="E52" s="1121" t="s">
        <v>49</v>
      </c>
      <c r="F52" s="1122"/>
      <c r="G52" s="269" t="s">
        <v>49</v>
      </c>
      <c r="H52" s="1402" t="s">
        <v>49</v>
      </c>
      <c r="I52" s="1403"/>
      <c r="J52" s="1240" t="s">
        <v>49</v>
      </c>
      <c r="K52" s="1241"/>
      <c r="L52" s="1254" t="s">
        <v>49</v>
      </c>
      <c r="M52" s="1255"/>
      <c r="N52" s="547">
        <v>0</v>
      </c>
      <c r="O52" s="548" t="s">
        <v>497</v>
      </c>
    </row>
    <row r="53" spans="1:15" x14ac:dyDescent="0.2">
      <c r="A53" s="529" t="s">
        <v>49</v>
      </c>
      <c r="B53" s="510" t="s">
        <v>479</v>
      </c>
      <c r="C53" s="687"/>
      <c r="D53" s="726" t="s">
        <v>478</v>
      </c>
      <c r="E53" s="1121" t="s">
        <v>49</v>
      </c>
      <c r="F53" s="1122"/>
      <c r="G53" s="269" t="s">
        <v>49</v>
      </c>
      <c r="H53" s="1402" t="s">
        <v>49</v>
      </c>
      <c r="I53" s="1403"/>
      <c r="J53" s="1240" t="s">
        <v>49</v>
      </c>
      <c r="K53" s="1241"/>
      <c r="L53" s="1254" t="s">
        <v>49</v>
      </c>
      <c r="M53" s="1255"/>
      <c r="N53" s="547">
        <v>0</v>
      </c>
      <c r="O53" s="548" t="s">
        <v>497</v>
      </c>
    </row>
    <row r="54" spans="1:15" ht="16.5" x14ac:dyDescent="0.3">
      <c r="A54" s="1234" t="s">
        <v>774</v>
      </c>
      <c r="B54" s="1235"/>
      <c r="C54" s="1235"/>
      <c r="D54" s="1235"/>
      <c r="E54" s="1235"/>
      <c r="F54" s="1235"/>
      <c r="G54" s="1235"/>
      <c r="H54" s="1235"/>
      <c r="I54" s="1235"/>
      <c r="J54" s="1235"/>
      <c r="K54" s="1235"/>
      <c r="L54" s="1235"/>
      <c r="M54" s="1236"/>
      <c r="N54" s="331">
        <f>SUM(N51:N51)</f>
        <v>0</v>
      </c>
      <c r="O54" s="332" t="s">
        <v>497</v>
      </c>
    </row>
    <row r="55" spans="1:15" s="374" customFormat="1" ht="15" x14ac:dyDescent="0.25">
      <c r="A55" s="727"/>
      <c r="B55" s="728"/>
      <c r="C55" s="713"/>
      <c r="D55" s="728"/>
      <c r="E55" s="728"/>
      <c r="F55" s="728"/>
      <c r="G55" s="728"/>
      <c r="H55" s="368"/>
      <c r="I55" s="368"/>
      <c r="J55" s="369"/>
      <c r="K55" s="368"/>
      <c r="L55" s="370"/>
      <c r="M55" s="371"/>
      <c r="N55" s="372"/>
      <c r="O55" s="373"/>
    </row>
    <row r="56" spans="1:15" ht="17.25" thickBot="1" x14ac:dyDescent="0.35">
      <c r="A56" s="1218" t="s">
        <v>775</v>
      </c>
      <c r="B56" s="1219"/>
      <c r="C56" s="1219"/>
      <c r="D56" s="1219"/>
      <c r="E56" s="1219"/>
      <c r="F56" s="1219"/>
      <c r="G56" s="1219"/>
      <c r="H56" s="1219"/>
      <c r="I56" s="1219"/>
      <c r="J56" s="1219"/>
      <c r="K56" s="1219"/>
      <c r="L56" s="1219"/>
      <c r="M56" s="1220"/>
      <c r="N56" s="333">
        <f>SUM(N48,N54)</f>
        <v>1050.2229357849581</v>
      </c>
      <c r="O56" s="326" t="s">
        <v>497</v>
      </c>
    </row>
    <row r="57" spans="1:15" ht="15" x14ac:dyDescent="0.25">
      <c r="A57" s="549"/>
      <c r="B57" s="283"/>
      <c r="C57" s="714"/>
      <c r="D57" s="283"/>
      <c r="E57" s="283"/>
      <c r="F57" s="283"/>
      <c r="G57" s="283"/>
      <c r="H57" s="283"/>
      <c r="I57" s="283"/>
      <c r="J57" s="283"/>
      <c r="K57" s="335"/>
      <c r="L57" s="336"/>
      <c r="M57" s="337"/>
    </row>
    <row r="58" spans="1:15" ht="15" x14ac:dyDescent="0.25">
      <c r="A58" s="720" t="s">
        <v>239</v>
      </c>
      <c r="B58" s="283"/>
      <c r="C58" s="714"/>
      <c r="D58" s="283"/>
      <c r="E58" s="283"/>
      <c r="F58" s="283"/>
      <c r="G58" s="283"/>
      <c r="H58" s="283"/>
      <c r="I58" s="283"/>
      <c r="J58" s="283"/>
      <c r="K58" s="335"/>
      <c r="L58" s="336"/>
      <c r="M58" s="337"/>
    </row>
    <row r="59" spans="1:15" s="119" customFormat="1" ht="16.5" x14ac:dyDescent="0.2">
      <c r="A59" s="721" t="s">
        <v>758</v>
      </c>
      <c r="B59" s="720"/>
      <c r="C59" s="715"/>
      <c r="D59" s="720"/>
      <c r="E59" s="720"/>
      <c r="F59" s="720"/>
      <c r="G59" s="720"/>
      <c r="H59" s="720"/>
      <c r="I59" s="720"/>
      <c r="J59" s="720"/>
      <c r="K59" s="720"/>
      <c r="L59" s="552"/>
      <c r="M59" s="720"/>
    </row>
    <row r="60" spans="1:15" s="119" customFormat="1" ht="16.5" x14ac:dyDescent="0.2">
      <c r="A60" s="553" t="s">
        <v>687</v>
      </c>
      <c r="B60" s="554"/>
      <c r="C60" s="716"/>
      <c r="D60" s="720"/>
      <c r="E60" s="720"/>
      <c r="F60" s="720"/>
      <c r="G60" s="720"/>
      <c r="H60" s="720"/>
      <c r="I60" s="720"/>
      <c r="J60" s="720"/>
      <c r="K60" s="720"/>
      <c r="L60" s="552"/>
      <c r="M60" s="720"/>
    </row>
    <row r="61" spans="1:15" x14ac:dyDescent="0.2">
      <c r="A61" s="122"/>
      <c r="B61" s="283"/>
      <c r="C61" s="714"/>
      <c r="D61" s="283"/>
      <c r="E61" s="283"/>
      <c r="F61" s="283"/>
      <c r="G61" s="283"/>
      <c r="H61" s="283"/>
      <c r="I61" s="283"/>
      <c r="J61" s="283"/>
      <c r="K61" s="286"/>
      <c r="L61" s="555"/>
      <c r="M61" s="283"/>
    </row>
    <row r="62" spans="1:15" x14ac:dyDescent="0.2">
      <c r="A62" s="125" t="s">
        <v>483</v>
      </c>
    </row>
    <row r="63" spans="1:15" x14ac:dyDescent="0.2">
      <c r="B63" s="338" t="s">
        <v>688</v>
      </c>
      <c r="C63" s="718"/>
      <c r="D63" s="126">
        <v>137000</v>
      </c>
      <c r="E63" s="125" t="s">
        <v>689</v>
      </c>
      <c r="F63" s="556" t="s">
        <v>690</v>
      </c>
    </row>
    <row r="64" spans="1:15" x14ac:dyDescent="0.2">
      <c r="B64" s="338" t="s">
        <v>691</v>
      </c>
      <c r="C64" s="718"/>
      <c r="D64" s="557">
        <v>7.05</v>
      </c>
      <c r="E64" s="125" t="s">
        <v>692</v>
      </c>
      <c r="F64" s="556" t="s">
        <v>693</v>
      </c>
    </row>
    <row r="65" spans="1:15" x14ac:dyDescent="0.2">
      <c r="B65" s="338" t="s">
        <v>694</v>
      </c>
      <c r="C65" s="718"/>
      <c r="D65" s="126">
        <v>7000</v>
      </c>
      <c r="E65" s="125" t="s">
        <v>695</v>
      </c>
      <c r="F65" s="342" t="s">
        <v>696</v>
      </c>
    </row>
    <row r="66" spans="1:15" x14ac:dyDescent="0.2">
      <c r="B66" s="338" t="s">
        <v>503</v>
      </c>
      <c r="C66" s="718"/>
      <c r="D66" s="339">
        <v>2000</v>
      </c>
      <c r="E66" s="125" t="s">
        <v>496</v>
      </c>
    </row>
    <row r="67" spans="1:15" x14ac:dyDescent="0.2">
      <c r="B67" s="338" t="s">
        <v>505</v>
      </c>
      <c r="C67" s="718"/>
      <c r="D67" s="341">
        <f>7560*D66/1000000</f>
        <v>15.12</v>
      </c>
      <c r="E67" s="125" t="s">
        <v>506</v>
      </c>
      <c r="F67" s="342" t="s">
        <v>507</v>
      </c>
    </row>
    <row r="68" spans="1:15" x14ac:dyDescent="0.2">
      <c r="B68" s="340"/>
      <c r="C68" s="719"/>
      <c r="E68" s="578"/>
    </row>
    <row r="69" spans="1:15" x14ac:dyDescent="0.2">
      <c r="A69" s="125" t="s">
        <v>862</v>
      </c>
      <c r="E69" s="578"/>
    </row>
    <row r="70" spans="1:15" x14ac:dyDescent="0.2">
      <c r="E70" s="578"/>
    </row>
    <row r="71" spans="1:15" x14ac:dyDescent="0.2">
      <c r="A71" s="125" t="s">
        <v>863</v>
      </c>
      <c r="C71" s="717" t="s">
        <v>864</v>
      </c>
      <c r="E71" s="578"/>
    </row>
    <row r="72" spans="1:15" ht="32.25" customHeight="1" x14ac:dyDescent="0.2">
      <c r="B72" s="125" t="s">
        <v>865</v>
      </c>
      <c r="C72" s="750">
        <f>E7</f>
        <v>0.2</v>
      </c>
      <c r="D72" s="1419" t="s">
        <v>983</v>
      </c>
      <c r="E72" s="1419"/>
      <c r="F72" s="1419"/>
      <c r="G72" s="1419"/>
      <c r="H72" s="1419"/>
      <c r="I72" s="1419"/>
      <c r="J72" s="1419"/>
      <c r="K72" s="1419"/>
      <c r="L72" s="1419"/>
      <c r="M72" s="1419"/>
      <c r="N72" s="1419"/>
      <c r="O72" s="1419"/>
    </row>
    <row r="73" spans="1:15" x14ac:dyDescent="0.2">
      <c r="B73" s="125" t="s">
        <v>124</v>
      </c>
      <c r="C73" s="717">
        <f>C72*35</f>
        <v>7</v>
      </c>
      <c r="D73" s="125" t="s">
        <v>866</v>
      </c>
      <c r="E73" s="578"/>
    </row>
    <row r="74" spans="1:15" x14ac:dyDescent="0.2">
      <c r="E74" s="578"/>
    </row>
    <row r="75" spans="1:15" x14ac:dyDescent="0.2">
      <c r="A75" s="125" t="s">
        <v>867</v>
      </c>
      <c r="E75" s="578"/>
    </row>
    <row r="76" spans="1:15" x14ac:dyDescent="0.2">
      <c r="B76" s="125" t="s">
        <v>868</v>
      </c>
      <c r="C76" s="717">
        <v>7572</v>
      </c>
      <c r="D76" s="125" t="s">
        <v>869</v>
      </c>
      <c r="E76" s="578" t="s">
        <v>870</v>
      </c>
    </row>
    <row r="77" spans="1:15" x14ac:dyDescent="0.2">
      <c r="E77" s="578"/>
    </row>
    <row r="78" spans="1:15" x14ac:dyDescent="0.2">
      <c r="E78" s="578"/>
    </row>
    <row r="79" spans="1:15" x14ac:dyDescent="0.2">
      <c r="A79" s="125" t="s">
        <v>871</v>
      </c>
      <c r="C79" s="750">
        <f>C73/2000/C76*1000000</f>
        <v>0.46222926571579503</v>
      </c>
      <c r="D79" s="125" t="s">
        <v>872</v>
      </c>
      <c r="E79" s="578"/>
    </row>
    <row r="80" spans="1:15" x14ac:dyDescent="0.2">
      <c r="E80" s="578"/>
    </row>
    <row r="81" spans="5:5" x14ac:dyDescent="0.2">
      <c r="E81" s="578"/>
    </row>
    <row r="82" spans="5:5" x14ac:dyDescent="0.2">
      <c r="E82" s="578"/>
    </row>
    <row r="83" spans="5:5" x14ac:dyDescent="0.2">
      <c r="E83" s="578"/>
    </row>
    <row r="84" spans="5:5" x14ac:dyDescent="0.2">
      <c r="E84" s="578"/>
    </row>
    <row r="85" spans="5:5" x14ac:dyDescent="0.2">
      <c r="E85" s="578"/>
    </row>
    <row r="86" spans="5:5" x14ac:dyDescent="0.2">
      <c r="E86" s="578"/>
    </row>
    <row r="87" spans="5:5" x14ac:dyDescent="0.2">
      <c r="E87" s="578"/>
    </row>
    <row r="88" spans="5:5" x14ac:dyDescent="0.2">
      <c r="E88" s="578"/>
    </row>
    <row r="89" spans="5:5" x14ac:dyDescent="0.2">
      <c r="E89" s="578"/>
    </row>
    <row r="90" spans="5:5" x14ac:dyDescent="0.2">
      <c r="E90" s="578"/>
    </row>
    <row r="91" spans="5:5" x14ac:dyDescent="0.2">
      <c r="E91" s="578"/>
    </row>
    <row r="92" spans="5:5" x14ac:dyDescent="0.2">
      <c r="E92" s="578"/>
    </row>
    <row r="93" spans="5:5" x14ac:dyDescent="0.2">
      <c r="E93" s="578"/>
    </row>
    <row r="94" spans="5:5" x14ac:dyDescent="0.2">
      <c r="E94" s="578"/>
    </row>
    <row r="95" spans="5:5" x14ac:dyDescent="0.2">
      <c r="E95" s="578"/>
    </row>
    <row r="96" spans="5:5" x14ac:dyDescent="0.2">
      <c r="E96" s="578"/>
    </row>
    <row r="97" spans="5:5" x14ac:dyDescent="0.2">
      <c r="E97" s="578"/>
    </row>
    <row r="98" spans="5:5" x14ac:dyDescent="0.2">
      <c r="E98" s="578"/>
    </row>
    <row r="99" spans="5:5" x14ac:dyDescent="0.2">
      <c r="E99" s="578"/>
    </row>
    <row r="100" spans="5:5" x14ac:dyDescent="0.2">
      <c r="E100" s="578"/>
    </row>
  </sheetData>
  <mergeCells count="47">
    <mergeCell ref="D72:O72"/>
    <mergeCell ref="A54:M54"/>
    <mergeCell ref="A56:M56"/>
    <mergeCell ref="E52:F52"/>
    <mergeCell ref="H52:I52"/>
    <mergeCell ref="J52:K52"/>
    <mergeCell ref="L52:M52"/>
    <mergeCell ref="E53:F53"/>
    <mergeCell ref="H53:I53"/>
    <mergeCell ref="J53:K53"/>
    <mergeCell ref="L53:M53"/>
    <mergeCell ref="E51:F51"/>
    <mergeCell ref="H51:I51"/>
    <mergeCell ref="J51:K51"/>
    <mergeCell ref="E45:F45"/>
    <mergeCell ref="H45:I45"/>
    <mergeCell ref="E46:F46"/>
    <mergeCell ref="H46:I46"/>
    <mergeCell ref="E47:F47"/>
    <mergeCell ref="H47:I47"/>
    <mergeCell ref="J47:K47"/>
    <mergeCell ref="A48:M48"/>
    <mergeCell ref="A49:O49"/>
    <mergeCell ref="E50:F50"/>
    <mergeCell ref="H50:I50"/>
    <mergeCell ref="E13:F13"/>
    <mergeCell ref="H13:I13"/>
    <mergeCell ref="E14:F14"/>
    <mergeCell ref="H14:I14"/>
    <mergeCell ref="E15:F15"/>
    <mergeCell ref="H15:I15"/>
    <mergeCell ref="E5:F5"/>
    <mergeCell ref="J5:K5"/>
    <mergeCell ref="N5:O5"/>
    <mergeCell ref="A6:O6"/>
    <mergeCell ref="E7:E12"/>
    <mergeCell ref="F7:F12"/>
    <mergeCell ref="G7:G12"/>
    <mergeCell ref="J7:J12"/>
    <mergeCell ref="K7:K12"/>
    <mergeCell ref="H7:H12"/>
    <mergeCell ref="A1:O1"/>
    <mergeCell ref="A2:O2"/>
    <mergeCell ref="A4:B4"/>
    <mergeCell ref="E4:F4"/>
    <mergeCell ref="J4:K4"/>
    <mergeCell ref="N4:O4"/>
  </mergeCells>
  <printOptions horizontalCentered="1"/>
  <pageMargins left="0.75" right="0.75" top="0.75" bottom="0.92" header="0.75" footer="0.63"/>
  <pageSetup scale="65" fitToHeight="2" orientation="landscape" useFirstPageNumber="1" r:id="rId1"/>
  <headerFooter alignWithMargins="0"/>
  <rowBreaks count="1" manualBreakCount="1">
    <brk id="48" max="14"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R47"/>
  <sheetViews>
    <sheetView workbookViewId="0">
      <selection activeCell="A49" sqref="A49"/>
    </sheetView>
  </sheetViews>
  <sheetFormatPr defaultColWidth="8.7109375" defaultRowHeight="15" x14ac:dyDescent="0.25"/>
  <cols>
    <col min="1" max="2" width="8.7109375" style="832"/>
    <col min="3" max="3" width="26.140625" style="832" customWidth="1"/>
    <col min="4" max="4" width="23" style="832" customWidth="1"/>
    <col min="5" max="5" width="8.7109375" style="832"/>
    <col min="6" max="6" width="22.42578125" style="832" customWidth="1"/>
    <col min="7" max="8" width="8.7109375" style="832" hidden="1" customWidth="1"/>
    <col min="9" max="9" width="8.7109375" style="832"/>
    <col min="10" max="10" width="13.140625" style="832" customWidth="1"/>
    <col min="11" max="11" width="33.28515625" style="834" customWidth="1"/>
    <col min="12" max="12" width="8.7109375" style="832"/>
    <col min="13" max="13" width="87.5703125" style="832" customWidth="1"/>
    <col min="14" max="16384" width="8.7109375" style="832"/>
  </cols>
  <sheetData>
    <row r="1" spans="1:13" s="831" customFormat="1" ht="60" x14ac:dyDescent="0.25">
      <c r="A1" s="867" t="s">
        <v>800</v>
      </c>
      <c r="B1" s="867" t="s">
        <v>288</v>
      </c>
      <c r="C1" s="867" t="s">
        <v>793</v>
      </c>
      <c r="D1" s="867" t="s">
        <v>25</v>
      </c>
      <c r="E1" s="867" t="s">
        <v>794</v>
      </c>
      <c r="F1" s="867" t="s">
        <v>795</v>
      </c>
      <c r="G1" s="867"/>
      <c r="H1" s="867"/>
      <c r="I1" s="867" t="s">
        <v>797</v>
      </c>
      <c r="J1" s="867" t="s">
        <v>796</v>
      </c>
      <c r="K1" s="868" t="s">
        <v>801</v>
      </c>
      <c r="M1" s="836"/>
    </row>
    <row r="2" spans="1:13" ht="29.25" x14ac:dyDescent="0.25">
      <c r="A2" s="869" t="s">
        <v>798</v>
      </c>
      <c r="B2" s="269">
        <v>8</v>
      </c>
      <c r="C2" s="929" t="s">
        <v>440</v>
      </c>
      <c r="D2" s="870" t="s">
        <v>921</v>
      </c>
      <c r="E2" s="269">
        <v>2009</v>
      </c>
      <c r="F2" s="269" t="s">
        <v>708</v>
      </c>
      <c r="G2" s="269">
        <v>6.4</v>
      </c>
      <c r="H2" s="269" t="s">
        <v>175</v>
      </c>
      <c r="I2" s="871">
        <v>2937</v>
      </c>
      <c r="J2" s="872">
        <v>500</v>
      </c>
      <c r="K2" s="873" t="s">
        <v>802</v>
      </c>
    </row>
    <row r="3" spans="1:13" ht="15" customHeight="1" x14ac:dyDescent="0.25">
      <c r="A3" s="869" t="s">
        <v>798</v>
      </c>
      <c r="B3" s="269">
        <v>9</v>
      </c>
      <c r="C3" s="261" t="s">
        <v>444</v>
      </c>
      <c r="D3" s="269" t="s">
        <v>443</v>
      </c>
      <c r="E3" s="269">
        <v>1988</v>
      </c>
      <c r="F3" s="269"/>
      <c r="G3" s="269">
        <v>3.1E-2</v>
      </c>
      <c r="H3" s="269" t="s">
        <v>501</v>
      </c>
      <c r="I3" s="871">
        <v>352.89473684210526</v>
      </c>
      <c r="J3" s="872">
        <v>500</v>
      </c>
      <c r="K3" s="931" t="s">
        <v>837</v>
      </c>
    </row>
    <row r="4" spans="1:13" x14ac:dyDescent="0.25">
      <c r="A4" s="869" t="s">
        <v>798</v>
      </c>
      <c r="B4" s="269">
        <v>10</v>
      </c>
      <c r="C4" s="261" t="s">
        <v>446</v>
      </c>
      <c r="D4" s="269" t="s">
        <v>443</v>
      </c>
      <c r="E4" s="269">
        <v>2010</v>
      </c>
      <c r="F4" s="269" t="s">
        <v>708</v>
      </c>
      <c r="G4" s="269">
        <v>6.4</v>
      </c>
      <c r="H4" s="269" t="s">
        <v>175</v>
      </c>
      <c r="I4" s="871">
        <v>762</v>
      </c>
      <c r="J4" s="872">
        <v>500</v>
      </c>
      <c r="K4" s="873" t="s">
        <v>802</v>
      </c>
    </row>
    <row r="5" spans="1:13" x14ac:dyDescent="0.25">
      <c r="A5" s="869" t="s">
        <v>798</v>
      </c>
      <c r="B5" s="269">
        <v>11</v>
      </c>
      <c r="C5" s="261" t="s">
        <v>446</v>
      </c>
      <c r="D5" s="269" t="s">
        <v>443</v>
      </c>
      <c r="E5" s="269">
        <v>2010</v>
      </c>
      <c r="F5" s="269" t="s">
        <v>708</v>
      </c>
      <c r="G5" s="269">
        <v>6.4</v>
      </c>
      <c r="H5" s="269" t="s">
        <v>175</v>
      </c>
      <c r="I5" s="871">
        <v>762</v>
      </c>
      <c r="J5" s="872">
        <v>500</v>
      </c>
      <c r="K5" s="873" t="s">
        <v>802</v>
      </c>
    </row>
    <row r="6" spans="1:13" x14ac:dyDescent="0.25">
      <c r="A6" s="869" t="s">
        <v>798</v>
      </c>
      <c r="B6" s="269">
        <v>12</v>
      </c>
      <c r="C6" s="261" t="s">
        <v>447</v>
      </c>
      <c r="D6" s="269" t="s">
        <v>443</v>
      </c>
      <c r="E6" s="269">
        <v>2002</v>
      </c>
      <c r="F6" s="269"/>
      <c r="G6" s="269">
        <v>3.1E-2</v>
      </c>
      <c r="H6" s="269" t="s">
        <v>501</v>
      </c>
      <c r="I6" s="871">
        <v>82</v>
      </c>
      <c r="J6" s="872">
        <v>500</v>
      </c>
      <c r="K6" s="931" t="s">
        <v>837</v>
      </c>
    </row>
    <row r="7" spans="1:13" x14ac:dyDescent="0.25">
      <c r="A7" s="869" t="s">
        <v>798</v>
      </c>
      <c r="B7" s="269">
        <v>13</v>
      </c>
      <c r="C7" s="261" t="s">
        <v>448</v>
      </c>
      <c r="D7" s="269" t="s">
        <v>443</v>
      </c>
      <c r="E7" s="269">
        <v>2008</v>
      </c>
      <c r="F7" s="929" t="s">
        <v>708</v>
      </c>
      <c r="G7" s="269">
        <v>4</v>
      </c>
      <c r="H7" s="269" t="s">
        <v>175</v>
      </c>
      <c r="I7" s="871">
        <v>587</v>
      </c>
      <c r="J7" s="872">
        <v>500</v>
      </c>
      <c r="K7" s="873" t="s">
        <v>802</v>
      </c>
    </row>
    <row r="8" spans="1:13" x14ac:dyDescent="0.25">
      <c r="A8" s="869" t="s">
        <v>798</v>
      </c>
      <c r="B8" s="269">
        <v>14</v>
      </c>
      <c r="C8" s="261" t="s">
        <v>449</v>
      </c>
      <c r="D8" s="269" t="s">
        <v>443</v>
      </c>
      <c r="E8" s="269">
        <v>2008</v>
      </c>
      <c r="F8" s="269" t="s">
        <v>708</v>
      </c>
      <c r="G8" s="269">
        <v>4</v>
      </c>
      <c r="H8" s="269" t="s">
        <v>175</v>
      </c>
      <c r="I8" s="871">
        <v>320</v>
      </c>
      <c r="J8" s="872">
        <v>500</v>
      </c>
      <c r="K8" s="873" t="s">
        <v>802</v>
      </c>
    </row>
    <row r="9" spans="1:13" x14ac:dyDescent="0.25">
      <c r="A9" s="869" t="s">
        <v>798</v>
      </c>
      <c r="B9" s="269">
        <v>15</v>
      </c>
      <c r="C9" s="261" t="s">
        <v>450</v>
      </c>
      <c r="D9" s="269" t="s">
        <v>443</v>
      </c>
      <c r="E9" s="269">
        <v>2005</v>
      </c>
      <c r="F9" s="269" t="s">
        <v>792</v>
      </c>
      <c r="G9" s="269">
        <v>5.75</v>
      </c>
      <c r="H9" s="269" t="s">
        <v>165</v>
      </c>
      <c r="I9" s="871">
        <v>1058.6842105263158</v>
      </c>
      <c r="J9" s="872">
        <v>500</v>
      </c>
      <c r="K9" s="931" t="s">
        <v>837</v>
      </c>
    </row>
    <row r="10" spans="1:13" x14ac:dyDescent="0.25">
      <c r="A10" s="869" t="s">
        <v>798</v>
      </c>
      <c r="B10" s="269">
        <v>16</v>
      </c>
      <c r="C10" s="261" t="s">
        <v>451</v>
      </c>
      <c r="D10" s="269" t="s">
        <v>443</v>
      </c>
      <c r="E10" s="269">
        <v>2005</v>
      </c>
      <c r="F10" s="269"/>
      <c r="G10" s="269">
        <v>3.1E-2</v>
      </c>
      <c r="H10" s="269" t="s">
        <v>501</v>
      </c>
      <c r="I10" s="871">
        <v>211.73684210526318</v>
      </c>
      <c r="J10" s="872">
        <v>500</v>
      </c>
      <c r="K10" s="931" t="s">
        <v>837</v>
      </c>
    </row>
    <row r="11" spans="1:13" x14ac:dyDescent="0.25">
      <c r="A11" s="869" t="s">
        <v>798</v>
      </c>
      <c r="B11" s="269">
        <v>17</v>
      </c>
      <c r="C11" s="261" t="s">
        <v>451</v>
      </c>
      <c r="D11" s="269" t="s">
        <v>443</v>
      </c>
      <c r="E11" s="269">
        <v>2007</v>
      </c>
      <c r="F11" s="269" t="s">
        <v>711</v>
      </c>
      <c r="G11" s="269">
        <v>6.9</v>
      </c>
      <c r="H11" s="269" t="s">
        <v>165</v>
      </c>
      <c r="I11" s="871">
        <v>176.44736842105263</v>
      </c>
      <c r="J11" s="872">
        <v>500</v>
      </c>
      <c r="K11" s="931" t="s">
        <v>837</v>
      </c>
    </row>
    <row r="12" spans="1:13" x14ac:dyDescent="0.25">
      <c r="A12" s="869" t="s">
        <v>798</v>
      </c>
      <c r="B12" s="269">
        <v>18</v>
      </c>
      <c r="C12" s="261" t="s">
        <v>452</v>
      </c>
      <c r="D12" s="269" t="s">
        <v>443</v>
      </c>
      <c r="E12" s="269">
        <v>2005</v>
      </c>
      <c r="F12" s="269"/>
      <c r="G12" s="269">
        <v>3.1E-2</v>
      </c>
      <c r="H12" s="269" t="s">
        <v>501</v>
      </c>
      <c r="I12" s="871">
        <v>211.73684210526318</v>
      </c>
      <c r="J12" s="872">
        <v>500</v>
      </c>
      <c r="K12" s="931" t="s">
        <v>837</v>
      </c>
    </row>
    <row r="13" spans="1:13" x14ac:dyDescent="0.25">
      <c r="A13" s="869" t="s">
        <v>798</v>
      </c>
      <c r="B13" s="269">
        <v>19</v>
      </c>
      <c r="C13" s="261" t="s">
        <v>453</v>
      </c>
      <c r="D13" s="269" t="s">
        <v>443</v>
      </c>
      <c r="E13" s="269">
        <v>2007</v>
      </c>
      <c r="F13" s="269" t="s">
        <v>708</v>
      </c>
      <c r="G13" s="269">
        <v>7.5</v>
      </c>
      <c r="H13" s="269" t="s">
        <v>175</v>
      </c>
      <c r="I13" s="871">
        <v>70.578947368421055</v>
      </c>
      <c r="J13" s="872">
        <v>500</v>
      </c>
      <c r="K13" s="873" t="s">
        <v>802</v>
      </c>
    </row>
    <row r="14" spans="1:13" x14ac:dyDescent="0.25">
      <c r="A14" s="869" t="s">
        <v>798</v>
      </c>
      <c r="B14" s="269">
        <v>20</v>
      </c>
      <c r="C14" s="826" t="s">
        <v>454</v>
      </c>
      <c r="D14" s="269" t="s">
        <v>443</v>
      </c>
      <c r="E14" s="269">
        <v>1976</v>
      </c>
      <c r="F14" s="269"/>
      <c r="G14" s="269">
        <v>3.1E-2</v>
      </c>
      <c r="H14" s="269" t="s">
        <v>501</v>
      </c>
      <c r="I14" s="871">
        <v>35.289473684210527</v>
      </c>
      <c r="J14" s="872">
        <v>500</v>
      </c>
      <c r="K14" s="931" t="s">
        <v>837</v>
      </c>
    </row>
    <row r="15" spans="1:13" x14ac:dyDescent="0.25">
      <c r="A15" s="869" t="s">
        <v>798</v>
      </c>
      <c r="B15" s="269">
        <v>21</v>
      </c>
      <c r="C15" s="261" t="s">
        <v>455</v>
      </c>
      <c r="D15" s="269" t="s">
        <v>443</v>
      </c>
      <c r="E15" s="269">
        <v>2001</v>
      </c>
      <c r="F15" s="269"/>
      <c r="G15" s="269">
        <v>3.1E-2</v>
      </c>
      <c r="H15" s="269" t="s">
        <v>501</v>
      </c>
      <c r="I15" s="871">
        <v>95</v>
      </c>
      <c r="J15" s="872">
        <v>500</v>
      </c>
      <c r="K15" s="931" t="s">
        <v>837</v>
      </c>
    </row>
    <row r="16" spans="1:13" x14ac:dyDescent="0.25">
      <c r="A16" s="869" t="s">
        <v>798</v>
      </c>
      <c r="B16" s="269">
        <v>22</v>
      </c>
      <c r="C16" s="826" t="s">
        <v>222</v>
      </c>
      <c r="D16" s="269" t="s">
        <v>443</v>
      </c>
      <c r="E16" s="269">
        <v>1989</v>
      </c>
      <c r="F16" s="269"/>
      <c r="G16" s="269">
        <v>3.1E-2</v>
      </c>
      <c r="H16" s="269" t="s">
        <v>501</v>
      </c>
      <c r="I16" s="871">
        <v>35.289473684210527</v>
      </c>
      <c r="J16" s="872">
        <v>500</v>
      </c>
      <c r="K16" s="931" t="s">
        <v>837</v>
      </c>
    </row>
    <row r="17" spans="1:18" x14ac:dyDescent="0.25">
      <c r="A17" s="869" t="s">
        <v>798</v>
      </c>
      <c r="B17" s="269">
        <v>23</v>
      </c>
      <c r="C17" s="261" t="s">
        <v>452</v>
      </c>
      <c r="D17" s="269" t="s">
        <v>443</v>
      </c>
      <c r="E17" s="269">
        <v>2003</v>
      </c>
      <c r="F17" s="269"/>
      <c r="G17" s="269">
        <v>3.1E-2</v>
      </c>
      <c r="H17" s="269" t="s">
        <v>501</v>
      </c>
      <c r="I17" s="871">
        <v>155.27368421052631</v>
      </c>
      <c r="J17" s="872">
        <v>500</v>
      </c>
      <c r="K17" s="931" t="s">
        <v>837</v>
      </c>
    </row>
    <row r="18" spans="1:18" ht="28.5" x14ac:dyDescent="0.25">
      <c r="A18" s="869" t="s">
        <v>798</v>
      </c>
      <c r="B18" s="269">
        <v>24</v>
      </c>
      <c r="C18" s="826" t="s">
        <v>456</v>
      </c>
      <c r="D18" s="269" t="s">
        <v>443</v>
      </c>
      <c r="E18" s="269">
        <v>1993</v>
      </c>
      <c r="F18" s="269"/>
      <c r="G18" s="269">
        <v>3.1E-2</v>
      </c>
      <c r="H18" s="269" t="s">
        <v>501</v>
      </c>
      <c r="I18" s="871">
        <v>50</v>
      </c>
      <c r="J18" s="872">
        <v>500</v>
      </c>
      <c r="K18" s="931" t="s">
        <v>837</v>
      </c>
    </row>
    <row r="19" spans="1:18" x14ac:dyDescent="0.25">
      <c r="A19" s="869" t="s">
        <v>798</v>
      </c>
      <c r="B19" s="269">
        <v>25</v>
      </c>
      <c r="C19" s="826" t="s">
        <v>457</v>
      </c>
      <c r="D19" s="269" t="s">
        <v>443</v>
      </c>
      <c r="E19" s="269">
        <v>2011</v>
      </c>
      <c r="F19" s="269" t="s">
        <v>708</v>
      </c>
      <c r="G19" s="269">
        <v>7.5</v>
      </c>
      <c r="H19" s="269" t="s">
        <v>175</v>
      </c>
      <c r="I19" s="871">
        <v>18.350526315789473</v>
      </c>
      <c r="J19" s="872">
        <v>500</v>
      </c>
      <c r="K19" s="873" t="s">
        <v>802</v>
      </c>
    </row>
    <row r="20" spans="1:18" x14ac:dyDescent="0.25">
      <c r="A20" s="869" t="s">
        <v>798</v>
      </c>
      <c r="B20" s="269">
        <v>26</v>
      </c>
      <c r="C20" s="261" t="s">
        <v>458</v>
      </c>
      <c r="D20" s="269" t="s">
        <v>443</v>
      </c>
      <c r="E20" s="269">
        <v>2003</v>
      </c>
      <c r="F20" s="269"/>
      <c r="G20" s="269">
        <v>3.1E-2</v>
      </c>
      <c r="H20" s="269" t="s">
        <v>501</v>
      </c>
      <c r="I20" s="871">
        <v>68</v>
      </c>
      <c r="J20" s="872">
        <v>500</v>
      </c>
      <c r="K20" s="931" t="s">
        <v>837</v>
      </c>
    </row>
    <row r="21" spans="1:18" x14ac:dyDescent="0.25">
      <c r="A21" s="869" t="s">
        <v>798</v>
      </c>
      <c r="B21" s="269">
        <v>27</v>
      </c>
      <c r="C21" s="826" t="s">
        <v>459</v>
      </c>
      <c r="D21" s="269" t="s">
        <v>443</v>
      </c>
      <c r="E21" s="269">
        <v>2010</v>
      </c>
      <c r="F21" s="269" t="s">
        <v>708</v>
      </c>
      <c r="G21" s="269">
        <v>4</v>
      </c>
      <c r="H21" s="269" t="s">
        <v>175</v>
      </c>
      <c r="I21" s="871">
        <v>274</v>
      </c>
      <c r="J21" s="872">
        <v>500</v>
      </c>
      <c r="K21" s="873" t="s">
        <v>802</v>
      </c>
    </row>
    <row r="22" spans="1:18" x14ac:dyDescent="0.25">
      <c r="A22" s="869" t="s">
        <v>798</v>
      </c>
      <c r="B22" s="269">
        <v>28</v>
      </c>
      <c r="C22" s="826" t="s">
        <v>459</v>
      </c>
      <c r="D22" s="269" t="s">
        <v>443</v>
      </c>
      <c r="E22" s="269">
        <v>2010</v>
      </c>
      <c r="F22" s="269" t="s">
        <v>708</v>
      </c>
      <c r="G22" s="269">
        <v>4</v>
      </c>
      <c r="H22" s="269" t="s">
        <v>175</v>
      </c>
      <c r="I22" s="871">
        <v>274</v>
      </c>
      <c r="J22" s="872">
        <v>500</v>
      </c>
      <c r="K22" s="873" t="s">
        <v>802</v>
      </c>
    </row>
    <row r="23" spans="1:18" x14ac:dyDescent="0.25">
      <c r="A23" s="869" t="s">
        <v>798</v>
      </c>
      <c r="B23" s="269">
        <v>30</v>
      </c>
      <c r="C23" s="261" t="s">
        <v>461</v>
      </c>
      <c r="D23" s="269" t="s">
        <v>460</v>
      </c>
      <c r="E23" s="269">
        <v>1952</v>
      </c>
      <c r="F23" s="269"/>
      <c r="G23" s="269">
        <v>3.1E-2</v>
      </c>
      <c r="H23" s="269" t="s">
        <v>501</v>
      </c>
      <c r="I23" s="871">
        <v>75</v>
      </c>
      <c r="J23" s="872">
        <v>500</v>
      </c>
      <c r="K23" s="931" t="s">
        <v>837</v>
      </c>
    </row>
    <row r="24" spans="1:18" x14ac:dyDescent="0.25">
      <c r="A24" s="869" t="s">
        <v>798</v>
      </c>
      <c r="B24" s="269">
        <v>32</v>
      </c>
      <c r="C24" s="261" t="s">
        <v>462</v>
      </c>
      <c r="D24" s="269" t="s">
        <v>460</v>
      </c>
      <c r="E24" s="269">
        <v>1955</v>
      </c>
      <c r="F24" s="269"/>
      <c r="G24" s="269">
        <v>3.1E-2</v>
      </c>
      <c r="H24" s="269" t="s">
        <v>501</v>
      </c>
      <c r="I24" s="871">
        <v>75</v>
      </c>
      <c r="J24" s="872">
        <v>500</v>
      </c>
      <c r="K24" s="931" t="s">
        <v>837</v>
      </c>
    </row>
    <row r="25" spans="1:18" x14ac:dyDescent="0.25">
      <c r="A25" s="869" t="s">
        <v>798</v>
      </c>
      <c r="B25" s="269">
        <v>33</v>
      </c>
      <c r="C25" s="261" t="s">
        <v>462</v>
      </c>
      <c r="D25" s="269" t="s">
        <v>460</v>
      </c>
      <c r="E25" s="269">
        <v>1994</v>
      </c>
      <c r="F25" s="269"/>
      <c r="G25" s="269">
        <v>3.1E-2</v>
      </c>
      <c r="H25" s="269" t="s">
        <v>501</v>
      </c>
      <c r="I25" s="871">
        <v>75</v>
      </c>
      <c r="J25" s="872">
        <v>500</v>
      </c>
      <c r="K25" s="931" t="s">
        <v>837</v>
      </c>
    </row>
    <row r="26" spans="1:18" x14ac:dyDescent="0.25">
      <c r="A26" s="869" t="s">
        <v>798</v>
      </c>
      <c r="B26" s="269">
        <v>34</v>
      </c>
      <c r="C26" s="826" t="s">
        <v>464</v>
      </c>
      <c r="D26" s="269" t="s">
        <v>463</v>
      </c>
      <c r="E26" s="269">
        <v>1995</v>
      </c>
      <c r="F26" s="269"/>
      <c r="G26" s="269">
        <v>3.1E-2</v>
      </c>
      <c r="H26" s="269" t="s">
        <v>501</v>
      </c>
      <c r="I26" s="871">
        <v>220</v>
      </c>
      <c r="J26" s="872">
        <v>500</v>
      </c>
      <c r="K26" s="931" t="s">
        <v>837</v>
      </c>
    </row>
    <row r="27" spans="1:18" x14ac:dyDescent="0.25">
      <c r="A27" s="869" t="s">
        <v>798</v>
      </c>
      <c r="B27" s="269">
        <v>35</v>
      </c>
      <c r="C27" s="261" t="s">
        <v>465</v>
      </c>
      <c r="D27" s="269" t="s">
        <v>463</v>
      </c>
      <c r="E27" s="269">
        <v>2009</v>
      </c>
      <c r="F27" s="269" t="s">
        <v>708</v>
      </c>
      <c r="G27" s="269">
        <v>7.8</v>
      </c>
      <c r="H27" s="269" t="s">
        <v>165</v>
      </c>
      <c r="I27" s="871">
        <v>55</v>
      </c>
      <c r="J27" s="872">
        <v>500</v>
      </c>
      <c r="K27" s="873" t="s">
        <v>802</v>
      </c>
    </row>
    <row r="28" spans="1:18" x14ac:dyDescent="0.25">
      <c r="A28" s="869" t="s">
        <v>798</v>
      </c>
      <c r="B28" s="269">
        <v>36</v>
      </c>
      <c r="C28" s="261" t="s">
        <v>466</v>
      </c>
      <c r="D28" s="269" t="s">
        <v>463</v>
      </c>
      <c r="E28" s="269">
        <v>1995</v>
      </c>
      <c r="F28" s="269"/>
      <c r="G28" s="269">
        <v>3.1E-2</v>
      </c>
      <c r="H28" s="269" t="s">
        <v>501</v>
      </c>
      <c r="I28" s="871">
        <v>220</v>
      </c>
      <c r="J28" s="872">
        <v>500</v>
      </c>
      <c r="K28" s="931" t="s">
        <v>837</v>
      </c>
    </row>
    <row r="29" spans="1:18" x14ac:dyDescent="0.25">
      <c r="A29" s="869" t="s">
        <v>798</v>
      </c>
      <c r="B29" s="269" t="s">
        <v>748</v>
      </c>
      <c r="C29" s="266" t="s">
        <v>763</v>
      </c>
      <c r="D29" s="269" t="s">
        <v>460</v>
      </c>
      <c r="E29" s="269">
        <v>2014</v>
      </c>
      <c r="F29" s="269" t="s">
        <v>708</v>
      </c>
      <c r="G29" s="269">
        <v>4.7</v>
      </c>
      <c r="H29" s="269" t="s">
        <v>712</v>
      </c>
      <c r="I29" s="871">
        <v>74</v>
      </c>
      <c r="J29" s="872">
        <v>500</v>
      </c>
      <c r="K29" s="873" t="s">
        <v>802</v>
      </c>
    </row>
    <row r="30" spans="1:18" x14ac:dyDescent="0.25">
      <c r="A30" s="869" t="s">
        <v>798</v>
      </c>
      <c r="B30" s="269" t="s">
        <v>749</v>
      </c>
      <c r="C30" s="266" t="s">
        <v>763</v>
      </c>
      <c r="D30" s="269" t="s">
        <v>460</v>
      </c>
      <c r="E30" s="269">
        <v>2014</v>
      </c>
      <c r="F30" s="269" t="s">
        <v>708</v>
      </c>
      <c r="G30" s="269">
        <v>4.7</v>
      </c>
      <c r="H30" s="269" t="s">
        <v>712</v>
      </c>
      <c r="I30" s="871">
        <v>74</v>
      </c>
      <c r="J30" s="872">
        <v>500</v>
      </c>
      <c r="K30" s="873" t="s">
        <v>802</v>
      </c>
    </row>
    <row r="31" spans="1:18" ht="45" customHeight="1" x14ac:dyDescent="0.25">
      <c r="A31" s="869" t="s">
        <v>799</v>
      </c>
      <c r="B31" s="874">
        <v>11</v>
      </c>
      <c r="C31" s="825" t="s">
        <v>273</v>
      </c>
      <c r="D31" s="825">
        <v>3512</v>
      </c>
      <c r="E31" s="875">
        <v>2003</v>
      </c>
      <c r="F31" s="869"/>
      <c r="G31" s="869"/>
      <c r="H31" s="869"/>
      <c r="I31" s="876">
        <v>1454</v>
      </c>
      <c r="J31" s="825">
        <v>200</v>
      </c>
      <c r="K31" s="1420" t="s">
        <v>803</v>
      </c>
      <c r="R31" s="827"/>
    </row>
    <row r="32" spans="1:18" x14ac:dyDescent="0.25">
      <c r="A32" s="869" t="s">
        <v>799</v>
      </c>
      <c r="B32" s="874">
        <v>12</v>
      </c>
      <c r="C32" s="825" t="s">
        <v>273</v>
      </c>
      <c r="D32" s="825">
        <v>3512</v>
      </c>
      <c r="E32" s="875">
        <v>2003</v>
      </c>
      <c r="F32" s="869"/>
      <c r="G32" s="869"/>
      <c r="H32" s="869"/>
      <c r="I32" s="876">
        <v>1454</v>
      </c>
      <c r="J32" s="825">
        <v>200</v>
      </c>
      <c r="K32" s="1245"/>
      <c r="R32" s="827"/>
    </row>
    <row r="33" spans="1:18" x14ac:dyDescent="0.25">
      <c r="A33" s="869" t="s">
        <v>799</v>
      </c>
      <c r="B33" s="874">
        <v>13</v>
      </c>
      <c r="C33" s="825" t="s">
        <v>273</v>
      </c>
      <c r="D33" s="825">
        <v>3512</v>
      </c>
      <c r="E33" s="875">
        <v>2003</v>
      </c>
      <c r="F33" s="869"/>
      <c r="G33" s="869"/>
      <c r="H33" s="869"/>
      <c r="I33" s="876">
        <v>1454</v>
      </c>
      <c r="J33" s="825">
        <v>200</v>
      </c>
      <c r="K33" s="1246"/>
      <c r="R33" s="827"/>
    </row>
    <row r="34" spans="1:18" x14ac:dyDescent="0.25">
      <c r="A34" s="869" t="s">
        <v>799</v>
      </c>
      <c r="B34" s="874">
        <v>26</v>
      </c>
      <c r="C34" s="825" t="s">
        <v>222</v>
      </c>
      <c r="D34" s="825" t="s">
        <v>270</v>
      </c>
      <c r="E34" s="875">
        <v>2012</v>
      </c>
      <c r="F34" s="869" t="s">
        <v>708</v>
      </c>
      <c r="G34" s="869"/>
      <c r="H34" s="869"/>
      <c r="I34" s="876">
        <v>295</v>
      </c>
      <c r="J34" s="825">
        <v>500</v>
      </c>
      <c r="K34" s="873" t="s">
        <v>802</v>
      </c>
      <c r="R34" s="827"/>
    </row>
    <row r="35" spans="1:18" x14ac:dyDescent="0.25">
      <c r="A35" s="869" t="s">
        <v>799</v>
      </c>
      <c r="B35" s="874">
        <v>27</v>
      </c>
      <c r="C35" s="825" t="s">
        <v>271</v>
      </c>
      <c r="D35" s="825" t="s">
        <v>272</v>
      </c>
      <c r="E35" s="875">
        <v>2009</v>
      </c>
      <c r="F35" s="869" t="s">
        <v>708</v>
      </c>
      <c r="G35" s="869"/>
      <c r="H35" s="869"/>
      <c r="I35" s="876">
        <v>67</v>
      </c>
      <c r="J35" s="825">
        <v>500</v>
      </c>
      <c r="K35" s="873" t="s">
        <v>802</v>
      </c>
      <c r="R35" s="827"/>
    </row>
    <row r="36" spans="1:18" x14ac:dyDescent="0.25">
      <c r="A36" s="869" t="s">
        <v>799</v>
      </c>
      <c r="B36" s="874">
        <v>28</v>
      </c>
      <c r="C36" s="825" t="s">
        <v>273</v>
      </c>
      <c r="D36" s="825" t="s">
        <v>274</v>
      </c>
      <c r="E36" s="875">
        <v>2007</v>
      </c>
      <c r="F36" s="869" t="s">
        <v>708</v>
      </c>
      <c r="G36" s="869"/>
      <c r="H36" s="869"/>
      <c r="I36" s="876">
        <v>398</v>
      </c>
      <c r="J36" s="825">
        <v>500</v>
      </c>
      <c r="K36" s="873" t="s">
        <v>802</v>
      </c>
      <c r="R36" s="828"/>
    </row>
    <row r="37" spans="1:18" x14ac:dyDescent="0.25">
      <c r="A37" s="869" t="s">
        <v>799</v>
      </c>
      <c r="B37" s="874">
        <v>29</v>
      </c>
      <c r="C37" s="825" t="s">
        <v>275</v>
      </c>
      <c r="D37" s="825" t="s">
        <v>277</v>
      </c>
      <c r="E37" s="875" t="s">
        <v>276</v>
      </c>
      <c r="F37" s="869"/>
      <c r="G37" s="869"/>
      <c r="H37" s="869"/>
      <c r="I37" s="876">
        <v>47</v>
      </c>
      <c r="J37" s="825">
        <v>500</v>
      </c>
      <c r="K37" s="931" t="s">
        <v>837</v>
      </c>
      <c r="R37" s="828"/>
    </row>
    <row r="38" spans="1:18" x14ac:dyDescent="0.25">
      <c r="A38" s="869" t="s">
        <v>799</v>
      </c>
      <c r="B38" s="874">
        <v>30</v>
      </c>
      <c r="C38" s="825" t="s">
        <v>271</v>
      </c>
      <c r="D38" s="825" t="s">
        <v>224</v>
      </c>
      <c r="E38" s="875">
        <v>2007</v>
      </c>
      <c r="F38" s="869" t="s">
        <v>708</v>
      </c>
      <c r="G38" s="869"/>
      <c r="H38" s="869"/>
      <c r="I38" s="825">
        <v>275</v>
      </c>
      <c r="J38" s="835">
        <v>500</v>
      </c>
      <c r="K38" s="873" t="s">
        <v>802</v>
      </c>
      <c r="R38" s="827"/>
    </row>
    <row r="39" spans="1:18" x14ac:dyDescent="0.25">
      <c r="A39" s="869" t="s">
        <v>799</v>
      </c>
      <c r="B39" s="874">
        <v>31</v>
      </c>
      <c r="C39" s="825" t="s">
        <v>220</v>
      </c>
      <c r="D39" s="825" t="s">
        <v>221</v>
      </c>
      <c r="E39" s="875">
        <v>1994</v>
      </c>
      <c r="F39" s="869"/>
      <c r="G39" s="869"/>
      <c r="H39" s="869"/>
      <c r="I39" s="825">
        <v>235</v>
      </c>
      <c r="J39" s="835">
        <v>500</v>
      </c>
      <c r="K39" s="931" t="s">
        <v>837</v>
      </c>
      <c r="R39" s="827"/>
    </row>
    <row r="40" spans="1:18" x14ac:dyDescent="0.25">
      <c r="A40" s="869" t="s">
        <v>799</v>
      </c>
      <c r="B40" s="874">
        <v>32</v>
      </c>
      <c r="C40" s="825" t="s">
        <v>220</v>
      </c>
      <c r="D40" s="825" t="s">
        <v>221</v>
      </c>
      <c r="E40" s="875">
        <v>1994</v>
      </c>
      <c r="F40" s="869"/>
      <c r="G40" s="869"/>
      <c r="H40" s="869"/>
      <c r="I40" s="825">
        <v>235</v>
      </c>
      <c r="J40" s="835">
        <v>500</v>
      </c>
      <c r="K40" s="931" t="s">
        <v>837</v>
      </c>
      <c r="R40" s="827"/>
    </row>
    <row r="41" spans="1:18" x14ac:dyDescent="0.25">
      <c r="A41" s="869" t="s">
        <v>799</v>
      </c>
      <c r="B41" s="874">
        <v>33</v>
      </c>
      <c r="C41" s="825" t="s">
        <v>220</v>
      </c>
      <c r="D41" s="825" t="s">
        <v>221</v>
      </c>
      <c r="E41" s="875">
        <v>1994</v>
      </c>
      <c r="F41" s="869"/>
      <c r="G41" s="869"/>
      <c r="H41" s="869"/>
      <c r="I41" s="825">
        <v>235</v>
      </c>
      <c r="J41" s="835">
        <v>500</v>
      </c>
      <c r="K41" s="931" t="s">
        <v>837</v>
      </c>
      <c r="R41" s="829"/>
    </row>
    <row r="42" spans="1:18" x14ac:dyDescent="0.25">
      <c r="A42" s="869" t="s">
        <v>799</v>
      </c>
      <c r="B42" s="874">
        <v>34</v>
      </c>
      <c r="C42" s="825" t="s">
        <v>220</v>
      </c>
      <c r="D42" s="825" t="s">
        <v>221</v>
      </c>
      <c r="E42" s="875">
        <v>1994</v>
      </c>
      <c r="F42" s="869"/>
      <c r="G42" s="869"/>
      <c r="H42" s="869"/>
      <c r="I42" s="825">
        <v>235</v>
      </c>
      <c r="J42" s="835">
        <v>500</v>
      </c>
      <c r="K42" s="931" t="s">
        <v>837</v>
      </c>
      <c r="R42" s="830"/>
    </row>
    <row r="43" spans="1:18" x14ac:dyDescent="0.25">
      <c r="A43" s="869" t="s">
        <v>799</v>
      </c>
      <c r="B43" s="874">
        <v>35</v>
      </c>
      <c r="C43" s="825" t="s">
        <v>222</v>
      </c>
      <c r="D43" s="825" t="s">
        <v>223</v>
      </c>
      <c r="E43" s="875">
        <v>1977</v>
      </c>
      <c r="F43" s="869"/>
      <c r="G43" s="869"/>
      <c r="H43" s="869"/>
      <c r="I43" s="825">
        <v>240</v>
      </c>
      <c r="J43" s="835">
        <v>500</v>
      </c>
      <c r="K43" s="931" t="s">
        <v>837</v>
      </c>
      <c r="R43" s="829"/>
    </row>
    <row r="44" spans="1:18" x14ac:dyDescent="0.25">
      <c r="A44" s="869" t="s">
        <v>799</v>
      </c>
      <c r="B44" s="874">
        <v>36</v>
      </c>
      <c r="C44" s="825" t="s">
        <v>222</v>
      </c>
      <c r="D44" s="825" t="s">
        <v>223</v>
      </c>
      <c r="E44" s="875">
        <v>1977</v>
      </c>
      <c r="F44" s="869"/>
      <c r="G44" s="869"/>
      <c r="H44" s="869"/>
      <c r="I44" s="825">
        <v>240</v>
      </c>
      <c r="J44" s="835">
        <v>500</v>
      </c>
      <c r="K44" s="931" t="s">
        <v>837</v>
      </c>
      <c r="R44" s="830"/>
    </row>
    <row r="45" spans="1:18" x14ac:dyDescent="0.25">
      <c r="A45" s="869" t="s">
        <v>799</v>
      </c>
      <c r="B45" s="874">
        <v>37</v>
      </c>
      <c r="C45" s="835" t="s">
        <v>220</v>
      </c>
      <c r="D45" s="877" t="s">
        <v>225</v>
      </c>
      <c r="E45" s="875">
        <v>2005</v>
      </c>
      <c r="F45" s="869"/>
      <c r="G45" s="869"/>
      <c r="H45" s="869"/>
      <c r="I45" s="825">
        <v>94</v>
      </c>
      <c r="J45" s="835">
        <v>500</v>
      </c>
      <c r="K45" s="931" t="s">
        <v>837</v>
      </c>
      <c r="R45" s="829"/>
    </row>
    <row r="46" spans="1:18" x14ac:dyDescent="0.25">
      <c r="A46" s="869" t="s">
        <v>799</v>
      </c>
      <c r="B46" s="874">
        <v>38</v>
      </c>
      <c r="C46" s="835" t="s">
        <v>220</v>
      </c>
      <c r="D46" s="825" t="s">
        <v>226</v>
      </c>
      <c r="E46" s="875">
        <v>1996</v>
      </c>
      <c r="F46" s="869"/>
      <c r="G46" s="869"/>
      <c r="H46" s="869"/>
      <c r="I46" s="825">
        <v>120</v>
      </c>
      <c r="J46" s="835">
        <v>500</v>
      </c>
      <c r="K46" s="931" t="s">
        <v>837</v>
      </c>
      <c r="R46" s="829"/>
    </row>
    <row r="47" spans="1:18" x14ac:dyDescent="0.25">
      <c r="A47" s="869" t="s">
        <v>799</v>
      </c>
      <c r="B47" s="874">
        <v>39</v>
      </c>
      <c r="C47" s="835" t="s">
        <v>220</v>
      </c>
      <c r="D47" s="825" t="s">
        <v>226</v>
      </c>
      <c r="E47" s="875">
        <v>1996</v>
      </c>
      <c r="F47" s="869"/>
      <c r="G47" s="869"/>
      <c r="H47" s="869"/>
      <c r="I47" s="825">
        <v>120</v>
      </c>
      <c r="J47" s="835">
        <v>500</v>
      </c>
      <c r="K47" s="931" t="s">
        <v>837</v>
      </c>
      <c r="R47" s="829"/>
    </row>
  </sheetData>
  <sortState ref="A2:K47">
    <sortCondition ref="A2:A47"/>
    <sortCondition ref="B2:B47"/>
  </sortState>
  <mergeCells count="1">
    <mergeCell ref="K31:K33"/>
  </mergeCells>
  <pageMargins left="0.7" right="0.7" top="0.75" bottom="0.75" header="0.3" footer="0.3"/>
  <pageSetup scale="80" fitToHeight="2"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2:G29"/>
  <sheetViews>
    <sheetView view="pageLayout" topLeftCell="A10" zoomScaleNormal="100" workbookViewId="0">
      <selection activeCell="B33" sqref="B33"/>
    </sheetView>
  </sheetViews>
  <sheetFormatPr defaultRowHeight="15" x14ac:dyDescent="0.25"/>
  <cols>
    <col min="1" max="1" width="12.5703125" bestFit="1" customWidth="1"/>
    <col min="2" max="2" width="39.28515625" customWidth="1"/>
    <col min="3" max="3" width="29.7109375" bestFit="1" customWidth="1"/>
    <col min="4" max="4" width="20.42578125" bestFit="1" customWidth="1"/>
    <col min="5" max="5" width="8.85546875" bestFit="1" customWidth="1"/>
    <col min="6" max="6" width="17.42578125" bestFit="1" customWidth="1"/>
    <col min="7" max="7" width="28.5703125" bestFit="1" customWidth="1"/>
  </cols>
  <sheetData>
    <row r="2" spans="1:7" ht="19.149999999999999" customHeight="1" x14ac:dyDescent="0.25">
      <c r="A2" s="928" t="s">
        <v>30</v>
      </c>
      <c r="B2" s="928"/>
      <c r="C2" s="928"/>
      <c r="D2" s="928"/>
      <c r="E2" s="928"/>
      <c r="F2" s="928"/>
      <c r="G2" s="1000"/>
    </row>
    <row r="3" spans="1:7" s="21" customFormat="1" ht="30" x14ac:dyDescent="0.25">
      <c r="A3" s="14" t="s">
        <v>16</v>
      </c>
      <c r="B3" s="14" t="s">
        <v>15</v>
      </c>
      <c r="C3" s="15" t="s">
        <v>25</v>
      </c>
      <c r="D3" s="16" t="s">
        <v>118</v>
      </c>
      <c r="E3" s="17" t="s">
        <v>119</v>
      </c>
      <c r="F3" s="18" t="s">
        <v>26</v>
      </c>
    </row>
    <row r="4" spans="1:7" x14ac:dyDescent="0.25">
      <c r="A4" s="2">
        <v>8</v>
      </c>
      <c r="B4" s="3" t="s">
        <v>0</v>
      </c>
      <c r="C4" s="3" t="s">
        <v>17</v>
      </c>
      <c r="D4" s="8">
        <v>19</v>
      </c>
      <c r="E4" s="8" t="s">
        <v>112</v>
      </c>
      <c r="F4" s="3" t="s">
        <v>27</v>
      </c>
    </row>
    <row r="5" spans="1:7" x14ac:dyDescent="0.25">
      <c r="A5" s="2">
        <v>9</v>
      </c>
      <c r="B5" s="3" t="s">
        <v>1</v>
      </c>
      <c r="C5" s="3" t="s">
        <v>17</v>
      </c>
      <c r="D5" s="3">
        <v>19</v>
      </c>
      <c r="E5" s="3" t="s">
        <v>112</v>
      </c>
      <c r="F5" s="3" t="s">
        <v>28</v>
      </c>
    </row>
    <row r="6" spans="1:7" x14ac:dyDescent="0.25">
      <c r="A6" s="2">
        <v>10</v>
      </c>
      <c r="B6" s="3" t="s">
        <v>2</v>
      </c>
      <c r="C6" s="3" t="s">
        <v>17</v>
      </c>
      <c r="D6" s="3">
        <v>19</v>
      </c>
      <c r="E6" s="3" t="s">
        <v>112</v>
      </c>
      <c r="F6" s="3" t="s">
        <v>29</v>
      </c>
    </row>
    <row r="7" spans="1:7" x14ac:dyDescent="0.25">
      <c r="A7" s="2">
        <v>40</v>
      </c>
      <c r="B7" s="3" t="s">
        <v>3</v>
      </c>
      <c r="C7" s="3" t="s">
        <v>18</v>
      </c>
      <c r="D7" s="3">
        <v>2.6</v>
      </c>
      <c r="E7" s="3" t="s">
        <v>112</v>
      </c>
      <c r="F7" s="4">
        <v>1985</v>
      </c>
    </row>
    <row r="8" spans="1:7" x14ac:dyDescent="0.25">
      <c r="A8" s="2">
        <v>11</v>
      </c>
      <c r="B8" s="3" t="s">
        <v>4</v>
      </c>
      <c r="C8" s="3" t="s">
        <v>17</v>
      </c>
      <c r="D8" s="3">
        <v>900</v>
      </c>
      <c r="E8" s="3" t="s">
        <v>116</v>
      </c>
      <c r="F8" s="4" t="s">
        <v>27</v>
      </c>
    </row>
    <row r="9" spans="1:7" x14ac:dyDescent="0.25">
      <c r="A9" s="2">
        <v>12</v>
      </c>
      <c r="B9" s="3" t="s">
        <v>5</v>
      </c>
      <c r="C9" s="3" t="s">
        <v>17</v>
      </c>
      <c r="D9" s="3">
        <v>900</v>
      </c>
      <c r="E9" s="3" t="s">
        <v>116</v>
      </c>
      <c r="F9" s="4" t="s">
        <v>28</v>
      </c>
    </row>
    <row r="10" spans="1:7" x14ac:dyDescent="0.25">
      <c r="A10" s="2">
        <v>13</v>
      </c>
      <c r="B10" s="3" t="s">
        <v>6</v>
      </c>
      <c r="C10" s="3" t="s">
        <v>17</v>
      </c>
      <c r="D10" s="3">
        <v>900</v>
      </c>
      <c r="E10" s="3" t="s">
        <v>116</v>
      </c>
      <c r="F10" s="4" t="s">
        <v>29</v>
      </c>
    </row>
    <row r="11" spans="1:7" x14ac:dyDescent="0.25">
      <c r="A11" s="2">
        <v>26</v>
      </c>
      <c r="B11" s="3" t="s">
        <v>7</v>
      </c>
      <c r="C11" s="3" t="s">
        <v>19</v>
      </c>
      <c r="D11" s="3">
        <v>324</v>
      </c>
      <c r="E11" s="3" t="s">
        <v>113</v>
      </c>
      <c r="F11" s="4">
        <v>2012</v>
      </c>
    </row>
    <row r="12" spans="1:7" x14ac:dyDescent="0.25">
      <c r="A12" s="2">
        <v>27</v>
      </c>
      <c r="B12" s="3" t="s">
        <v>8</v>
      </c>
      <c r="C12" s="3" t="s">
        <v>20</v>
      </c>
      <c r="D12" s="3">
        <v>67</v>
      </c>
      <c r="E12" s="3" t="s">
        <v>113</v>
      </c>
      <c r="F12" s="4">
        <v>2009</v>
      </c>
    </row>
    <row r="13" spans="1:7" x14ac:dyDescent="0.25">
      <c r="A13" s="2">
        <v>28</v>
      </c>
      <c r="B13" s="3" t="s">
        <v>9</v>
      </c>
      <c r="C13" s="3" t="s">
        <v>21</v>
      </c>
      <c r="D13" s="3">
        <v>398</v>
      </c>
      <c r="E13" s="3" t="s">
        <v>113</v>
      </c>
      <c r="F13" s="4">
        <v>2007</v>
      </c>
    </row>
    <row r="14" spans="1:7" x14ac:dyDescent="0.25">
      <c r="A14" s="2">
        <v>29</v>
      </c>
      <c r="B14" s="3" t="s">
        <v>10</v>
      </c>
      <c r="C14" s="3" t="s">
        <v>22</v>
      </c>
      <c r="D14" s="3">
        <v>47</v>
      </c>
      <c r="E14" s="3" t="s">
        <v>113</v>
      </c>
      <c r="F14" s="4">
        <v>2005</v>
      </c>
    </row>
    <row r="15" spans="1:7" x14ac:dyDescent="0.25">
      <c r="A15" s="2">
        <v>30</v>
      </c>
      <c r="B15" s="3" t="s">
        <v>11</v>
      </c>
      <c r="C15" s="3" t="s">
        <v>23</v>
      </c>
      <c r="D15" s="3">
        <v>275</v>
      </c>
      <c r="E15" s="3" t="s">
        <v>113</v>
      </c>
      <c r="F15" s="4">
        <v>2007</v>
      </c>
    </row>
    <row r="16" spans="1:7" x14ac:dyDescent="0.25">
      <c r="A16" s="2">
        <v>31</v>
      </c>
      <c r="B16" s="3" t="s">
        <v>12</v>
      </c>
      <c r="C16" s="3" t="s">
        <v>24</v>
      </c>
      <c r="D16" s="3">
        <v>235</v>
      </c>
      <c r="E16" s="3" t="s">
        <v>113</v>
      </c>
      <c r="F16" s="4">
        <v>1994</v>
      </c>
    </row>
    <row r="17" spans="1:6" x14ac:dyDescent="0.25">
      <c r="A17" s="2">
        <v>32</v>
      </c>
      <c r="B17" s="3" t="s">
        <v>13</v>
      </c>
      <c r="C17" s="3" t="s">
        <v>24</v>
      </c>
      <c r="D17" s="3">
        <v>235</v>
      </c>
      <c r="E17" s="3" t="s">
        <v>113</v>
      </c>
      <c r="F17" s="4">
        <v>1994</v>
      </c>
    </row>
    <row r="18" spans="1:6" x14ac:dyDescent="0.25">
      <c r="A18" s="2">
        <v>33</v>
      </c>
      <c r="B18" s="3" t="s">
        <v>14</v>
      </c>
      <c r="C18" s="3" t="s">
        <v>24</v>
      </c>
      <c r="D18" s="3">
        <v>235</v>
      </c>
      <c r="E18" s="3" t="s">
        <v>113</v>
      </c>
      <c r="F18" s="4">
        <v>1994</v>
      </c>
    </row>
    <row r="19" spans="1:6" x14ac:dyDescent="0.25">
      <c r="A19" s="2">
        <v>34</v>
      </c>
      <c r="B19" s="3" t="s">
        <v>32</v>
      </c>
      <c r="C19" s="3" t="s">
        <v>24</v>
      </c>
      <c r="D19" s="3">
        <v>235</v>
      </c>
      <c r="E19" s="3" t="s">
        <v>113</v>
      </c>
      <c r="F19" s="4">
        <v>1994</v>
      </c>
    </row>
    <row r="20" spans="1:6" x14ac:dyDescent="0.25">
      <c r="A20" s="2">
        <v>35</v>
      </c>
      <c r="B20" s="3" t="s">
        <v>33</v>
      </c>
      <c r="C20" s="3" t="s">
        <v>43</v>
      </c>
      <c r="D20" s="3">
        <v>240</v>
      </c>
      <c r="E20" s="3" t="s">
        <v>113</v>
      </c>
      <c r="F20" s="4">
        <v>1977</v>
      </c>
    </row>
    <row r="21" spans="1:6" x14ac:dyDescent="0.25">
      <c r="A21" s="2">
        <v>36</v>
      </c>
      <c r="B21" s="3" t="s">
        <v>34</v>
      </c>
      <c r="C21" s="3" t="s">
        <v>43</v>
      </c>
      <c r="D21" s="3">
        <v>240</v>
      </c>
      <c r="E21" s="3" t="s">
        <v>113</v>
      </c>
      <c r="F21" s="4">
        <v>1977</v>
      </c>
    </row>
    <row r="22" spans="1:6" x14ac:dyDescent="0.25">
      <c r="A22" s="2">
        <v>37</v>
      </c>
      <c r="B22" s="3" t="s">
        <v>35</v>
      </c>
      <c r="C22" s="3" t="s">
        <v>44</v>
      </c>
      <c r="D22" s="3">
        <v>105</v>
      </c>
      <c r="E22" s="3" t="s">
        <v>116</v>
      </c>
      <c r="F22" s="4">
        <v>2005</v>
      </c>
    </row>
    <row r="23" spans="1:6" x14ac:dyDescent="0.25">
      <c r="A23" s="2">
        <v>38</v>
      </c>
      <c r="B23" s="3" t="s">
        <v>36</v>
      </c>
      <c r="C23" s="3" t="s">
        <v>45</v>
      </c>
      <c r="D23" s="3">
        <v>120</v>
      </c>
      <c r="E23" s="3" t="s">
        <v>113</v>
      </c>
      <c r="F23" s="4">
        <v>1996</v>
      </c>
    </row>
    <row r="24" spans="1:6" x14ac:dyDescent="0.25">
      <c r="A24" s="2">
        <v>39</v>
      </c>
      <c r="B24" s="3" t="s">
        <v>37</v>
      </c>
      <c r="C24" s="3" t="s">
        <v>45</v>
      </c>
      <c r="D24" s="3">
        <v>120</v>
      </c>
      <c r="E24" s="3" t="s">
        <v>113</v>
      </c>
      <c r="F24" s="4">
        <v>1996</v>
      </c>
    </row>
    <row r="25" spans="1:6" x14ac:dyDescent="0.25">
      <c r="A25" s="2">
        <v>22</v>
      </c>
      <c r="B25" s="3" t="s">
        <v>38</v>
      </c>
      <c r="C25" s="3" t="s">
        <v>46</v>
      </c>
      <c r="D25" s="3" t="s">
        <v>49</v>
      </c>
      <c r="E25" s="3" t="s">
        <v>31</v>
      </c>
      <c r="F25" s="4">
        <v>1993</v>
      </c>
    </row>
    <row r="26" spans="1:6" x14ac:dyDescent="0.25">
      <c r="A26" s="2">
        <v>23</v>
      </c>
      <c r="B26" s="3" t="s">
        <v>39</v>
      </c>
      <c r="C26" s="3" t="s">
        <v>47</v>
      </c>
      <c r="D26" s="3">
        <v>1.97</v>
      </c>
      <c r="E26" s="3" t="s">
        <v>114</v>
      </c>
      <c r="F26" s="4">
        <v>1962</v>
      </c>
    </row>
    <row r="27" spans="1:6" x14ac:dyDescent="0.25">
      <c r="A27" s="2">
        <v>24</v>
      </c>
      <c r="B27" s="3" t="s">
        <v>40</v>
      </c>
      <c r="C27" s="3" t="s">
        <v>48</v>
      </c>
      <c r="D27" s="3" t="s">
        <v>49</v>
      </c>
      <c r="E27" s="3" t="s">
        <v>49</v>
      </c>
      <c r="F27" s="3" t="s">
        <v>50</v>
      </c>
    </row>
    <row r="28" spans="1:6" x14ac:dyDescent="0.25">
      <c r="A28" s="2" t="s">
        <v>31</v>
      </c>
      <c r="B28" s="3" t="s">
        <v>41</v>
      </c>
      <c r="C28" s="3" t="s">
        <v>31</v>
      </c>
      <c r="D28" s="9">
        <v>8376750</v>
      </c>
      <c r="E28" s="3" t="s">
        <v>115</v>
      </c>
      <c r="F28" s="3" t="s">
        <v>51</v>
      </c>
    </row>
    <row r="29" spans="1:6" x14ac:dyDescent="0.25">
      <c r="A29" s="2" t="s">
        <v>31</v>
      </c>
      <c r="B29" s="3" t="s">
        <v>42</v>
      </c>
      <c r="C29" s="3" t="s">
        <v>31</v>
      </c>
      <c r="D29" s="9">
        <v>23506</v>
      </c>
      <c r="E29" s="3" t="s">
        <v>115</v>
      </c>
      <c r="F29" s="3" t="s">
        <v>51</v>
      </c>
    </row>
  </sheetData>
  <pageMargins left="0.7" right="0.7" top="0.75" bottom="0.75" header="0.3" footer="0.3"/>
  <pageSetup scale="95" orientation="landscape"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58"/>
  <sheetViews>
    <sheetView tabSelected="1" topLeftCell="A34" workbookViewId="0">
      <selection activeCell="A32" sqref="A32"/>
    </sheetView>
  </sheetViews>
  <sheetFormatPr defaultRowHeight="15" x14ac:dyDescent="0.25"/>
  <cols>
    <col min="1" max="1" width="15.28515625" bestFit="1" customWidth="1"/>
    <col min="2" max="2" width="13.140625" customWidth="1"/>
    <col min="7" max="7" width="15.28515625" bestFit="1" customWidth="1"/>
  </cols>
  <sheetData>
    <row r="1" spans="1:7" s="967" customFormat="1" x14ac:dyDescent="0.25">
      <c r="A1" s="967" t="s">
        <v>986</v>
      </c>
    </row>
    <row r="3" spans="1:7" x14ac:dyDescent="0.25">
      <c r="A3" t="s">
        <v>895</v>
      </c>
    </row>
    <row r="4" spans="1:7" x14ac:dyDescent="0.25">
      <c r="A4">
        <v>191</v>
      </c>
      <c r="B4" t="s">
        <v>896</v>
      </c>
      <c r="C4" t="s">
        <v>898</v>
      </c>
    </row>
    <row r="5" spans="1:7" x14ac:dyDescent="0.25">
      <c r="A5">
        <v>316</v>
      </c>
      <c r="B5" t="s">
        <v>897</v>
      </c>
      <c r="C5" t="s">
        <v>899</v>
      </c>
    </row>
    <row r="6" spans="1:7" x14ac:dyDescent="0.25">
      <c r="A6">
        <v>0.78</v>
      </c>
      <c r="B6" t="s">
        <v>900</v>
      </c>
      <c r="C6" t="s">
        <v>901</v>
      </c>
    </row>
    <row r="7" spans="1:7" x14ac:dyDescent="0.25">
      <c r="A7">
        <v>1.56</v>
      </c>
      <c r="B7" t="s">
        <v>900</v>
      </c>
      <c r="C7" t="s">
        <v>902</v>
      </c>
    </row>
    <row r="9" spans="1:7" x14ac:dyDescent="0.25">
      <c r="A9">
        <f>230*6</f>
        <v>1380</v>
      </c>
      <c r="B9" t="s">
        <v>903</v>
      </c>
      <c r="C9" t="s">
        <v>904</v>
      </c>
    </row>
    <row r="10" spans="1:7" x14ac:dyDescent="0.25">
      <c r="A10">
        <v>11120</v>
      </c>
      <c r="B10" t="s">
        <v>911</v>
      </c>
      <c r="C10" t="s">
        <v>912</v>
      </c>
    </row>
    <row r="11" spans="1:7" s="572" customFormat="1" x14ac:dyDescent="0.25">
      <c r="A11" s="572">
        <v>1</v>
      </c>
      <c r="B11" s="572" t="s">
        <v>914</v>
      </c>
      <c r="C11" s="572" t="s">
        <v>849</v>
      </c>
      <c r="D11" s="572">
        <v>3413</v>
      </c>
      <c r="E11" s="572" t="s">
        <v>913</v>
      </c>
    </row>
    <row r="12" spans="1:7" s="572" customFormat="1" x14ac:dyDescent="0.25">
      <c r="A12" s="860">
        <v>8000</v>
      </c>
      <c r="B12" s="572" t="s">
        <v>907</v>
      </c>
      <c r="C12" s="572" t="s">
        <v>908</v>
      </c>
    </row>
    <row r="13" spans="1:7" s="572" customFormat="1" x14ac:dyDescent="0.25">
      <c r="A13" s="860">
        <v>300000</v>
      </c>
      <c r="B13" s="572" t="s">
        <v>909</v>
      </c>
      <c r="C13" s="572" t="s">
        <v>910</v>
      </c>
      <c r="G13" s="859"/>
    </row>
    <row r="14" spans="1:7" s="572" customFormat="1" x14ac:dyDescent="0.25">
      <c r="A14" s="860"/>
    </row>
    <row r="15" spans="1:7" ht="14.25" customHeight="1" x14ac:dyDescent="0.25">
      <c r="A15" s="950">
        <f>A9*1000000/A10</f>
        <v>124100.71942446043</v>
      </c>
      <c r="B15" t="s">
        <v>116</v>
      </c>
    </row>
    <row r="17" spans="1:3" x14ac:dyDescent="0.25">
      <c r="A17" s="861">
        <f>A15*A4</f>
        <v>23703237.410071943</v>
      </c>
      <c r="B17" t="s">
        <v>905</v>
      </c>
    </row>
    <row r="18" spans="1:3" x14ac:dyDescent="0.25">
      <c r="A18" s="861">
        <f>A15*A5</f>
        <v>39215827.338129498</v>
      </c>
      <c r="B18" t="s">
        <v>906</v>
      </c>
    </row>
    <row r="21" spans="1:3" x14ac:dyDescent="0.25">
      <c r="A21" s="862">
        <f>A6/100/D$11*A$12*A$13*2000</f>
        <v>10969821.271608556</v>
      </c>
      <c r="B21" t="s">
        <v>916</v>
      </c>
    </row>
    <row r="22" spans="1:3" s="572" customFormat="1" x14ac:dyDescent="0.25">
      <c r="A22" s="862">
        <f>A7/100/D$11*A$12*A$13*2000</f>
        <v>21939642.543217111</v>
      </c>
      <c r="B22" s="572" t="s">
        <v>915</v>
      </c>
    </row>
    <row r="24" spans="1:3" x14ac:dyDescent="0.25">
      <c r="A24" t="s">
        <v>917</v>
      </c>
      <c r="B24">
        <v>1764</v>
      </c>
      <c r="C24" t="s">
        <v>497</v>
      </c>
    </row>
    <row r="25" spans="1:3" x14ac:dyDescent="0.25">
      <c r="A25" t="s">
        <v>918</v>
      </c>
      <c r="B25" s="858">
        <v>0.9</v>
      </c>
    </row>
    <row r="26" spans="1:3" x14ac:dyDescent="0.25">
      <c r="A26" t="s">
        <v>919</v>
      </c>
      <c r="B26">
        <f>B24*B25</f>
        <v>1587.6000000000001</v>
      </c>
    </row>
    <row r="28" spans="1:3" x14ac:dyDescent="0.25">
      <c r="A28" s="851" t="s">
        <v>920</v>
      </c>
      <c r="B28" s="970">
        <f>A21/B$26</f>
        <v>6909.6883796980064</v>
      </c>
    </row>
    <row r="29" spans="1:3" x14ac:dyDescent="0.25">
      <c r="A29" s="851" t="s">
        <v>920</v>
      </c>
      <c r="B29" s="970">
        <f>A22/B$26</f>
        <v>13819.376759396013</v>
      </c>
    </row>
    <row r="31" spans="1:3" x14ac:dyDescent="0.25">
      <c r="A31" t="s">
        <v>987</v>
      </c>
    </row>
    <row r="33" spans="1:5" x14ac:dyDescent="0.25">
      <c r="A33" s="572">
        <v>125</v>
      </c>
      <c r="B33" s="572" t="s">
        <v>896</v>
      </c>
      <c r="C33" s="572" t="s">
        <v>898</v>
      </c>
      <c r="D33" s="572"/>
      <c r="E33" s="572"/>
    </row>
    <row r="34" spans="1:5" x14ac:dyDescent="0.25">
      <c r="A34" s="572">
        <v>216</v>
      </c>
      <c r="B34" s="572" t="s">
        <v>897</v>
      </c>
      <c r="C34" s="572" t="s">
        <v>899</v>
      </c>
      <c r="D34" s="572"/>
      <c r="E34" s="572"/>
    </row>
    <row r="35" spans="1:5" x14ac:dyDescent="0.25">
      <c r="A35" s="572">
        <v>0.59</v>
      </c>
      <c r="B35" s="572" t="s">
        <v>900</v>
      </c>
      <c r="C35" s="572" t="s">
        <v>901</v>
      </c>
      <c r="D35" s="572"/>
      <c r="E35" s="572"/>
    </row>
    <row r="36" spans="1:5" x14ac:dyDescent="0.25">
      <c r="A36" s="572">
        <v>0.7</v>
      </c>
      <c r="B36" s="572" t="s">
        <v>900</v>
      </c>
      <c r="C36" s="572" t="s">
        <v>902</v>
      </c>
      <c r="D36" s="572"/>
      <c r="E36" s="572"/>
    </row>
    <row r="37" spans="1:5" x14ac:dyDescent="0.25">
      <c r="A37" s="572"/>
      <c r="B37" s="572"/>
      <c r="C37" s="572"/>
      <c r="D37" s="572"/>
      <c r="E37" s="572"/>
    </row>
    <row r="38" spans="1:5" x14ac:dyDescent="0.25">
      <c r="A38" s="572">
        <f>230*6</f>
        <v>1380</v>
      </c>
      <c r="B38" s="572" t="s">
        <v>903</v>
      </c>
      <c r="C38" s="572" t="s">
        <v>904</v>
      </c>
      <c r="D38" s="572"/>
      <c r="E38" s="572"/>
    </row>
    <row r="39" spans="1:5" x14ac:dyDescent="0.25">
      <c r="A39" s="572">
        <v>11120</v>
      </c>
      <c r="B39" s="572" t="s">
        <v>911</v>
      </c>
      <c r="C39" s="572" t="s">
        <v>912</v>
      </c>
      <c r="D39" s="572"/>
      <c r="E39" s="572"/>
    </row>
    <row r="40" spans="1:5" x14ac:dyDescent="0.25">
      <c r="A40" s="572">
        <v>1</v>
      </c>
      <c r="B40" s="572" t="s">
        <v>914</v>
      </c>
      <c r="C40" s="572" t="s">
        <v>849</v>
      </c>
      <c r="D40" s="572">
        <v>3413</v>
      </c>
      <c r="E40" s="572" t="s">
        <v>913</v>
      </c>
    </row>
    <row r="41" spans="1:5" x14ac:dyDescent="0.25">
      <c r="A41" s="860">
        <v>8000</v>
      </c>
      <c r="B41" s="572" t="s">
        <v>907</v>
      </c>
      <c r="C41" s="572" t="s">
        <v>908</v>
      </c>
      <c r="D41" s="572"/>
      <c r="E41" s="572"/>
    </row>
    <row r="42" spans="1:5" x14ac:dyDescent="0.25">
      <c r="A42" s="860">
        <v>300000</v>
      </c>
      <c r="B42" s="572" t="s">
        <v>909</v>
      </c>
      <c r="C42" s="572" t="s">
        <v>910</v>
      </c>
      <c r="D42" s="572"/>
      <c r="E42" s="572"/>
    </row>
    <row r="43" spans="1:5" x14ac:dyDescent="0.25">
      <c r="A43" s="860"/>
      <c r="B43" s="572"/>
      <c r="C43" s="572"/>
      <c r="D43" s="572"/>
      <c r="E43" s="572"/>
    </row>
    <row r="44" spans="1:5" x14ac:dyDescent="0.25">
      <c r="A44" s="968">
        <f>A38*1000000/A39</f>
        <v>124100.71942446043</v>
      </c>
      <c r="B44" s="572" t="s">
        <v>116</v>
      </c>
      <c r="C44" s="572"/>
      <c r="D44" s="572"/>
      <c r="E44" s="572"/>
    </row>
    <row r="45" spans="1:5" x14ac:dyDescent="0.25">
      <c r="A45" s="968"/>
      <c r="B45" s="572"/>
      <c r="C45" s="572"/>
      <c r="D45" s="572"/>
      <c r="E45" s="572"/>
    </row>
    <row r="46" spans="1:5" x14ac:dyDescent="0.25">
      <c r="A46" s="969">
        <f>A44*A33</f>
        <v>15512589.928057553</v>
      </c>
      <c r="B46" s="572" t="s">
        <v>905</v>
      </c>
      <c r="C46" s="572"/>
      <c r="D46" s="572"/>
      <c r="E46" s="572"/>
    </row>
    <row r="47" spans="1:5" x14ac:dyDescent="0.25">
      <c r="A47" s="969">
        <f>A44*A34</f>
        <v>26805755.395683452</v>
      </c>
      <c r="B47" s="572" t="s">
        <v>906</v>
      </c>
      <c r="C47" s="572"/>
      <c r="D47" s="572"/>
      <c r="E47" s="572"/>
    </row>
    <row r="48" spans="1:5" x14ac:dyDescent="0.25">
      <c r="A48" s="572"/>
      <c r="B48" s="572"/>
      <c r="C48" s="572"/>
      <c r="D48" s="572"/>
      <c r="E48" s="572"/>
    </row>
    <row r="49" spans="1:5" x14ac:dyDescent="0.25">
      <c r="A49" s="572"/>
      <c r="B49" s="572"/>
      <c r="C49" s="572"/>
      <c r="D49" s="572"/>
      <c r="E49" s="572"/>
    </row>
    <row r="50" spans="1:5" x14ac:dyDescent="0.25">
      <c r="A50" s="861">
        <f>A35/100/D$11*A$12*A$13*2000</f>
        <v>8297685.3208321119</v>
      </c>
      <c r="B50" s="572" t="s">
        <v>916</v>
      </c>
      <c r="C50" s="572"/>
      <c r="D50" s="572"/>
      <c r="E50" s="572"/>
    </row>
    <row r="51" spans="1:5" x14ac:dyDescent="0.25">
      <c r="A51" s="861">
        <f>A36/100/D$11*A$12*A$13*2000</f>
        <v>9844711.397597421</v>
      </c>
      <c r="B51" s="572" t="s">
        <v>915</v>
      </c>
      <c r="C51" s="572"/>
      <c r="D51" s="572"/>
      <c r="E51" s="572"/>
    </row>
    <row r="52" spans="1:5" x14ac:dyDescent="0.25">
      <c r="A52" s="572"/>
      <c r="B52" s="572"/>
      <c r="C52" s="572"/>
      <c r="D52" s="572"/>
      <c r="E52" s="572"/>
    </row>
    <row r="53" spans="1:5" x14ac:dyDescent="0.25">
      <c r="A53" s="572" t="s">
        <v>917</v>
      </c>
      <c r="B53" s="572">
        <v>1764</v>
      </c>
      <c r="C53" s="572" t="s">
        <v>497</v>
      </c>
      <c r="D53" s="572"/>
      <c r="E53" s="572"/>
    </row>
    <row r="54" spans="1:5" x14ac:dyDescent="0.25">
      <c r="A54" s="572" t="s">
        <v>918</v>
      </c>
      <c r="B54" s="858">
        <v>0.9</v>
      </c>
      <c r="C54" s="572"/>
      <c r="D54" s="572"/>
      <c r="E54" s="572"/>
    </row>
    <row r="55" spans="1:5" x14ac:dyDescent="0.25">
      <c r="A55" s="572" t="s">
        <v>919</v>
      </c>
      <c r="B55" s="572">
        <f>B53*B54</f>
        <v>1587.6000000000001</v>
      </c>
      <c r="C55" s="572"/>
      <c r="D55" s="572"/>
      <c r="E55" s="572"/>
    </row>
    <row r="56" spans="1:5" x14ac:dyDescent="0.25">
      <c r="A56" s="572"/>
      <c r="B56" s="572"/>
      <c r="C56" s="572"/>
      <c r="D56" s="572"/>
      <c r="E56" s="572"/>
    </row>
    <row r="57" spans="1:5" x14ac:dyDescent="0.25">
      <c r="A57" s="851" t="s">
        <v>920</v>
      </c>
      <c r="B57" s="970">
        <f>A50/B$26</f>
        <v>5226.5591590023378</v>
      </c>
      <c r="C57" s="572"/>
      <c r="D57" s="572"/>
      <c r="E57" s="572"/>
    </row>
    <row r="58" spans="1:5" x14ac:dyDescent="0.25">
      <c r="A58" s="851" t="s">
        <v>920</v>
      </c>
      <c r="B58" s="970">
        <f>A51/B$26</f>
        <v>6201.0023920366721</v>
      </c>
      <c r="C58" s="572"/>
      <c r="D58" s="572"/>
      <c r="E58" s="57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2"/>
  <sheetViews>
    <sheetView zoomScale="110" zoomScaleNormal="110" workbookViewId="0">
      <selection activeCell="A37" sqref="A37"/>
    </sheetView>
  </sheetViews>
  <sheetFormatPr defaultRowHeight="15" x14ac:dyDescent="0.25"/>
  <cols>
    <col min="1" max="1" width="48.140625" customWidth="1"/>
    <col min="3" max="3" width="12.7109375" customWidth="1"/>
  </cols>
  <sheetData>
    <row r="1" spans="1:7" x14ac:dyDescent="0.25">
      <c r="A1" t="s">
        <v>713</v>
      </c>
    </row>
    <row r="3" spans="1:7" x14ac:dyDescent="0.25">
      <c r="A3" t="s">
        <v>714</v>
      </c>
    </row>
    <row r="5" spans="1:7" x14ac:dyDescent="0.25">
      <c r="A5" t="s">
        <v>715</v>
      </c>
    </row>
    <row r="6" spans="1:7" x14ac:dyDescent="0.25">
      <c r="D6" t="s">
        <v>119</v>
      </c>
    </row>
    <row r="7" spans="1:7" x14ac:dyDescent="0.25">
      <c r="A7" t="s">
        <v>718</v>
      </c>
      <c r="B7">
        <v>3.2000000000000001E-2</v>
      </c>
      <c r="C7" t="s">
        <v>717</v>
      </c>
      <c r="D7" t="s">
        <v>335</v>
      </c>
      <c r="E7" t="s">
        <v>716</v>
      </c>
    </row>
    <row r="8" spans="1:7" x14ac:dyDescent="0.25">
      <c r="A8" t="s">
        <v>722</v>
      </c>
      <c r="B8">
        <v>13.2</v>
      </c>
      <c r="C8" t="s">
        <v>496</v>
      </c>
      <c r="D8" t="s">
        <v>324</v>
      </c>
      <c r="E8" t="s">
        <v>719</v>
      </c>
    </row>
    <row r="9" spans="1:7" x14ac:dyDescent="0.25">
      <c r="A9" t="s">
        <v>721</v>
      </c>
      <c r="B9">
        <v>66</v>
      </c>
      <c r="C9" t="s">
        <v>496</v>
      </c>
      <c r="D9" t="s">
        <v>720</v>
      </c>
      <c r="E9" t="s">
        <v>719</v>
      </c>
    </row>
    <row r="10" spans="1:7" x14ac:dyDescent="0.25">
      <c r="A10" t="s">
        <v>724</v>
      </c>
      <c r="B10">
        <v>0.04</v>
      </c>
      <c r="C10" t="s">
        <v>717</v>
      </c>
      <c r="D10" t="s">
        <v>335</v>
      </c>
      <c r="E10" t="s">
        <v>723</v>
      </c>
    </row>
    <row r="12" spans="1:7" x14ac:dyDescent="0.25">
      <c r="A12" t="s">
        <v>725</v>
      </c>
      <c r="B12">
        <v>20</v>
      </c>
      <c r="C12" t="s">
        <v>726</v>
      </c>
      <c r="E12" t="s">
        <v>727</v>
      </c>
    </row>
    <row r="14" spans="1:7" x14ac:dyDescent="0.25">
      <c r="A14" t="s">
        <v>728</v>
      </c>
    </row>
    <row r="15" spans="1:7" x14ac:dyDescent="0.25">
      <c r="B15" t="s">
        <v>729</v>
      </c>
      <c r="C15" t="s">
        <v>730</v>
      </c>
      <c r="D15" t="s">
        <v>731</v>
      </c>
      <c r="E15" t="s">
        <v>732</v>
      </c>
      <c r="F15" t="s">
        <v>733</v>
      </c>
      <c r="G15" t="s">
        <v>734</v>
      </c>
    </row>
    <row r="16" spans="1:7" x14ac:dyDescent="0.25">
      <c r="A16" t="s">
        <v>735</v>
      </c>
      <c r="B16">
        <v>1.48E-3</v>
      </c>
      <c r="C16">
        <v>1.0999999999999999E-2</v>
      </c>
      <c r="D16">
        <v>9.9700000000000006E-4</v>
      </c>
      <c r="E16">
        <v>2.9499999999999999E-3</v>
      </c>
      <c r="F16">
        <v>1.06E-3</v>
      </c>
      <c r="G16">
        <v>3.8999999999999998E-3</v>
      </c>
    </row>
    <row r="18" spans="1:6" x14ac:dyDescent="0.25">
      <c r="A18" t="s">
        <v>736</v>
      </c>
    </row>
    <row r="19" spans="1:6" x14ac:dyDescent="0.25">
      <c r="A19" t="s">
        <v>838</v>
      </c>
      <c r="D19" s="744" t="s">
        <v>840</v>
      </c>
    </row>
    <row r="20" spans="1:6" x14ac:dyDescent="0.25">
      <c r="A20" t="s">
        <v>722</v>
      </c>
      <c r="B20">
        <f>B8/B12</f>
        <v>0.65999999999999992</v>
      </c>
      <c r="C20" t="s">
        <v>737</v>
      </c>
      <c r="D20">
        <f>B8/15.1</f>
        <v>0.8741721854304636</v>
      </c>
      <c r="E20" t="s">
        <v>839</v>
      </c>
    </row>
    <row r="21" spans="1:6" x14ac:dyDescent="0.25">
      <c r="A21" t="s">
        <v>721</v>
      </c>
      <c r="B21">
        <f>B9/B12</f>
        <v>3.3</v>
      </c>
      <c r="C21" t="s">
        <v>737</v>
      </c>
    </row>
    <row r="23" spans="1:6" x14ac:dyDescent="0.25">
      <c r="A23" t="s">
        <v>841</v>
      </c>
      <c r="B23">
        <f>AVERAGE(39416, 38521, 38793, 37870, 39077, 38555)</f>
        <v>38705.333333333336</v>
      </c>
      <c r="C23" t="s">
        <v>842</v>
      </c>
    </row>
    <row r="24" spans="1:6" x14ac:dyDescent="0.25">
      <c r="A24" t="s">
        <v>843</v>
      </c>
      <c r="B24">
        <v>9612</v>
      </c>
      <c r="C24" t="s">
        <v>844</v>
      </c>
    </row>
    <row r="26" spans="1:6" x14ac:dyDescent="0.25">
      <c r="A26" t="s">
        <v>845</v>
      </c>
      <c r="B26">
        <v>0.01</v>
      </c>
      <c r="C26" t="s">
        <v>846</v>
      </c>
    </row>
    <row r="27" spans="1:6" x14ac:dyDescent="0.25">
      <c r="A27" t="s">
        <v>847</v>
      </c>
      <c r="B27">
        <v>1</v>
      </c>
      <c r="C27" t="s">
        <v>848</v>
      </c>
      <c r="D27" t="s">
        <v>849</v>
      </c>
      <c r="E27">
        <v>1.42857E-4</v>
      </c>
      <c r="F27" t="s">
        <v>850</v>
      </c>
    </row>
    <row r="29" spans="1:6" x14ac:dyDescent="0.25">
      <c r="A29" t="s">
        <v>851</v>
      </c>
      <c r="B29">
        <f>B23*B26*E27</f>
        <v>5.5293278040000005E-2</v>
      </c>
      <c r="C29" t="s">
        <v>852</v>
      </c>
    </row>
    <row r="30" spans="1:6" x14ac:dyDescent="0.25">
      <c r="B30">
        <f>B29*60</f>
        <v>3.3175966824000005</v>
      </c>
      <c r="C30" t="s">
        <v>853</v>
      </c>
    </row>
    <row r="32" spans="1:6" x14ac:dyDescent="0.25">
      <c r="A32" t="s">
        <v>854</v>
      </c>
      <c r="B32">
        <v>0.04</v>
      </c>
      <c r="C32" t="s">
        <v>839</v>
      </c>
    </row>
    <row r="33" spans="1:3" x14ac:dyDescent="0.25">
      <c r="A33" t="s">
        <v>855</v>
      </c>
      <c r="B33">
        <v>230</v>
      </c>
      <c r="C33" t="s">
        <v>856</v>
      </c>
    </row>
    <row r="34" spans="1:3" x14ac:dyDescent="0.25">
      <c r="A34" t="s">
        <v>857</v>
      </c>
      <c r="B34">
        <f>B32*B33</f>
        <v>9.2000000000000011</v>
      </c>
      <c r="C34" t="s">
        <v>168</v>
      </c>
    </row>
    <row r="36" spans="1:3" x14ac:dyDescent="0.25">
      <c r="A36" t="s">
        <v>858</v>
      </c>
      <c r="B36">
        <v>0.16</v>
      </c>
      <c r="C36" t="s">
        <v>496</v>
      </c>
    </row>
    <row r="37" spans="1:3" x14ac:dyDescent="0.25">
      <c r="B37">
        <f>B36*336000/6/8760</f>
        <v>1.0228310502283104</v>
      </c>
      <c r="C37" t="s">
        <v>859</v>
      </c>
    </row>
    <row r="38" spans="1:3" x14ac:dyDescent="0.25">
      <c r="B38">
        <f>B36/15.1</f>
        <v>1.0596026490066225E-2</v>
      </c>
    </row>
    <row r="39" spans="1:3" x14ac:dyDescent="0.25">
      <c r="A39" t="s">
        <v>860</v>
      </c>
      <c r="B39">
        <v>0.04</v>
      </c>
      <c r="C39" t="s">
        <v>839</v>
      </c>
    </row>
    <row r="40" spans="1:3" x14ac:dyDescent="0.25">
      <c r="A40" t="s">
        <v>861</v>
      </c>
      <c r="B40">
        <v>3.2000000000000001E-2</v>
      </c>
      <c r="C40" t="s">
        <v>496</v>
      </c>
    </row>
    <row r="41" spans="1:3" x14ac:dyDescent="0.25">
      <c r="B41">
        <f>B40*336000/6/8760</f>
        <v>0.20456621004566211</v>
      </c>
      <c r="C41" t="s">
        <v>859</v>
      </c>
    </row>
    <row r="42" spans="1:3" x14ac:dyDescent="0.25">
      <c r="B42">
        <f>B40/15.1</f>
        <v>2.119205298013245E-3</v>
      </c>
    </row>
  </sheetData>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
  <sheetViews>
    <sheetView topLeftCell="B1" workbookViewId="0">
      <selection activeCell="I6" sqref="I6"/>
    </sheetView>
  </sheetViews>
  <sheetFormatPr defaultRowHeight="15" x14ac:dyDescent="0.25"/>
  <cols>
    <col min="1" max="1" width="13.140625" hidden="1" customWidth="1"/>
    <col min="3" max="3" width="29.7109375" customWidth="1"/>
    <col min="4" max="4" width="31.28515625" customWidth="1"/>
    <col min="5" max="5" width="10.28515625" customWidth="1"/>
    <col min="6" max="6" width="11.5703125" customWidth="1"/>
    <col min="7" max="7" width="18.140625" customWidth="1"/>
    <col min="8" max="8" width="14.5703125" customWidth="1"/>
    <col min="9" max="9" width="14.28515625" customWidth="1"/>
    <col min="10" max="10" width="10.7109375" customWidth="1"/>
    <col min="11" max="13" width="14.85546875" customWidth="1"/>
    <col min="36" max="36" width="10.7109375" hidden="1" customWidth="1"/>
    <col min="37" max="37" width="14.85546875" hidden="1" customWidth="1"/>
    <col min="38" max="55" width="0" hidden="1" customWidth="1"/>
  </cols>
  <sheetData>
    <row r="1" spans="1:55" x14ac:dyDescent="0.25">
      <c r="H1" t="s">
        <v>149</v>
      </c>
      <c r="L1" t="s">
        <v>149</v>
      </c>
      <c r="M1" t="s">
        <v>152</v>
      </c>
      <c r="U1" t="s">
        <v>149</v>
      </c>
      <c r="V1" t="s">
        <v>152</v>
      </c>
      <c r="AD1" t="s">
        <v>152</v>
      </c>
      <c r="AE1" t="s">
        <v>152</v>
      </c>
    </row>
    <row r="2" spans="1:55" ht="19.149999999999999" customHeight="1" x14ac:dyDescent="0.25">
      <c r="A2" s="1013" t="s">
        <v>52</v>
      </c>
      <c r="B2" s="1013"/>
      <c r="C2" s="1013"/>
      <c r="D2" s="1013"/>
      <c r="E2" s="1013"/>
      <c r="F2" s="1013"/>
      <c r="G2" s="1014"/>
      <c r="H2" s="24"/>
      <c r="I2" s="24"/>
      <c r="J2" s="1015" t="s">
        <v>134</v>
      </c>
      <c r="K2" s="1015"/>
      <c r="L2" s="1015"/>
      <c r="M2" s="1015"/>
      <c r="N2" s="1015"/>
      <c r="O2" s="1015"/>
      <c r="P2" s="1015"/>
      <c r="Q2" s="1015"/>
      <c r="R2" s="1015"/>
      <c r="S2" s="1015"/>
      <c r="T2" s="1015"/>
      <c r="U2" s="1015"/>
      <c r="V2" s="1015"/>
      <c r="W2" s="1015"/>
      <c r="X2" s="1015"/>
      <c r="Y2" s="1015"/>
      <c r="Z2" s="1015"/>
      <c r="AA2" s="1015"/>
      <c r="AB2" s="1015"/>
      <c r="AC2" s="1015"/>
      <c r="AD2" s="1015"/>
      <c r="AE2" s="1015"/>
      <c r="AF2" s="1015"/>
      <c r="AG2" s="1015"/>
      <c r="AH2" s="1015"/>
      <c r="AI2" s="1015"/>
      <c r="AJ2" s="1016" t="s">
        <v>144</v>
      </c>
      <c r="AK2" s="1016"/>
      <c r="AL2" s="1016"/>
      <c r="AM2" s="1016"/>
      <c r="AN2" s="1016"/>
      <c r="AO2" s="1016"/>
      <c r="AP2" s="1016"/>
      <c r="AQ2" s="1016"/>
      <c r="AR2" s="1016"/>
      <c r="AS2" s="1016"/>
      <c r="AT2" s="1016"/>
      <c r="AU2" s="1016"/>
      <c r="AV2" s="1016"/>
      <c r="AW2" s="1016"/>
      <c r="AX2" s="1016"/>
      <c r="AY2" s="1016"/>
      <c r="AZ2" s="1016"/>
      <c r="BA2" s="1016"/>
      <c r="BB2" s="1016"/>
      <c r="BC2" s="1016"/>
    </row>
    <row r="3" spans="1:55" ht="90" x14ac:dyDescent="0.25">
      <c r="A3" s="1" t="s">
        <v>107</v>
      </c>
      <c r="B3" s="1" t="s">
        <v>16</v>
      </c>
      <c r="C3" s="1" t="s">
        <v>15</v>
      </c>
      <c r="D3" s="1" t="s">
        <v>25</v>
      </c>
      <c r="E3" s="6" t="s">
        <v>118</v>
      </c>
      <c r="F3" s="7" t="s">
        <v>119</v>
      </c>
      <c r="G3" s="14" t="s">
        <v>26</v>
      </c>
      <c r="H3" s="22" t="s">
        <v>133</v>
      </c>
      <c r="I3" s="19" t="s">
        <v>120</v>
      </c>
      <c r="J3" s="20" t="s">
        <v>140</v>
      </c>
      <c r="K3" s="20" t="s">
        <v>141</v>
      </c>
      <c r="L3" s="20" t="s">
        <v>150</v>
      </c>
      <c r="M3" s="20" t="s">
        <v>154</v>
      </c>
      <c r="N3" s="20" t="s">
        <v>121</v>
      </c>
      <c r="O3" s="20" t="s">
        <v>130</v>
      </c>
      <c r="P3" s="20" t="s">
        <v>122</v>
      </c>
      <c r="Q3" s="20" t="s">
        <v>123</v>
      </c>
      <c r="R3" s="20" t="s">
        <v>136</v>
      </c>
      <c r="S3" s="20" t="s">
        <v>142</v>
      </c>
      <c r="T3" s="20" t="s">
        <v>143</v>
      </c>
      <c r="U3" s="20" t="s">
        <v>151</v>
      </c>
      <c r="V3" s="20" t="s">
        <v>154</v>
      </c>
      <c r="W3" s="20" t="s">
        <v>124</v>
      </c>
      <c r="X3" s="20" t="s">
        <v>131</v>
      </c>
      <c r="Y3" s="20" t="s">
        <v>125</v>
      </c>
      <c r="Z3" s="20" t="s">
        <v>126</v>
      </c>
      <c r="AA3" s="20" t="s">
        <v>137</v>
      </c>
      <c r="AB3" s="20" t="s">
        <v>138</v>
      </c>
      <c r="AC3" s="20" t="s">
        <v>139</v>
      </c>
      <c r="AD3" s="20" t="s">
        <v>153</v>
      </c>
      <c r="AE3" s="20" t="s">
        <v>154</v>
      </c>
      <c r="AF3" s="20" t="s">
        <v>127</v>
      </c>
      <c r="AG3" s="20" t="s">
        <v>132</v>
      </c>
      <c r="AH3" s="20" t="s">
        <v>128</v>
      </c>
      <c r="AI3" s="20" t="s">
        <v>129</v>
      </c>
      <c r="AJ3" s="20" t="s">
        <v>140</v>
      </c>
      <c r="AK3" s="20" t="s">
        <v>141</v>
      </c>
      <c r="AL3" s="20" t="s">
        <v>121</v>
      </c>
      <c r="AM3" s="20" t="s">
        <v>130</v>
      </c>
      <c r="AN3" s="20" t="s">
        <v>122</v>
      </c>
      <c r="AO3" s="20" t="s">
        <v>123</v>
      </c>
      <c r="AP3" s="20" t="s">
        <v>136</v>
      </c>
      <c r="AQ3" s="20" t="s">
        <v>142</v>
      </c>
      <c r="AR3" s="20" t="s">
        <v>143</v>
      </c>
      <c r="AS3" s="20" t="s">
        <v>124</v>
      </c>
      <c r="AT3" s="20" t="s">
        <v>131</v>
      </c>
      <c r="AU3" s="20" t="s">
        <v>125</v>
      </c>
      <c r="AV3" s="20" t="s">
        <v>126</v>
      </c>
      <c r="AW3" s="20" t="s">
        <v>137</v>
      </c>
      <c r="AX3" s="20" t="s">
        <v>138</v>
      </c>
      <c r="AY3" s="20" t="s">
        <v>139</v>
      </c>
      <c r="AZ3" s="20" t="s">
        <v>127</v>
      </c>
      <c r="BA3" s="20" t="s">
        <v>132</v>
      </c>
      <c r="BB3" s="20" t="s">
        <v>128</v>
      </c>
      <c r="BC3" s="20" t="s">
        <v>129</v>
      </c>
    </row>
    <row r="4" spans="1:55" x14ac:dyDescent="0.25">
      <c r="A4" s="1"/>
      <c r="B4" s="1" t="s">
        <v>146</v>
      </c>
      <c r="C4" s="1"/>
      <c r="D4" s="1"/>
      <c r="E4" s="6"/>
      <c r="F4" s="7"/>
      <c r="G4" s="1"/>
      <c r="H4" s="22"/>
      <c r="I4" s="19"/>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row>
    <row r="5" spans="1:55" x14ac:dyDescent="0.25">
      <c r="A5" s="3" t="s">
        <v>108</v>
      </c>
      <c r="B5" s="2">
        <v>1</v>
      </c>
      <c r="C5" s="3" t="s">
        <v>58</v>
      </c>
      <c r="D5" s="3" t="s">
        <v>73</v>
      </c>
      <c r="E5" s="3">
        <v>230</v>
      </c>
      <c r="F5" s="3" t="s">
        <v>112</v>
      </c>
      <c r="G5" s="4">
        <v>1953</v>
      </c>
      <c r="H5" s="13"/>
      <c r="I5" s="13"/>
      <c r="J5" s="12"/>
      <c r="K5" s="12"/>
      <c r="L5" s="12"/>
      <c r="M5" s="12"/>
      <c r="AJ5" s="12"/>
      <c r="AK5" s="12"/>
    </row>
    <row r="6" spans="1:55" x14ac:dyDescent="0.25">
      <c r="A6" s="3" t="s">
        <v>108</v>
      </c>
      <c r="B6" s="2">
        <v>2</v>
      </c>
      <c r="C6" s="3" t="s">
        <v>59</v>
      </c>
      <c r="D6" s="3" t="s">
        <v>73</v>
      </c>
      <c r="E6" s="3">
        <v>230</v>
      </c>
      <c r="F6" s="3" t="s">
        <v>112</v>
      </c>
      <c r="G6" s="4">
        <v>1953</v>
      </c>
      <c r="H6" s="13"/>
      <c r="I6" s="13"/>
      <c r="J6" s="12"/>
      <c r="K6" s="12"/>
      <c r="L6" s="12"/>
      <c r="M6" s="12"/>
      <c r="AJ6" s="12"/>
      <c r="AK6" s="12"/>
    </row>
    <row r="7" spans="1:55" x14ac:dyDescent="0.25">
      <c r="A7" s="3" t="s">
        <v>109</v>
      </c>
      <c r="B7" s="2">
        <v>3</v>
      </c>
      <c r="C7" s="3" t="s">
        <v>60</v>
      </c>
      <c r="D7" s="3" t="s">
        <v>73</v>
      </c>
      <c r="E7" s="3">
        <v>230</v>
      </c>
      <c r="F7" s="3" t="s">
        <v>112</v>
      </c>
      <c r="G7" s="4">
        <v>1953</v>
      </c>
      <c r="H7" s="13"/>
      <c r="I7" s="13"/>
      <c r="J7" s="12"/>
      <c r="K7" s="12"/>
      <c r="L7" s="12"/>
      <c r="M7" s="12"/>
      <c r="AJ7" s="12"/>
      <c r="AK7" s="12"/>
    </row>
    <row r="8" spans="1:55" x14ac:dyDescent="0.25">
      <c r="A8" s="3" t="s">
        <v>109</v>
      </c>
      <c r="B8" s="2">
        <v>4</v>
      </c>
      <c r="C8" s="3" t="s">
        <v>61</v>
      </c>
      <c r="D8" s="3" t="s">
        <v>73</v>
      </c>
      <c r="E8" s="3">
        <v>230</v>
      </c>
      <c r="F8" s="3" t="s">
        <v>112</v>
      </c>
      <c r="G8" s="4">
        <v>1953</v>
      </c>
      <c r="H8" s="13"/>
      <c r="I8" s="13"/>
      <c r="J8" s="13"/>
      <c r="K8" s="13"/>
      <c r="L8" s="13"/>
      <c r="M8" s="13"/>
      <c r="AJ8" s="13"/>
      <c r="AK8" s="13"/>
    </row>
    <row r="9" spans="1:55" x14ac:dyDescent="0.25">
      <c r="A9" s="3" t="s">
        <v>109</v>
      </c>
      <c r="B9" s="2">
        <v>5</v>
      </c>
      <c r="C9" s="3" t="s">
        <v>62</v>
      </c>
      <c r="D9" s="3" t="s">
        <v>73</v>
      </c>
      <c r="E9" s="3">
        <v>230</v>
      </c>
      <c r="F9" s="3" t="s">
        <v>112</v>
      </c>
      <c r="G9" s="4">
        <v>1953</v>
      </c>
      <c r="H9" s="13"/>
      <c r="I9" s="13"/>
      <c r="J9" s="13"/>
      <c r="K9" s="13"/>
      <c r="L9" s="13"/>
      <c r="M9" s="13"/>
      <c r="AJ9" s="13"/>
      <c r="AK9" s="13"/>
    </row>
    <row r="10" spans="1:55" x14ac:dyDescent="0.25">
      <c r="A10" s="3" t="s">
        <v>109</v>
      </c>
      <c r="B10" s="2">
        <v>6</v>
      </c>
      <c r="C10" s="3" t="s">
        <v>63</v>
      </c>
      <c r="D10" s="3" t="s">
        <v>73</v>
      </c>
      <c r="E10" s="3">
        <v>230</v>
      </c>
      <c r="F10" s="3" t="s">
        <v>112</v>
      </c>
      <c r="G10" s="4">
        <v>1953</v>
      </c>
      <c r="H10" s="13"/>
      <c r="I10" s="13"/>
      <c r="J10" s="13"/>
      <c r="K10" s="13"/>
      <c r="L10" s="13"/>
      <c r="M10" s="13"/>
      <c r="AJ10" s="13"/>
      <c r="AK10" s="13"/>
    </row>
    <row r="11" spans="1:55" x14ac:dyDescent="0.25">
      <c r="A11" s="5" t="s">
        <v>110</v>
      </c>
    </row>
    <row r="12" spans="1:55" x14ac:dyDescent="0.25">
      <c r="A12" s="5" t="s">
        <v>111</v>
      </c>
    </row>
  </sheetData>
  <mergeCells count="3">
    <mergeCell ref="A2:G2"/>
    <mergeCell ref="J2:AI2"/>
    <mergeCell ref="AJ2:BC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2"/>
  <sheetViews>
    <sheetView topLeftCell="B1" workbookViewId="0">
      <selection activeCell="C8" sqref="C8"/>
    </sheetView>
  </sheetViews>
  <sheetFormatPr defaultRowHeight="15" x14ac:dyDescent="0.25"/>
  <cols>
    <col min="1" max="1" width="13.140625" hidden="1" customWidth="1"/>
    <col min="3" max="3" width="29.7109375" customWidth="1"/>
    <col min="4" max="4" width="31.28515625" customWidth="1"/>
    <col min="5" max="5" width="10.28515625" customWidth="1"/>
    <col min="6" max="6" width="11.5703125" customWidth="1"/>
    <col min="7" max="8" width="30.7109375" customWidth="1"/>
    <col min="9" max="9" width="14.5703125" customWidth="1"/>
    <col min="10" max="10" width="14.28515625" customWidth="1"/>
    <col min="11" max="11" width="10.7109375" customWidth="1"/>
    <col min="12" max="14" width="14.85546875" customWidth="1"/>
    <col min="37" max="37" width="10.7109375" hidden="1" customWidth="1"/>
    <col min="38" max="38" width="14.85546875" hidden="1" customWidth="1"/>
    <col min="39" max="56" width="0" hidden="1" customWidth="1"/>
  </cols>
  <sheetData>
    <row r="1" spans="1:56" x14ac:dyDescent="0.25">
      <c r="I1" t="s">
        <v>149</v>
      </c>
      <c r="M1" t="s">
        <v>149</v>
      </c>
      <c r="N1" t="s">
        <v>152</v>
      </c>
      <c r="V1" t="s">
        <v>149</v>
      </c>
      <c r="W1" t="s">
        <v>152</v>
      </c>
      <c r="AE1" t="s">
        <v>152</v>
      </c>
      <c r="AF1" t="s">
        <v>152</v>
      </c>
    </row>
    <row r="2" spans="1:56" ht="19.149999999999999" customHeight="1" x14ac:dyDescent="0.25">
      <c r="A2" s="1013" t="s">
        <v>52</v>
      </c>
      <c r="B2" s="1013"/>
      <c r="C2" s="1013"/>
      <c r="D2" s="1013"/>
      <c r="E2" s="1013"/>
      <c r="F2" s="1013"/>
      <c r="G2" s="1014"/>
      <c r="H2" s="24"/>
      <c r="I2" s="24"/>
      <c r="J2" s="24"/>
      <c r="K2" s="1015" t="s">
        <v>134</v>
      </c>
      <c r="L2" s="1015"/>
      <c r="M2" s="1015"/>
      <c r="N2" s="1015"/>
      <c r="O2" s="1015"/>
      <c r="P2" s="1015"/>
      <c r="Q2" s="1015"/>
      <c r="R2" s="1015"/>
      <c r="S2" s="1015"/>
      <c r="T2" s="1015"/>
      <c r="U2" s="1015"/>
      <c r="V2" s="1015"/>
      <c r="W2" s="1015"/>
      <c r="X2" s="1015"/>
      <c r="Y2" s="1015"/>
      <c r="Z2" s="1015"/>
      <c r="AA2" s="1015"/>
      <c r="AB2" s="1015"/>
      <c r="AC2" s="1015"/>
      <c r="AD2" s="1015"/>
      <c r="AE2" s="1015"/>
      <c r="AF2" s="1015"/>
      <c r="AG2" s="1015"/>
      <c r="AH2" s="1015"/>
      <c r="AI2" s="1015"/>
      <c r="AJ2" s="1015"/>
      <c r="AK2" s="1016" t="s">
        <v>144</v>
      </c>
      <c r="AL2" s="1016"/>
      <c r="AM2" s="1016"/>
      <c r="AN2" s="1016"/>
      <c r="AO2" s="1016"/>
      <c r="AP2" s="1016"/>
      <c r="AQ2" s="1016"/>
      <c r="AR2" s="1016"/>
      <c r="AS2" s="1016"/>
      <c r="AT2" s="1016"/>
      <c r="AU2" s="1016"/>
      <c r="AV2" s="1016"/>
      <c r="AW2" s="1016"/>
      <c r="AX2" s="1016"/>
      <c r="AY2" s="1016"/>
      <c r="AZ2" s="1016"/>
      <c r="BA2" s="1016"/>
      <c r="BB2" s="1016"/>
      <c r="BC2" s="1016"/>
      <c r="BD2" s="1016"/>
    </row>
    <row r="3" spans="1:56" ht="90" x14ac:dyDescent="0.25">
      <c r="A3" s="1" t="s">
        <v>107</v>
      </c>
      <c r="B3" s="1" t="s">
        <v>16</v>
      </c>
      <c r="C3" s="1" t="s">
        <v>15</v>
      </c>
      <c r="D3" s="1" t="s">
        <v>25</v>
      </c>
      <c r="E3" s="6" t="s">
        <v>118</v>
      </c>
      <c r="F3" s="7" t="s">
        <v>119</v>
      </c>
      <c r="G3" s="1" t="s">
        <v>26</v>
      </c>
      <c r="H3" s="11" t="s">
        <v>145</v>
      </c>
      <c r="I3" s="22" t="s">
        <v>133</v>
      </c>
      <c r="J3" s="19" t="s">
        <v>120</v>
      </c>
      <c r="K3" s="20" t="s">
        <v>140</v>
      </c>
      <c r="L3" s="20" t="s">
        <v>141</v>
      </c>
      <c r="M3" s="20" t="s">
        <v>150</v>
      </c>
      <c r="N3" s="20" t="s">
        <v>154</v>
      </c>
      <c r="O3" s="20" t="s">
        <v>121</v>
      </c>
      <c r="P3" s="20" t="s">
        <v>130</v>
      </c>
      <c r="Q3" s="20" t="s">
        <v>122</v>
      </c>
      <c r="R3" s="20" t="s">
        <v>123</v>
      </c>
      <c r="S3" s="20" t="s">
        <v>136</v>
      </c>
      <c r="T3" s="20" t="s">
        <v>142</v>
      </c>
      <c r="U3" s="20" t="s">
        <v>143</v>
      </c>
      <c r="V3" s="20" t="s">
        <v>151</v>
      </c>
      <c r="W3" s="20" t="s">
        <v>154</v>
      </c>
      <c r="X3" s="20" t="s">
        <v>124</v>
      </c>
      <c r="Y3" s="20" t="s">
        <v>131</v>
      </c>
      <c r="Z3" s="20" t="s">
        <v>125</v>
      </c>
      <c r="AA3" s="20" t="s">
        <v>126</v>
      </c>
      <c r="AB3" s="20" t="s">
        <v>137</v>
      </c>
      <c r="AC3" s="20" t="s">
        <v>138</v>
      </c>
      <c r="AD3" s="20" t="s">
        <v>139</v>
      </c>
      <c r="AE3" s="20" t="s">
        <v>153</v>
      </c>
      <c r="AF3" s="20" t="s">
        <v>154</v>
      </c>
      <c r="AG3" s="20" t="s">
        <v>127</v>
      </c>
      <c r="AH3" s="20" t="s">
        <v>132</v>
      </c>
      <c r="AI3" s="20" t="s">
        <v>128</v>
      </c>
      <c r="AJ3" s="20" t="s">
        <v>129</v>
      </c>
      <c r="AK3" s="20" t="s">
        <v>140</v>
      </c>
      <c r="AL3" s="20" t="s">
        <v>141</v>
      </c>
      <c r="AM3" s="20" t="s">
        <v>121</v>
      </c>
      <c r="AN3" s="20" t="s">
        <v>130</v>
      </c>
      <c r="AO3" s="20" t="s">
        <v>122</v>
      </c>
      <c r="AP3" s="20" t="s">
        <v>123</v>
      </c>
      <c r="AQ3" s="20" t="s">
        <v>136</v>
      </c>
      <c r="AR3" s="20" t="s">
        <v>142</v>
      </c>
      <c r="AS3" s="20" t="s">
        <v>143</v>
      </c>
      <c r="AT3" s="20" t="s">
        <v>124</v>
      </c>
      <c r="AU3" s="20" t="s">
        <v>131</v>
      </c>
      <c r="AV3" s="20" t="s">
        <v>125</v>
      </c>
      <c r="AW3" s="20" t="s">
        <v>126</v>
      </c>
      <c r="AX3" s="20" t="s">
        <v>137</v>
      </c>
      <c r="AY3" s="20" t="s">
        <v>138</v>
      </c>
      <c r="AZ3" s="20" t="s">
        <v>139</v>
      </c>
      <c r="BA3" s="20" t="s">
        <v>127</v>
      </c>
      <c r="BB3" s="20" t="s">
        <v>132</v>
      </c>
      <c r="BC3" s="20" t="s">
        <v>128</v>
      </c>
      <c r="BD3" s="20" t="s">
        <v>129</v>
      </c>
    </row>
    <row r="4" spans="1:56" x14ac:dyDescent="0.25">
      <c r="A4" s="3"/>
      <c r="B4" s="23" t="s">
        <v>147</v>
      </c>
      <c r="C4" s="3"/>
      <c r="D4" s="3"/>
      <c r="E4" s="3"/>
      <c r="F4" s="3"/>
      <c r="G4" s="4"/>
      <c r="H4" s="13"/>
      <c r="I4" s="13"/>
      <c r="J4" s="13"/>
      <c r="K4" s="13"/>
      <c r="L4" s="13"/>
      <c r="M4" s="13"/>
      <c r="N4" s="13"/>
      <c r="AK4" s="13"/>
      <c r="AL4" s="13"/>
    </row>
    <row r="5" spans="1:56" x14ac:dyDescent="0.25">
      <c r="A5" s="3" t="s">
        <v>109</v>
      </c>
      <c r="B5" s="2" t="s">
        <v>53</v>
      </c>
      <c r="C5" s="3" t="s">
        <v>64</v>
      </c>
      <c r="D5" s="3" t="s">
        <v>74</v>
      </c>
      <c r="E5" s="9">
        <v>13150</v>
      </c>
      <c r="F5" s="3" t="s">
        <v>117</v>
      </c>
      <c r="G5" s="4">
        <v>2001</v>
      </c>
      <c r="H5" s="13"/>
      <c r="I5" s="13"/>
      <c r="J5" s="13"/>
      <c r="K5" s="13"/>
      <c r="L5" s="13"/>
      <c r="M5" s="13"/>
      <c r="N5" s="13"/>
      <c r="AK5" s="13"/>
      <c r="AL5" s="13"/>
    </row>
    <row r="6" spans="1:56" x14ac:dyDescent="0.25">
      <c r="A6" s="3" t="s">
        <v>109</v>
      </c>
      <c r="B6" s="2" t="s">
        <v>54</v>
      </c>
      <c r="C6" s="3" t="s">
        <v>65</v>
      </c>
      <c r="D6" s="3" t="s">
        <v>75</v>
      </c>
      <c r="E6" s="3">
        <v>884</v>
      </c>
      <c r="F6" s="3" t="s">
        <v>117</v>
      </c>
      <c r="G6" s="4">
        <v>2005</v>
      </c>
      <c r="H6" s="13"/>
      <c r="I6" s="13"/>
      <c r="J6" s="13"/>
      <c r="K6" s="13"/>
      <c r="L6" s="13"/>
      <c r="M6" s="13"/>
      <c r="N6" s="13"/>
      <c r="AK6" s="13"/>
      <c r="AL6" s="13"/>
    </row>
    <row r="7" spans="1:56" x14ac:dyDescent="0.25">
      <c r="A7" s="3" t="s">
        <v>109</v>
      </c>
      <c r="B7" s="2" t="s">
        <v>55</v>
      </c>
      <c r="C7" s="3" t="s">
        <v>66</v>
      </c>
      <c r="D7" s="3" t="s">
        <v>76</v>
      </c>
      <c r="E7" s="9">
        <v>9250</v>
      </c>
      <c r="F7" s="3" t="s">
        <v>117</v>
      </c>
      <c r="G7" s="4">
        <v>2004</v>
      </c>
      <c r="H7" s="13"/>
      <c r="I7" s="13"/>
      <c r="J7" s="13"/>
      <c r="K7" s="13"/>
      <c r="L7" s="13"/>
      <c r="M7" s="13"/>
      <c r="N7" s="13"/>
      <c r="AK7" s="13"/>
      <c r="AL7" s="13"/>
    </row>
    <row r="8" spans="1:56" x14ac:dyDescent="0.25">
      <c r="A8" s="3" t="s">
        <v>109</v>
      </c>
      <c r="B8" s="2" t="s">
        <v>56</v>
      </c>
      <c r="C8" s="3" t="s">
        <v>70</v>
      </c>
      <c r="D8" s="3" t="s">
        <v>103</v>
      </c>
      <c r="E8" s="9">
        <v>3620</v>
      </c>
      <c r="F8" s="3" t="s">
        <v>117</v>
      </c>
      <c r="G8" s="4">
        <v>1993</v>
      </c>
      <c r="H8" s="13"/>
      <c r="I8" s="13"/>
      <c r="J8" s="13"/>
    </row>
    <row r="9" spans="1:56" x14ac:dyDescent="0.25">
      <c r="A9" s="3" t="s">
        <v>109</v>
      </c>
      <c r="B9" s="2" t="s">
        <v>57</v>
      </c>
      <c r="C9" s="3" t="s">
        <v>71</v>
      </c>
      <c r="D9" s="3" t="s">
        <v>104</v>
      </c>
      <c r="E9" s="9">
        <v>3620</v>
      </c>
      <c r="F9" s="3" t="s">
        <v>117</v>
      </c>
      <c r="G9" s="4">
        <v>1994</v>
      </c>
      <c r="H9" s="13"/>
      <c r="I9" s="13"/>
      <c r="J9" s="13"/>
    </row>
    <row r="10" spans="1:56" x14ac:dyDescent="0.25">
      <c r="A10" s="3" t="s">
        <v>109</v>
      </c>
      <c r="B10" s="2">
        <v>52</v>
      </c>
      <c r="C10" s="3" t="s">
        <v>72</v>
      </c>
      <c r="D10" s="3" t="s">
        <v>73</v>
      </c>
      <c r="E10" s="3" t="s">
        <v>49</v>
      </c>
      <c r="F10" s="3" t="s">
        <v>49</v>
      </c>
      <c r="G10" s="4" t="s">
        <v>105</v>
      </c>
      <c r="H10" s="13"/>
      <c r="I10" s="13"/>
      <c r="J10" s="13"/>
    </row>
    <row r="11" spans="1:56" x14ac:dyDescent="0.25">
      <c r="A11" s="5" t="s">
        <v>110</v>
      </c>
    </row>
    <row r="12" spans="1:56" x14ac:dyDescent="0.25">
      <c r="A12" s="5" t="s">
        <v>111</v>
      </c>
    </row>
  </sheetData>
  <mergeCells count="3">
    <mergeCell ref="A2:G2"/>
    <mergeCell ref="K2:AJ2"/>
    <mergeCell ref="AK2:BD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4"/>
  <sheetViews>
    <sheetView topLeftCell="A7" workbookViewId="0">
      <selection activeCell="M22" sqref="M22"/>
    </sheetView>
  </sheetViews>
  <sheetFormatPr defaultRowHeight="15" x14ac:dyDescent="0.25"/>
  <cols>
    <col min="2" max="2" width="49.85546875" customWidth="1"/>
  </cols>
  <sheetData>
    <row r="1" spans="1:20" x14ac:dyDescent="0.25">
      <c r="K1" t="s">
        <v>170</v>
      </c>
      <c r="L1" t="s">
        <v>170</v>
      </c>
      <c r="O1" t="s">
        <v>164</v>
      </c>
      <c r="P1" t="s">
        <v>164</v>
      </c>
      <c r="S1" t="s">
        <v>176</v>
      </c>
      <c r="T1" t="s">
        <v>176</v>
      </c>
    </row>
    <row r="2" spans="1:20" ht="45" x14ac:dyDescent="0.25">
      <c r="A2" s="23" t="s">
        <v>157</v>
      </c>
      <c r="B2" s="3" t="s">
        <v>158</v>
      </c>
      <c r="C2" s="3" t="s">
        <v>159</v>
      </c>
      <c r="D2" s="9" t="s">
        <v>118</v>
      </c>
      <c r="E2" s="3" t="s">
        <v>155</v>
      </c>
      <c r="F2" s="4" t="s">
        <v>156</v>
      </c>
      <c r="G2" s="30" t="s">
        <v>180</v>
      </c>
      <c r="H2" s="25" t="s">
        <v>160</v>
      </c>
      <c r="I2" s="25" t="s">
        <v>163</v>
      </c>
      <c r="K2" t="s">
        <v>168</v>
      </c>
      <c r="L2" t="s">
        <v>169</v>
      </c>
      <c r="M2" s="25" t="s">
        <v>164</v>
      </c>
      <c r="O2" t="s">
        <v>168</v>
      </c>
      <c r="P2" t="s">
        <v>169</v>
      </c>
      <c r="Q2" s="25" t="s">
        <v>176</v>
      </c>
      <c r="S2" t="s">
        <v>168</v>
      </c>
      <c r="T2" t="s">
        <v>169</v>
      </c>
    </row>
    <row r="3" spans="1:20" x14ac:dyDescent="0.25">
      <c r="A3" s="23"/>
      <c r="B3" s="3"/>
      <c r="C3" s="3"/>
      <c r="D3" s="9"/>
      <c r="E3" s="3"/>
      <c r="F3" s="4"/>
      <c r="G3" s="29"/>
      <c r="H3" s="25"/>
      <c r="I3" s="27" t="s">
        <v>166</v>
      </c>
      <c r="M3" s="27" t="s">
        <v>166</v>
      </c>
      <c r="Q3" s="27" t="s">
        <v>166</v>
      </c>
    </row>
    <row r="4" spans="1:20" x14ac:dyDescent="0.25">
      <c r="A4" s="2">
        <v>30</v>
      </c>
      <c r="B4" s="3" t="s">
        <v>69</v>
      </c>
      <c r="C4" s="3" t="s">
        <v>96</v>
      </c>
      <c r="D4" s="3">
        <v>75</v>
      </c>
      <c r="E4" s="3" t="s">
        <v>113</v>
      </c>
      <c r="F4" s="4">
        <v>1952</v>
      </c>
      <c r="G4" s="29">
        <v>500</v>
      </c>
      <c r="H4" s="25" t="s">
        <v>162</v>
      </c>
    </row>
    <row r="5" spans="1:20" x14ac:dyDescent="0.25">
      <c r="A5" s="2">
        <v>31</v>
      </c>
      <c r="B5" s="3" t="s">
        <v>69</v>
      </c>
      <c r="C5" s="3" t="s">
        <v>97</v>
      </c>
      <c r="D5" s="3">
        <v>75</v>
      </c>
      <c r="E5" s="3" t="s">
        <v>113</v>
      </c>
      <c r="F5" s="4">
        <v>1952</v>
      </c>
      <c r="G5" s="29">
        <v>500</v>
      </c>
      <c r="H5" s="25" t="s">
        <v>162</v>
      </c>
    </row>
    <row r="6" spans="1:20" x14ac:dyDescent="0.25">
      <c r="A6" s="2">
        <v>32</v>
      </c>
      <c r="B6" s="3" t="s">
        <v>69</v>
      </c>
      <c r="C6" s="3" t="s">
        <v>98</v>
      </c>
      <c r="D6" s="3">
        <v>75</v>
      </c>
      <c r="E6" s="3" t="s">
        <v>113</v>
      </c>
      <c r="F6" s="4">
        <v>1955</v>
      </c>
      <c r="G6" s="29">
        <v>500</v>
      </c>
      <c r="H6" s="25" t="s">
        <v>162</v>
      </c>
    </row>
    <row r="7" spans="1:20" x14ac:dyDescent="0.25">
      <c r="A7" s="2">
        <v>20</v>
      </c>
      <c r="B7" s="3" t="s">
        <v>68</v>
      </c>
      <c r="C7" s="3" t="s">
        <v>86</v>
      </c>
      <c r="D7" s="3">
        <v>35</v>
      </c>
      <c r="E7" s="3" t="s">
        <v>113</v>
      </c>
      <c r="F7" s="4">
        <v>1976</v>
      </c>
      <c r="G7" s="29">
        <v>500</v>
      </c>
      <c r="H7" s="25" t="s">
        <v>162</v>
      </c>
    </row>
    <row r="8" spans="1:20" x14ac:dyDescent="0.25">
      <c r="A8" s="2">
        <v>29</v>
      </c>
      <c r="B8" s="3" t="s">
        <v>69</v>
      </c>
      <c r="C8" s="3" t="s">
        <v>95</v>
      </c>
      <c r="D8" s="3">
        <v>75</v>
      </c>
      <c r="E8" s="3" t="s">
        <v>113</v>
      </c>
      <c r="F8" s="4">
        <v>1988</v>
      </c>
      <c r="G8" s="29">
        <v>500</v>
      </c>
      <c r="H8" s="25" t="s">
        <v>162</v>
      </c>
    </row>
    <row r="9" spans="1:20" x14ac:dyDescent="0.25">
      <c r="A9" s="2">
        <v>9</v>
      </c>
      <c r="B9" s="3" t="s">
        <v>68</v>
      </c>
      <c r="C9" s="3" t="s">
        <v>77</v>
      </c>
      <c r="D9" s="3">
        <v>353</v>
      </c>
      <c r="E9" s="3" t="s">
        <v>113</v>
      </c>
      <c r="F9" s="4">
        <v>1988</v>
      </c>
      <c r="G9" s="29">
        <v>500</v>
      </c>
      <c r="H9" s="25" t="s">
        <v>162</v>
      </c>
    </row>
    <row r="10" spans="1:20" x14ac:dyDescent="0.25">
      <c r="A10" s="2">
        <v>22</v>
      </c>
      <c r="B10" s="3" t="s">
        <v>68</v>
      </c>
      <c r="C10" s="3" t="s">
        <v>88</v>
      </c>
      <c r="D10" s="3">
        <v>35</v>
      </c>
      <c r="E10" s="3" t="s">
        <v>113</v>
      </c>
      <c r="F10" s="4">
        <v>1989</v>
      </c>
      <c r="G10" s="29">
        <v>500</v>
      </c>
      <c r="H10" s="25" t="s">
        <v>162</v>
      </c>
    </row>
    <row r="11" spans="1:20" x14ac:dyDescent="0.25">
      <c r="A11" s="2">
        <v>24</v>
      </c>
      <c r="B11" s="3" t="s">
        <v>68</v>
      </c>
      <c r="C11" s="3" t="s">
        <v>90</v>
      </c>
      <c r="D11" s="3">
        <v>50</v>
      </c>
      <c r="E11" s="3" t="s">
        <v>113</v>
      </c>
      <c r="F11" s="4">
        <v>1993</v>
      </c>
      <c r="G11" s="29">
        <v>500</v>
      </c>
      <c r="H11" s="25" t="s">
        <v>162</v>
      </c>
    </row>
    <row r="12" spans="1:20" x14ac:dyDescent="0.25">
      <c r="A12" s="2">
        <v>33</v>
      </c>
      <c r="B12" s="3" t="s">
        <v>69</v>
      </c>
      <c r="C12" s="3" t="s">
        <v>99</v>
      </c>
      <c r="D12" s="3">
        <v>75</v>
      </c>
      <c r="E12" s="3" t="s">
        <v>113</v>
      </c>
      <c r="F12" s="4">
        <v>1994</v>
      </c>
      <c r="G12" s="29">
        <v>500</v>
      </c>
      <c r="H12" s="25" t="s">
        <v>162</v>
      </c>
    </row>
    <row r="13" spans="1:20" x14ac:dyDescent="0.25">
      <c r="A13" s="2">
        <v>34</v>
      </c>
      <c r="B13" s="3" t="s">
        <v>69</v>
      </c>
      <c r="C13" s="3" t="s">
        <v>100</v>
      </c>
      <c r="D13" s="3">
        <v>220</v>
      </c>
      <c r="E13" s="3" t="s">
        <v>113</v>
      </c>
      <c r="F13" s="4">
        <v>1995</v>
      </c>
      <c r="G13" s="29">
        <v>500</v>
      </c>
      <c r="H13" s="25" t="s">
        <v>162</v>
      </c>
    </row>
    <row r="14" spans="1:20" x14ac:dyDescent="0.25">
      <c r="A14" s="2">
        <v>36</v>
      </c>
      <c r="B14" s="3" t="s">
        <v>69</v>
      </c>
      <c r="C14" s="3" t="s">
        <v>102</v>
      </c>
      <c r="D14" s="3">
        <v>220</v>
      </c>
      <c r="E14" s="3" t="s">
        <v>113</v>
      </c>
      <c r="F14" s="4">
        <v>1995</v>
      </c>
      <c r="G14" s="29">
        <v>500</v>
      </c>
      <c r="H14" s="25" t="s">
        <v>162</v>
      </c>
    </row>
    <row r="15" spans="1:20" x14ac:dyDescent="0.25">
      <c r="A15" s="2">
        <v>21</v>
      </c>
      <c r="B15" s="3" t="s">
        <v>68</v>
      </c>
      <c r="C15" s="3" t="s">
        <v>87</v>
      </c>
      <c r="D15" s="3">
        <v>95</v>
      </c>
      <c r="E15" s="3" t="s">
        <v>113</v>
      </c>
      <c r="F15" s="4">
        <v>2001</v>
      </c>
      <c r="G15" s="29">
        <v>500</v>
      </c>
      <c r="H15" s="25" t="s">
        <v>162</v>
      </c>
    </row>
    <row r="16" spans="1:20" x14ac:dyDescent="0.25">
      <c r="A16" s="2">
        <v>12</v>
      </c>
      <c r="B16" s="3" t="s">
        <v>68</v>
      </c>
      <c r="C16" s="3" t="s">
        <v>79</v>
      </c>
      <c r="D16" s="3">
        <v>82</v>
      </c>
      <c r="E16" s="3" t="s">
        <v>113</v>
      </c>
      <c r="F16" s="4">
        <v>2002</v>
      </c>
      <c r="G16" s="29">
        <v>500</v>
      </c>
      <c r="H16" s="25" t="s">
        <v>162</v>
      </c>
    </row>
    <row r="17" spans="1:14" x14ac:dyDescent="0.25">
      <c r="A17" s="2">
        <v>26</v>
      </c>
      <c r="B17" s="3" t="s">
        <v>68</v>
      </c>
      <c r="C17" s="3" t="s">
        <v>92</v>
      </c>
      <c r="D17" s="3">
        <v>68</v>
      </c>
      <c r="E17" s="3" t="s">
        <v>113</v>
      </c>
      <c r="F17" s="4">
        <v>2003</v>
      </c>
      <c r="G17" s="29">
        <v>500</v>
      </c>
      <c r="H17" s="25" t="s">
        <v>162</v>
      </c>
    </row>
    <row r="18" spans="1:14" x14ac:dyDescent="0.25">
      <c r="A18" s="2">
        <v>23</v>
      </c>
      <c r="B18" s="3" t="s">
        <v>68</v>
      </c>
      <c r="C18" s="3" t="s">
        <v>89</v>
      </c>
      <c r="D18" s="3">
        <v>155</v>
      </c>
      <c r="E18" s="3" t="s">
        <v>113</v>
      </c>
      <c r="F18" s="4">
        <v>2003</v>
      </c>
      <c r="G18" s="29">
        <v>500</v>
      </c>
      <c r="H18" s="25" t="s">
        <v>162</v>
      </c>
    </row>
    <row r="19" spans="1:14" x14ac:dyDescent="0.25">
      <c r="A19" s="2">
        <v>16</v>
      </c>
      <c r="B19" s="3" t="s">
        <v>68</v>
      </c>
      <c r="C19" s="3" t="s">
        <v>82</v>
      </c>
      <c r="D19" s="3">
        <v>212</v>
      </c>
      <c r="E19" s="3" t="s">
        <v>113</v>
      </c>
      <c r="F19" s="4">
        <v>2005</v>
      </c>
      <c r="G19" s="29">
        <v>500</v>
      </c>
      <c r="H19" s="25" t="s">
        <v>162</v>
      </c>
    </row>
    <row r="20" spans="1:14" x14ac:dyDescent="0.25">
      <c r="A20" s="2">
        <v>18</v>
      </c>
      <c r="B20" s="3" t="s">
        <v>68</v>
      </c>
      <c r="C20" s="3" t="s">
        <v>84</v>
      </c>
      <c r="D20" s="3">
        <v>212</v>
      </c>
      <c r="E20" s="3" t="s">
        <v>113</v>
      </c>
      <c r="F20" s="4">
        <v>2005</v>
      </c>
      <c r="G20" s="29">
        <v>500</v>
      </c>
      <c r="H20" s="25" t="s">
        <v>162</v>
      </c>
    </row>
    <row r="21" spans="1:14" x14ac:dyDescent="0.25">
      <c r="A21" s="2">
        <v>15</v>
      </c>
      <c r="B21" s="3" t="s">
        <v>68</v>
      </c>
      <c r="C21" s="3" t="s">
        <v>82</v>
      </c>
      <c r="D21" s="3">
        <v>1059</v>
      </c>
      <c r="E21" s="3" t="s">
        <v>113</v>
      </c>
      <c r="F21" s="4">
        <v>2005</v>
      </c>
      <c r="G21" s="29">
        <v>500</v>
      </c>
      <c r="H21" s="25" t="s">
        <v>162</v>
      </c>
    </row>
    <row r="22" spans="1:14" x14ac:dyDescent="0.25">
      <c r="A22" s="2">
        <v>19</v>
      </c>
      <c r="B22" s="3" t="s">
        <v>68</v>
      </c>
      <c r="C22" s="3" t="s">
        <v>85</v>
      </c>
      <c r="D22" s="3">
        <v>71</v>
      </c>
      <c r="E22" s="3" t="s">
        <v>113</v>
      </c>
      <c r="F22" s="4">
        <v>2007</v>
      </c>
      <c r="G22" s="29">
        <v>500</v>
      </c>
      <c r="H22" s="25" t="s">
        <v>161</v>
      </c>
      <c r="I22">
        <v>7.5</v>
      </c>
      <c r="J22" t="s">
        <v>167</v>
      </c>
      <c r="M22">
        <v>0.4</v>
      </c>
      <c r="N22" t="s">
        <v>167</v>
      </c>
    </row>
    <row r="23" spans="1:14" x14ac:dyDescent="0.25">
      <c r="A23" s="2">
        <v>17</v>
      </c>
      <c r="B23" s="3" t="s">
        <v>68</v>
      </c>
      <c r="C23" s="3" t="s">
        <v>83</v>
      </c>
      <c r="D23" s="3">
        <v>176</v>
      </c>
      <c r="E23" s="3" t="s">
        <v>113</v>
      </c>
      <c r="F23" s="4">
        <v>2007</v>
      </c>
      <c r="G23" s="29">
        <v>500</v>
      </c>
      <c r="H23" s="25" t="s">
        <v>161</v>
      </c>
      <c r="I23">
        <v>4</v>
      </c>
      <c r="J23" t="s">
        <v>167</v>
      </c>
      <c r="M23">
        <v>0.2</v>
      </c>
      <c r="N23" t="s">
        <v>167</v>
      </c>
    </row>
    <row r="24" spans="1:14" x14ac:dyDescent="0.25">
      <c r="A24" s="2">
        <v>14</v>
      </c>
      <c r="B24" s="3" t="s">
        <v>68</v>
      </c>
      <c r="C24" s="3" t="s">
        <v>81</v>
      </c>
      <c r="D24" s="3">
        <v>320</v>
      </c>
      <c r="E24" s="3" t="s">
        <v>113</v>
      </c>
      <c r="F24" s="4">
        <v>2008</v>
      </c>
      <c r="G24" s="29">
        <v>500</v>
      </c>
      <c r="H24" s="25" t="s">
        <v>161</v>
      </c>
      <c r="I24">
        <v>4</v>
      </c>
      <c r="J24" t="s">
        <v>167</v>
      </c>
      <c r="M24">
        <v>0.2</v>
      </c>
      <c r="N24" t="s">
        <v>167</v>
      </c>
    </row>
    <row r="25" spans="1:14" x14ac:dyDescent="0.25">
      <c r="A25" s="2">
        <v>13</v>
      </c>
      <c r="B25" s="3" t="s">
        <v>68</v>
      </c>
      <c r="C25" s="3" t="s">
        <v>80</v>
      </c>
      <c r="D25" s="3">
        <v>587</v>
      </c>
      <c r="E25" s="3" t="s">
        <v>113</v>
      </c>
      <c r="F25" s="4">
        <v>2008</v>
      </c>
      <c r="G25" s="29">
        <v>500</v>
      </c>
      <c r="H25" s="25" t="s">
        <v>161</v>
      </c>
      <c r="I25">
        <v>4</v>
      </c>
      <c r="J25" t="s">
        <v>167</v>
      </c>
      <c r="M25">
        <v>0.2</v>
      </c>
      <c r="N25" t="s">
        <v>167</v>
      </c>
    </row>
    <row r="26" spans="1:14" x14ac:dyDescent="0.25">
      <c r="A26" s="2">
        <v>35</v>
      </c>
      <c r="B26" s="3" t="s">
        <v>69</v>
      </c>
      <c r="C26" s="3" t="s">
        <v>101</v>
      </c>
      <c r="D26" s="3">
        <v>55</v>
      </c>
      <c r="E26" s="3" t="s">
        <v>113</v>
      </c>
      <c r="F26" s="4">
        <v>2009</v>
      </c>
      <c r="G26" s="29">
        <v>500</v>
      </c>
      <c r="H26" s="26" t="s">
        <v>161</v>
      </c>
      <c r="I26" s="26">
        <v>7.8</v>
      </c>
      <c r="J26" s="28" t="s">
        <v>165</v>
      </c>
      <c r="M26" s="26">
        <v>0.6</v>
      </c>
      <c r="N26" s="28" t="s">
        <v>165</v>
      </c>
    </row>
    <row r="27" spans="1:14" x14ac:dyDescent="0.25">
      <c r="A27" s="2">
        <v>8</v>
      </c>
      <c r="B27" s="3" t="s">
        <v>67</v>
      </c>
      <c r="C27" s="3" t="s">
        <v>73</v>
      </c>
      <c r="D27" s="9">
        <v>2937</v>
      </c>
      <c r="E27" s="3" t="s">
        <v>113</v>
      </c>
      <c r="F27" s="4">
        <v>2009</v>
      </c>
      <c r="G27" s="29">
        <v>500</v>
      </c>
      <c r="H27" s="26" t="s">
        <v>161</v>
      </c>
      <c r="I27">
        <v>6.4</v>
      </c>
      <c r="J27" t="s">
        <v>167</v>
      </c>
      <c r="M27">
        <v>0.2</v>
      </c>
      <c r="N27" t="s">
        <v>167</v>
      </c>
    </row>
    <row r="28" spans="1:14" x14ac:dyDescent="0.25">
      <c r="A28" s="2">
        <v>27</v>
      </c>
      <c r="B28" s="3" t="s">
        <v>68</v>
      </c>
      <c r="C28" s="3" t="s">
        <v>93</v>
      </c>
      <c r="D28" s="3">
        <v>274</v>
      </c>
      <c r="E28" s="3" t="s">
        <v>113</v>
      </c>
      <c r="F28" s="4">
        <v>2010</v>
      </c>
      <c r="G28" s="29">
        <v>500</v>
      </c>
      <c r="H28" s="25" t="s">
        <v>161</v>
      </c>
      <c r="I28">
        <v>4</v>
      </c>
      <c r="J28" t="s">
        <v>167</v>
      </c>
      <c r="M28">
        <v>0.2</v>
      </c>
      <c r="N28" t="s">
        <v>167</v>
      </c>
    </row>
    <row r="29" spans="1:14" x14ac:dyDescent="0.25">
      <c r="A29" s="2">
        <v>28</v>
      </c>
      <c r="B29" s="3" t="s">
        <v>68</v>
      </c>
      <c r="C29" s="3" t="s">
        <v>94</v>
      </c>
      <c r="D29" s="3">
        <v>274</v>
      </c>
      <c r="E29" s="3" t="s">
        <v>113</v>
      </c>
      <c r="F29" s="4">
        <v>2010</v>
      </c>
      <c r="G29" s="29">
        <v>500</v>
      </c>
      <c r="H29" s="26" t="s">
        <v>161</v>
      </c>
      <c r="I29">
        <v>4</v>
      </c>
      <c r="J29" t="s">
        <v>167</v>
      </c>
      <c r="M29">
        <v>0.2</v>
      </c>
      <c r="N29" t="s">
        <v>167</v>
      </c>
    </row>
    <row r="30" spans="1:14" x14ac:dyDescent="0.25">
      <c r="A30" s="2">
        <v>10</v>
      </c>
      <c r="B30" s="3" t="s">
        <v>68</v>
      </c>
      <c r="C30" s="3" t="s">
        <v>78</v>
      </c>
      <c r="D30" s="3">
        <v>762</v>
      </c>
      <c r="E30" s="3" t="s">
        <v>113</v>
      </c>
      <c r="F30" s="4">
        <v>2010</v>
      </c>
      <c r="G30" s="29">
        <v>500</v>
      </c>
      <c r="H30" s="25" t="s">
        <v>161</v>
      </c>
      <c r="I30">
        <v>6.4</v>
      </c>
      <c r="J30" t="s">
        <v>167</v>
      </c>
      <c r="M30">
        <v>0.2</v>
      </c>
      <c r="N30" t="s">
        <v>167</v>
      </c>
    </row>
    <row r="31" spans="1:14" x14ac:dyDescent="0.25">
      <c r="A31" s="2">
        <v>11</v>
      </c>
      <c r="B31" s="3" t="s">
        <v>68</v>
      </c>
      <c r="C31" s="3" t="s">
        <v>78</v>
      </c>
      <c r="D31" s="3">
        <v>762</v>
      </c>
      <c r="E31" s="3" t="s">
        <v>113</v>
      </c>
      <c r="F31" s="4">
        <v>2010</v>
      </c>
      <c r="G31" s="29">
        <v>500</v>
      </c>
      <c r="H31" s="25" t="s">
        <v>161</v>
      </c>
      <c r="I31">
        <v>6.4</v>
      </c>
      <c r="J31" t="s">
        <v>167</v>
      </c>
      <c r="M31">
        <v>0.2</v>
      </c>
      <c r="N31" t="s">
        <v>167</v>
      </c>
    </row>
    <row r="32" spans="1:14" x14ac:dyDescent="0.25">
      <c r="A32" s="2">
        <v>25</v>
      </c>
      <c r="B32" s="3" t="s">
        <v>68</v>
      </c>
      <c r="C32" s="3" t="s">
        <v>91</v>
      </c>
      <c r="D32" s="3">
        <v>18</v>
      </c>
      <c r="E32" s="3" t="s">
        <v>113</v>
      </c>
      <c r="F32" s="4">
        <v>2011</v>
      </c>
      <c r="G32" s="29">
        <v>500</v>
      </c>
      <c r="H32" s="25" t="s">
        <v>161</v>
      </c>
      <c r="I32">
        <v>7.5</v>
      </c>
      <c r="J32" t="s">
        <v>167</v>
      </c>
      <c r="M32">
        <v>0.8</v>
      </c>
      <c r="N32" t="s">
        <v>167</v>
      </c>
    </row>
    <row r="34" spans="1:1" x14ac:dyDescent="0.25">
      <c r="A34" t="s">
        <v>179</v>
      </c>
    </row>
  </sheetData>
  <sortState ref="A3:F32">
    <sortCondition ref="F4:F32"/>
    <sortCondition ref="D4:D32"/>
  </sortState>
  <printOptions gridLines="1"/>
  <pageMargins left="0.7" right="0.7" top="0.75" bottom="0.75" header="0.3" footer="0.3"/>
  <pageSetup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6"/>
  <sheetViews>
    <sheetView workbookViewId="0">
      <selection activeCell="D17" sqref="D17"/>
    </sheetView>
  </sheetViews>
  <sheetFormatPr defaultRowHeight="15" x14ac:dyDescent="0.25"/>
  <cols>
    <col min="1" max="1" width="12.5703125" customWidth="1"/>
    <col min="3" max="3" width="29.7109375" customWidth="1"/>
    <col min="4" max="4" width="20.42578125" customWidth="1"/>
    <col min="5" max="5" width="8.85546875" customWidth="1"/>
    <col min="6" max="6" width="17.42578125" customWidth="1"/>
    <col min="7" max="10" width="28.5703125" customWidth="1"/>
    <col min="11" max="11" width="10.7109375" customWidth="1"/>
    <col min="12" max="12" width="14.85546875" customWidth="1"/>
    <col min="31" max="31" width="10.7109375" customWidth="1"/>
    <col min="32" max="32" width="14.85546875" customWidth="1"/>
  </cols>
  <sheetData>
    <row r="2" spans="1:50" ht="19.149999999999999" customHeight="1" x14ac:dyDescent="0.25">
      <c r="A2" s="1013" t="s">
        <v>30</v>
      </c>
      <c r="B2" s="1013"/>
      <c r="C2" s="1013"/>
      <c r="D2" s="1013"/>
      <c r="E2" s="1013"/>
      <c r="F2" s="1013"/>
      <c r="G2" s="1014"/>
      <c r="H2" s="24"/>
      <c r="I2" s="24"/>
      <c r="J2" s="24"/>
      <c r="K2" s="1015" t="s">
        <v>134</v>
      </c>
      <c r="L2" s="1015"/>
      <c r="M2" s="1015"/>
      <c r="N2" s="1015"/>
      <c r="O2" s="1015"/>
      <c r="P2" s="1015"/>
      <c r="Q2" s="1015"/>
      <c r="R2" s="1015"/>
      <c r="S2" s="1015"/>
      <c r="T2" s="1015"/>
      <c r="U2" s="1015"/>
      <c r="V2" s="1015"/>
      <c r="W2" s="1015"/>
      <c r="X2" s="1015"/>
      <c r="Y2" s="1015"/>
      <c r="Z2" s="1015"/>
      <c r="AA2" s="1015"/>
      <c r="AB2" s="1015"/>
      <c r="AC2" s="1015"/>
      <c r="AD2" s="1015"/>
      <c r="AE2" s="1016" t="s">
        <v>144</v>
      </c>
      <c r="AF2" s="1016"/>
      <c r="AG2" s="1016"/>
      <c r="AH2" s="1016"/>
      <c r="AI2" s="1016"/>
      <c r="AJ2" s="1016"/>
      <c r="AK2" s="1016"/>
      <c r="AL2" s="1016"/>
      <c r="AM2" s="1016"/>
      <c r="AN2" s="1016"/>
      <c r="AO2" s="1016"/>
      <c r="AP2" s="1016"/>
      <c r="AQ2" s="1016"/>
      <c r="AR2" s="1016"/>
      <c r="AS2" s="1016"/>
      <c r="AT2" s="1016"/>
      <c r="AU2" s="1016"/>
      <c r="AV2" s="1016"/>
      <c r="AW2" s="1016"/>
      <c r="AX2" s="1016"/>
    </row>
    <row r="3" spans="1:50" s="21" customFormat="1" ht="90" x14ac:dyDescent="0.25">
      <c r="A3" s="14" t="s">
        <v>107</v>
      </c>
      <c r="B3" s="14" t="s">
        <v>16</v>
      </c>
      <c r="C3" s="14" t="s">
        <v>15</v>
      </c>
      <c r="D3" s="15" t="s">
        <v>25</v>
      </c>
      <c r="E3" s="16" t="s">
        <v>118</v>
      </c>
      <c r="F3" s="17" t="s">
        <v>119</v>
      </c>
      <c r="G3" s="18" t="s">
        <v>26</v>
      </c>
      <c r="H3" s="22" t="s">
        <v>133</v>
      </c>
      <c r="I3" s="19" t="s">
        <v>120</v>
      </c>
      <c r="J3" s="19" t="s">
        <v>135</v>
      </c>
      <c r="K3" s="20" t="s">
        <v>140</v>
      </c>
      <c r="L3" s="20" t="s">
        <v>141</v>
      </c>
      <c r="M3" s="20" t="s">
        <v>121</v>
      </c>
      <c r="N3" s="20" t="s">
        <v>130</v>
      </c>
      <c r="O3" s="20" t="s">
        <v>122</v>
      </c>
      <c r="P3" s="20" t="s">
        <v>123</v>
      </c>
      <c r="Q3" s="20" t="s">
        <v>136</v>
      </c>
      <c r="R3" s="20" t="s">
        <v>142</v>
      </c>
      <c r="S3" s="20" t="s">
        <v>143</v>
      </c>
      <c r="T3" s="20" t="s">
        <v>124</v>
      </c>
      <c r="U3" s="20" t="s">
        <v>131</v>
      </c>
      <c r="V3" s="20" t="s">
        <v>125</v>
      </c>
      <c r="W3" s="20" t="s">
        <v>126</v>
      </c>
      <c r="X3" s="20" t="s">
        <v>137</v>
      </c>
      <c r="Y3" s="20" t="s">
        <v>138</v>
      </c>
      <c r="Z3" s="20" t="s">
        <v>139</v>
      </c>
      <c r="AA3" s="20" t="s">
        <v>127</v>
      </c>
      <c r="AB3" s="20" t="s">
        <v>132</v>
      </c>
      <c r="AC3" s="20" t="s">
        <v>128</v>
      </c>
      <c r="AD3" s="20" t="s">
        <v>129</v>
      </c>
      <c r="AE3" s="20" t="s">
        <v>140</v>
      </c>
      <c r="AF3" s="20" t="s">
        <v>141</v>
      </c>
      <c r="AG3" s="20" t="s">
        <v>121</v>
      </c>
      <c r="AH3" s="20" t="s">
        <v>130</v>
      </c>
      <c r="AI3" s="20" t="s">
        <v>122</v>
      </c>
      <c r="AJ3" s="20" t="s">
        <v>123</v>
      </c>
      <c r="AK3" s="20" t="s">
        <v>136</v>
      </c>
      <c r="AL3" s="20" t="s">
        <v>142</v>
      </c>
      <c r="AM3" s="20" t="s">
        <v>143</v>
      </c>
      <c r="AN3" s="20" t="s">
        <v>124</v>
      </c>
      <c r="AO3" s="20" t="s">
        <v>131</v>
      </c>
      <c r="AP3" s="20" t="s">
        <v>125</v>
      </c>
      <c r="AQ3" s="20" t="s">
        <v>126</v>
      </c>
      <c r="AR3" s="20" t="s">
        <v>137</v>
      </c>
      <c r="AS3" s="20" t="s">
        <v>138</v>
      </c>
      <c r="AT3" s="20" t="s">
        <v>139</v>
      </c>
      <c r="AU3" s="20" t="s">
        <v>127</v>
      </c>
      <c r="AV3" s="20" t="s">
        <v>132</v>
      </c>
      <c r="AW3" s="20" t="s">
        <v>128</v>
      </c>
      <c r="AX3" s="20" t="s">
        <v>129</v>
      </c>
    </row>
    <row r="4" spans="1:50" x14ac:dyDescent="0.25">
      <c r="A4" s="3" t="s">
        <v>106</v>
      </c>
      <c r="B4" s="2">
        <v>22</v>
      </c>
      <c r="C4" s="3" t="s">
        <v>38</v>
      </c>
      <c r="D4" s="3" t="s">
        <v>46</v>
      </c>
      <c r="E4" s="3" t="s">
        <v>49</v>
      </c>
      <c r="F4" s="3" t="s">
        <v>31</v>
      </c>
      <c r="G4" s="4">
        <v>1993</v>
      </c>
      <c r="H4" s="13"/>
      <c r="I4" s="13"/>
      <c r="J4" s="13"/>
      <c r="K4" s="13"/>
      <c r="L4" s="13"/>
      <c r="AE4" s="13"/>
      <c r="AF4" s="13"/>
    </row>
    <row r="5" spans="1:50" x14ac:dyDescent="0.25">
      <c r="A5" s="3" t="s">
        <v>106</v>
      </c>
      <c r="B5" s="2">
        <v>23</v>
      </c>
      <c r="C5" s="3" t="s">
        <v>39</v>
      </c>
      <c r="D5" s="3" t="s">
        <v>47</v>
      </c>
      <c r="E5" s="3">
        <v>1.97</v>
      </c>
      <c r="F5" s="3" t="s">
        <v>114</v>
      </c>
      <c r="G5" s="4">
        <v>1962</v>
      </c>
      <c r="H5" s="13"/>
      <c r="I5" s="13"/>
      <c r="J5" s="13"/>
      <c r="K5" s="13"/>
      <c r="L5" s="13"/>
      <c r="AE5" s="13"/>
      <c r="AF5" s="13"/>
    </row>
    <row r="6" spans="1:50" x14ac:dyDescent="0.25">
      <c r="A6" s="3" t="s">
        <v>106</v>
      </c>
      <c r="B6" s="2">
        <v>24</v>
      </c>
      <c r="C6" s="3" t="s">
        <v>40</v>
      </c>
      <c r="D6" s="3" t="s">
        <v>48</v>
      </c>
      <c r="E6" s="3" t="s">
        <v>49</v>
      </c>
      <c r="F6" s="3" t="s">
        <v>49</v>
      </c>
      <c r="G6" s="3" t="s">
        <v>50</v>
      </c>
      <c r="H6" s="12"/>
      <c r="I6" s="12"/>
      <c r="J6" s="12"/>
      <c r="K6" s="12"/>
      <c r="L6" s="12"/>
      <c r="AE6" s="12"/>
      <c r="AF6" s="12"/>
    </row>
  </sheetData>
  <mergeCells count="3">
    <mergeCell ref="A2:G2"/>
    <mergeCell ref="K2:AD2"/>
    <mergeCell ref="AE2:AX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7"/>
  <sheetViews>
    <sheetView workbookViewId="0">
      <selection activeCell="C16" sqref="C16"/>
    </sheetView>
  </sheetViews>
  <sheetFormatPr defaultRowHeight="15" x14ac:dyDescent="0.25"/>
  <cols>
    <col min="1" max="1" width="12.5703125" customWidth="1"/>
    <col min="3" max="3" width="29.7109375" customWidth="1"/>
    <col min="4" max="4" width="20.42578125" customWidth="1"/>
    <col min="5" max="5" width="8.85546875" customWidth="1"/>
    <col min="6" max="6" width="17.42578125" customWidth="1"/>
    <col min="7" max="10" width="28.5703125" customWidth="1"/>
    <col min="11" max="11" width="10.7109375" customWidth="1"/>
    <col min="12" max="12" width="14.85546875" customWidth="1"/>
    <col min="31" max="31" width="10.7109375" customWidth="1"/>
    <col min="32" max="32" width="14.85546875" customWidth="1"/>
  </cols>
  <sheetData>
    <row r="2" spans="1:50" ht="19.149999999999999" customHeight="1" x14ac:dyDescent="0.25">
      <c r="A2" s="1013" t="s">
        <v>30</v>
      </c>
      <c r="B2" s="1013"/>
      <c r="C2" s="1013"/>
      <c r="D2" s="1013"/>
      <c r="E2" s="1013"/>
      <c r="F2" s="1013"/>
      <c r="G2" s="1014"/>
      <c r="H2" s="24"/>
      <c r="I2" s="24"/>
      <c r="J2" s="24"/>
      <c r="K2" s="1015" t="s">
        <v>134</v>
      </c>
      <c r="L2" s="1015"/>
      <c r="M2" s="1015"/>
      <c r="N2" s="1015"/>
      <c r="O2" s="1015"/>
      <c r="P2" s="1015"/>
      <c r="Q2" s="1015"/>
      <c r="R2" s="1015"/>
      <c r="S2" s="1015"/>
      <c r="T2" s="1015"/>
      <c r="U2" s="1015"/>
      <c r="V2" s="1015"/>
      <c r="W2" s="1015"/>
      <c r="X2" s="1015"/>
      <c r="Y2" s="1015"/>
      <c r="Z2" s="1015"/>
      <c r="AA2" s="1015"/>
      <c r="AB2" s="1015"/>
      <c r="AC2" s="1015"/>
      <c r="AD2" s="1015"/>
      <c r="AE2" s="1016" t="s">
        <v>144</v>
      </c>
      <c r="AF2" s="1016"/>
      <c r="AG2" s="1016"/>
      <c r="AH2" s="1016"/>
      <c r="AI2" s="1016"/>
      <c r="AJ2" s="1016"/>
      <c r="AK2" s="1016"/>
      <c r="AL2" s="1016"/>
      <c r="AM2" s="1016"/>
      <c r="AN2" s="1016"/>
      <c r="AO2" s="1016"/>
      <c r="AP2" s="1016"/>
      <c r="AQ2" s="1016"/>
      <c r="AR2" s="1016"/>
      <c r="AS2" s="1016"/>
      <c r="AT2" s="1016"/>
      <c r="AU2" s="1016"/>
      <c r="AV2" s="1016"/>
      <c r="AW2" s="1016"/>
      <c r="AX2" s="1016"/>
    </row>
    <row r="3" spans="1:50" s="21" customFormat="1" ht="90" x14ac:dyDescent="0.25">
      <c r="A3" s="14" t="s">
        <v>107</v>
      </c>
      <c r="B3" s="14" t="s">
        <v>16</v>
      </c>
      <c r="C3" s="14" t="s">
        <v>15</v>
      </c>
      <c r="D3" s="15" t="s">
        <v>25</v>
      </c>
      <c r="E3" s="16" t="s">
        <v>118</v>
      </c>
      <c r="F3" s="17" t="s">
        <v>119</v>
      </c>
      <c r="G3" s="18" t="s">
        <v>26</v>
      </c>
      <c r="H3" s="22" t="s">
        <v>133</v>
      </c>
      <c r="I3" s="19" t="s">
        <v>120</v>
      </c>
      <c r="J3" s="19" t="s">
        <v>135</v>
      </c>
      <c r="K3" s="20" t="s">
        <v>140</v>
      </c>
      <c r="L3" s="20" t="s">
        <v>141</v>
      </c>
      <c r="M3" s="20" t="s">
        <v>121</v>
      </c>
      <c r="N3" s="20" t="s">
        <v>130</v>
      </c>
      <c r="O3" s="20" t="s">
        <v>122</v>
      </c>
      <c r="P3" s="20" t="s">
        <v>123</v>
      </c>
      <c r="Q3" s="20" t="s">
        <v>136</v>
      </c>
      <c r="R3" s="20" t="s">
        <v>142</v>
      </c>
      <c r="S3" s="20" t="s">
        <v>143</v>
      </c>
      <c r="T3" s="20" t="s">
        <v>124</v>
      </c>
      <c r="U3" s="20" t="s">
        <v>131</v>
      </c>
      <c r="V3" s="20" t="s">
        <v>125</v>
      </c>
      <c r="W3" s="20" t="s">
        <v>126</v>
      </c>
      <c r="X3" s="20" t="s">
        <v>137</v>
      </c>
      <c r="Y3" s="20" t="s">
        <v>138</v>
      </c>
      <c r="Z3" s="20" t="s">
        <v>139</v>
      </c>
      <c r="AA3" s="20" t="s">
        <v>127</v>
      </c>
      <c r="AB3" s="20" t="s">
        <v>132</v>
      </c>
      <c r="AC3" s="20" t="s">
        <v>128</v>
      </c>
      <c r="AD3" s="20" t="s">
        <v>129</v>
      </c>
      <c r="AE3" s="20" t="s">
        <v>140</v>
      </c>
      <c r="AF3" s="20" t="s">
        <v>141</v>
      </c>
      <c r="AG3" s="20" t="s">
        <v>121</v>
      </c>
      <c r="AH3" s="20" t="s">
        <v>130</v>
      </c>
      <c r="AI3" s="20" t="s">
        <v>122</v>
      </c>
      <c r="AJ3" s="20" t="s">
        <v>123</v>
      </c>
      <c r="AK3" s="20" t="s">
        <v>136</v>
      </c>
      <c r="AL3" s="20" t="s">
        <v>142</v>
      </c>
      <c r="AM3" s="20" t="s">
        <v>143</v>
      </c>
      <c r="AN3" s="20" t="s">
        <v>124</v>
      </c>
      <c r="AO3" s="20" t="s">
        <v>131</v>
      </c>
      <c r="AP3" s="20" t="s">
        <v>125</v>
      </c>
      <c r="AQ3" s="20" t="s">
        <v>126</v>
      </c>
      <c r="AR3" s="20" t="s">
        <v>137</v>
      </c>
      <c r="AS3" s="20" t="s">
        <v>138</v>
      </c>
      <c r="AT3" s="20" t="s">
        <v>139</v>
      </c>
      <c r="AU3" s="20" t="s">
        <v>127</v>
      </c>
      <c r="AV3" s="20" t="s">
        <v>132</v>
      </c>
      <c r="AW3" s="20" t="s">
        <v>128</v>
      </c>
      <c r="AX3" s="20" t="s">
        <v>129</v>
      </c>
    </row>
    <row r="4" spans="1:50" x14ac:dyDescent="0.25">
      <c r="A4" s="3" t="s">
        <v>106</v>
      </c>
      <c r="B4" s="2">
        <v>8</v>
      </c>
      <c r="C4" s="3" t="s">
        <v>0</v>
      </c>
      <c r="D4" s="3" t="s">
        <v>17</v>
      </c>
      <c r="E4" s="8">
        <v>19</v>
      </c>
      <c r="F4" s="8" t="s">
        <v>112</v>
      </c>
      <c r="G4" s="3" t="s">
        <v>27</v>
      </c>
      <c r="H4" s="12"/>
      <c r="I4" s="12"/>
      <c r="J4" s="12"/>
      <c r="K4" s="12"/>
      <c r="L4" s="12"/>
      <c r="AE4" s="12"/>
      <c r="AF4" s="12"/>
    </row>
    <row r="5" spans="1:50" x14ac:dyDescent="0.25">
      <c r="A5" s="3" t="s">
        <v>106</v>
      </c>
      <c r="B5" s="2">
        <v>9</v>
      </c>
      <c r="C5" s="3" t="s">
        <v>1</v>
      </c>
      <c r="D5" s="3" t="s">
        <v>17</v>
      </c>
      <c r="E5" s="3">
        <v>19</v>
      </c>
      <c r="F5" s="3" t="s">
        <v>112</v>
      </c>
      <c r="G5" s="3" t="s">
        <v>28</v>
      </c>
      <c r="H5" s="12"/>
      <c r="I5" s="12"/>
      <c r="J5" s="12"/>
      <c r="K5" s="12"/>
      <c r="L5" s="12"/>
      <c r="AE5" s="12"/>
      <c r="AF5" s="12"/>
    </row>
    <row r="6" spans="1:50" x14ac:dyDescent="0.25">
      <c r="A6" s="3" t="s">
        <v>106</v>
      </c>
      <c r="B6" s="2">
        <v>10</v>
      </c>
      <c r="C6" s="3" t="s">
        <v>2</v>
      </c>
      <c r="D6" s="3" t="s">
        <v>17</v>
      </c>
      <c r="E6" s="3">
        <v>19</v>
      </c>
      <c r="F6" s="3" t="s">
        <v>112</v>
      </c>
      <c r="G6" s="3" t="s">
        <v>29</v>
      </c>
      <c r="H6" s="12"/>
      <c r="I6" s="12"/>
      <c r="J6" s="12"/>
      <c r="K6" s="12"/>
      <c r="L6" s="12"/>
      <c r="AE6" s="12"/>
      <c r="AF6" s="12"/>
    </row>
    <row r="7" spans="1:50" x14ac:dyDescent="0.25">
      <c r="A7" s="3" t="s">
        <v>106</v>
      </c>
      <c r="B7" s="2">
        <v>40</v>
      </c>
      <c r="C7" s="3" t="s">
        <v>3</v>
      </c>
      <c r="D7" s="3" t="s">
        <v>18</v>
      </c>
      <c r="E7" s="3">
        <v>2.6</v>
      </c>
      <c r="F7" s="3" t="s">
        <v>112</v>
      </c>
      <c r="G7" s="4">
        <v>1985</v>
      </c>
      <c r="H7" s="13"/>
      <c r="I7" s="13"/>
      <c r="J7" s="13"/>
      <c r="K7" s="13"/>
      <c r="L7" s="13"/>
      <c r="AE7" s="13"/>
      <c r="AF7" s="13"/>
    </row>
  </sheetData>
  <mergeCells count="3">
    <mergeCell ref="A2:G2"/>
    <mergeCell ref="K2:AD2"/>
    <mergeCell ref="AE2:AX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A1:R97"/>
  <sheetViews>
    <sheetView view="pageLayout" topLeftCell="A41" zoomScaleNormal="100" workbookViewId="0">
      <selection activeCell="B68" sqref="B68"/>
    </sheetView>
  </sheetViews>
  <sheetFormatPr defaultRowHeight="14.25" x14ac:dyDescent="0.2"/>
  <cols>
    <col min="1" max="1" width="3.7109375" style="125" customWidth="1"/>
    <col min="2" max="2" width="16.7109375" style="125" customWidth="1"/>
    <col min="3" max="3" width="16.7109375" style="126" customWidth="1"/>
    <col min="4" max="4" width="16.7109375" style="125" customWidth="1"/>
    <col min="5" max="6" width="12.7109375" style="125" customWidth="1"/>
    <col min="7" max="8" width="12.7109375" style="125" hidden="1" customWidth="1"/>
    <col min="9" max="9" width="12.7109375" style="125" customWidth="1"/>
    <col min="10" max="12" width="12.7109375" style="125" hidden="1" customWidth="1"/>
    <col min="13" max="250" width="9.140625" style="125"/>
    <col min="251" max="251" width="3.7109375" style="125" customWidth="1"/>
    <col min="252" max="252" width="10" style="125" customWidth="1"/>
    <col min="253" max="253" width="10.42578125" style="125" customWidth="1"/>
    <col min="254" max="254" width="19.42578125" style="125" customWidth="1"/>
    <col min="255" max="255" width="11.85546875" style="125" customWidth="1"/>
    <col min="256" max="256" width="13.28515625" style="125" customWidth="1"/>
    <col min="257" max="261" width="15.7109375" style="125" customWidth="1"/>
    <col min="262" max="262" width="9.140625" style="125"/>
    <col min="263" max="263" width="13.42578125" style="125" customWidth="1"/>
    <col min="264" max="506" width="9.140625" style="125"/>
    <col min="507" max="507" width="3.7109375" style="125" customWidth="1"/>
    <col min="508" max="508" width="10" style="125" customWidth="1"/>
    <col min="509" max="509" width="10.42578125" style="125" customWidth="1"/>
    <col min="510" max="510" width="19.42578125" style="125" customWidth="1"/>
    <col min="511" max="511" width="11.85546875" style="125" customWidth="1"/>
    <col min="512" max="512" width="13.28515625" style="125" customWidth="1"/>
    <col min="513" max="517" width="15.7109375" style="125" customWidth="1"/>
    <col min="518" max="518" width="9.140625" style="125"/>
    <col min="519" max="519" width="13.42578125" style="125" customWidth="1"/>
    <col min="520" max="762" width="9.140625" style="125"/>
    <col min="763" max="763" width="3.7109375" style="125" customWidth="1"/>
    <col min="764" max="764" width="10" style="125" customWidth="1"/>
    <col min="765" max="765" width="10.42578125" style="125" customWidth="1"/>
    <col min="766" max="766" width="19.42578125" style="125" customWidth="1"/>
    <col min="767" max="767" width="11.85546875" style="125" customWidth="1"/>
    <col min="768" max="768" width="13.28515625" style="125" customWidth="1"/>
    <col min="769" max="773" width="15.7109375" style="125" customWidth="1"/>
    <col min="774" max="774" width="9.140625" style="125"/>
    <col min="775" max="775" width="13.42578125" style="125" customWidth="1"/>
    <col min="776" max="1018" width="9.140625" style="125"/>
    <col min="1019" max="1019" width="3.7109375" style="125" customWidth="1"/>
    <col min="1020" max="1020" width="10" style="125" customWidth="1"/>
    <col min="1021" max="1021" width="10.42578125" style="125" customWidth="1"/>
    <col min="1022" max="1022" width="19.42578125" style="125" customWidth="1"/>
    <col min="1023" max="1023" width="11.85546875" style="125" customWidth="1"/>
    <col min="1024" max="1024" width="13.28515625" style="125" customWidth="1"/>
    <col min="1025" max="1029" width="15.7109375" style="125" customWidth="1"/>
    <col min="1030" max="1030" width="9.140625" style="125"/>
    <col min="1031" max="1031" width="13.42578125" style="125" customWidth="1"/>
    <col min="1032" max="1274" width="9.140625" style="125"/>
    <col min="1275" max="1275" width="3.7109375" style="125" customWidth="1"/>
    <col min="1276" max="1276" width="10" style="125" customWidth="1"/>
    <col min="1277" max="1277" width="10.42578125" style="125" customWidth="1"/>
    <col min="1278" max="1278" width="19.42578125" style="125" customWidth="1"/>
    <col min="1279" max="1279" width="11.85546875" style="125" customWidth="1"/>
    <col min="1280" max="1280" width="13.28515625" style="125" customWidth="1"/>
    <col min="1281" max="1285" width="15.7109375" style="125" customWidth="1"/>
    <col min="1286" max="1286" width="9.140625" style="125"/>
    <col min="1287" max="1287" width="13.42578125" style="125" customWidth="1"/>
    <col min="1288" max="1530" width="9.140625" style="125"/>
    <col min="1531" max="1531" width="3.7109375" style="125" customWidth="1"/>
    <col min="1532" max="1532" width="10" style="125" customWidth="1"/>
    <col min="1533" max="1533" width="10.42578125" style="125" customWidth="1"/>
    <col min="1534" max="1534" width="19.42578125" style="125" customWidth="1"/>
    <col min="1535" max="1535" width="11.85546875" style="125" customWidth="1"/>
    <col min="1536" max="1536" width="13.28515625" style="125" customWidth="1"/>
    <col min="1537" max="1541" width="15.7109375" style="125" customWidth="1"/>
    <col min="1542" max="1542" width="9.140625" style="125"/>
    <col min="1543" max="1543" width="13.42578125" style="125" customWidth="1"/>
    <col min="1544" max="1786" width="9.140625" style="125"/>
    <col min="1787" max="1787" width="3.7109375" style="125" customWidth="1"/>
    <col min="1788" max="1788" width="10" style="125" customWidth="1"/>
    <col min="1789" max="1789" width="10.42578125" style="125" customWidth="1"/>
    <col min="1790" max="1790" width="19.42578125" style="125" customWidth="1"/>
    <col min="1791" max="1791" width="11.85546875" style="125" customWidth="1"/>
    <col min="1792" max="1792" width="13.28515625" style="125" customWidth="1"/>
    <col min="1793" max="1797" width="15.7109375" style="125" customWidth="1"/>
    <col min="1798" max="1798" width="9.140625" style="125"/>
    <col min="1799" max="1799" width="13.42578125" style="125" customWidth="1"/>
    <col min="1800" max="2042" width="9.140625" style="125"/>
    <col min="2043" max="2043" width="3.7109375" style="125" customWidth="1"/>
    <col min="2044" max="2044" width="10" style="125" customWidth="1"/>
    <col min="2045" max="2045" width="10.42578125" style="125" customWidth="1"/>
    <col min="2046" max="2046" width="19.42578125" style="125" customWidth="1"/>
    <col min="2047" max="2047" width="11.85546875" style="125" customWidth="1"/>
    <col min="2048" max="2048" width="13.28515625" style="125" customWidth="1"/>
    <col min="2049" max="2053" width="15.7109375" style="125" customWidth="1"/>
    <col min="2054" max="2054" width="9.140625" style="125"/>
    <col min="2055" max="2055" width="13.42578125" style="125" customWidth="1"/>
    <col min="2056" max="2298" width="9.140625" style="125"/>
    <col min="2299" max="2299" width="3.7109375" style="125" customWidth="1"/>
    <col min="2300" max="2300" width="10" style="125" customWidth="1"/>
    <col min="2301" max="2301" width="10.42578125" style="125" customWidth="1"/>
    <col min="2302" max="2302" width="19.42578125" style="125" customWidth="1"/>
    <col min="2303" max="2303" width="11.85546875" style="125" customWidth="1"/>
    <col min="2304" max="2304" width="13.28515625" style="125" customWidth="1"/>
    <col min="2305" max="2309" width="15.7109375" style="125" customWidth="1"/>
    <col min="2310" max="2310" width="9.140625" style="125"/>
    <col min="2311" max="2311" width="13.42578125" style="125" customWidth="1"/>
    <col min="2312" max="2554" width="9.140625" style="125"/>
    <col min="2555" max="2555" width="3.7109375" style="125" customWidth="1"/>
    <col min="2556" max="2556" width="10" style="125" customWidth="1"/>
    <col min="2557" max="2557" width="10.42578125" style="125" customWidth="1"/>
    <col min="2558" max="2558" width="19.42578125" style="125" customWidth="1"/>
    <col min="2559" max="2559" width="11.85546875" style="125" customWidth="1"/>
    <col min="2560" max="2560" width="13.28515625" style="125" customWidth="1"/>
    <col min="2561" max="2565" width="15.7109375" style="125" customWidth="1"/>
    <col min="2566" max="2566" width="9.140625" style="125"/>
    <col min="2567" max="2567" width="13.42578125" style="125" customWidth="1"/>
    <col min="2568" max="2810" width="9.140625" style="125"/>
    <col min="2811" max="2811" width="3.7109375" style="125" customWidth="1"/>
    <col min="2812" max="2812" width="10" style="125" customWidth="1"/>
    <col min="2813" max="2813" width="10.42578125" style="125" customWidth="1"/>
    <col min="2814" max="2814" width="19.42578125" style="125" customWidth="1"/>
    <col min="2815" max="2815" width="11.85546875" style="125" customWidth="1"/>
    <col min="2816" max="2816" width="13.28515625" style="125" customWidth="1"/>
    <col min="2817" max="2821" width="15.7109375" style="125" customWidth="1"/>
    <col min="2822" max="2822" width="9.140625" style="125"/>
    <col min="2823" max="2823" width="13.42578125" style="125" customWidth="1"/>
    <col min="2824" max="3066" width="9.140625" style="125"/>
    <col min="3067" max="3067" width="3.7109375" style="125" customWidth="1"/>
    <col min="3068" max="3068" width="10" style="125" customWidth="1"/>
    <col min="3069" max="3069" width="10.42578125" style="125" customWidth="1"/>
    <col min="3070" max="3070" width="19.42578125" style="125" customWidth="1"/>
    <col min="3071" max="3071" width="11.85546875" style="125" customWidth="1"/>
    <col min="3072" max="3072" width="13.28515625" style="125" customWidth="1"/>
    <col min="3073" max="3077" width="15.7109375" style="125" customWidth="1"/>
    <col min="3078" max="3078" width="9.140625" style="125"/>
    <col min="3079" max="3079" width="13.42578125" style="125" customWidth="1"/>
    <col min="3080" max="3322" width="9.140625" style="125"/>
    <col min="3323" max="3323" width="3.7109375" style="125" customWidth="1"/>
    <col min="3324" max="3324" width="10" style="125" customWidth="1"/>
    <col min="3325" max="3325" width="10.42578125" style="125" customWidth="1"/>
    <col min="3326" max="3326" width="19.42578125" style="125" customWidth="1"/>
    <col min="3327" max="3327" width="11.85546875" style="125" customWidth="1"/>
    <col min="3328" max="3328" width="13.28515625" style="125" customWidth="1"/>
    <col min="3329" max="3333" width="15.7109375" style="125" customWidth="1"/>
    <col min="3334" max="3334" width="9.140625" style="125"/>
    <col min="3335" max="3335" width="13.42578125" style="125" customWidth="1"/>
    <col min="3336" max="3578" width="9.140625" style="125"/>
    <col min="3579" max="3579" width="3.7109375" style="125" customWidth="1"/>
    <col min="3580" max="3580" width="10" style="125" customWidth="1"/>
    <col min="3581" max="3581" width="10.42578125" style="125" customWidth="1"/>
    <col min="3582" max="3582" width="19.42578125" style="125" customWidth="1"/>
    <col min="3583" max="3583" width="11.85546875" style="125" customWidth="1"/>
    <col min="3584" max="3584" width="13.28515625" style="125" customWidth="1"/>
    <col min="3585" max="3589" width="15.7109375" style="125" customWidth="1"/>
    <col min="3590" max="3590" width="9.140625" style="125"/>
    <col min="3591" max="3591" width="13.42578125" style="125" customWidth="1"/>
    <col min="3592" max="3834" width="9.140625" style="125"/>
    <col min="3835" max="3835" width="3.7109375" style="125" customWidth="1"/>
    <col min="3836" max="3836" width="10" style="125" customWidth="1"/>
    <col min="3837" max="3837" width="10.42578125" style="125" customWidth="1"/>
    <col min="3838" max="3838" width="19.42578125" style="125" customWidth="1"/>
    <col min="3839" max="3839" width="11.85546875" style="125" customWidth="1"/>
    <col min="3840" max="3840" width="13.28515625" style="125" customWidth="1"/>
    <col min="3841" max="3845" width="15.7109375" style="125" customWidth="1"/>
    <col min="3846" max="3846" width="9.140625" style="125"/>
    <col min="3847" max="3847" width="13.42578125" style="125" customWidth="1"/>
    <col min="3848" max="4090" width="9.140625" style="125"/>
    <col min="4091" max="4091" width="3.7109375" style="125" customWidth="1"/>
    <col min="4092" max="4092" width="10" style="125" customWidth="1"/>
    <col min="4093" max="4093" width="10.42578125" style="125" customWidth="1"/>
    <col min="4094" max="4094" width="19.42578125" style="125" customWidth="1"/>
    <col min="4095" max="4095" width="11.85546875" style="125" customWidth="1"/>
    <col min="4096" max="4096" width="13.28515625" style="125" customWidth="1"/>
    <col min="4097" max="4101" width="15.7109375" style="125" customWidth="1"/>
    <col min="4102" max="4102" width="9.140625" style="125"/>
    <col min="4103" max="4103" width="13.42578125" style="125" customWidth="1"/>
    <col min="4104" max="4346" width="9.140625" style="125"/>
    <col min="4347" max="4347" width="3.7109375" style="125" customWidth="1"/>
    <col min="4348" max="4348" width="10" style="125" customWidth="1"/>
    <col min="4349" max="4349" width="10.42578125" style="125" customWidth="1"/>
    <col min="4350" max="4350" width="19.42578125" style="125" customWidth="1"/>
    <col min="4351" max="4351" width="11.85546875" style="125" customWidth="1"/>
    <col min="4352" max="4352" width="13.28515625" style="125" customWidth="1"/>
    <col min="4353" max="4357" width="15.7109375" style="125" customWidth="1"/>
    <col min="4358" max="4358" width="9.140625" style="125"/>
    <col min="4359" max="4359" width="13.42578125" style="125" customWidth="1"/>
    <col min="4360" max="4602" width="9.140625" style="125"/>
    <col min="4603" max="4603" width="3.7109375" style="125" customWidth="1"/>
    <col min="4604" max="4604" width="10" style="125" customWidth="1"/>
    <col min="4605" max="4605" width="10.42578125" style="125" customWidth="1"/>
    <col min="4606" max="4606" width="19.42578125" style="125" customWidth="1"/>
    <col min="4607" max="4607" width="11.85546875" style="125" customWidth="1"/>
    <col min="4608" max="4608" width="13.28515625" style="125" customWidth="1"/>
    <col min="4609" max="4613" width="15.7109375" style="125" customWidth="1"/>
    <col min="4614" max="4614" width="9.140625" style="125"/>
    <col min="4615" max="4615" width="13.42578125" style="125" customWidth="1"/>
    <col min="4616" max="4858" width="9.140625" style="125"/>
    <col min="4859" max="4859" width="3.7109375" style="125" customWidth="1"/>
    <col min="4860" max="4860" width="10" style="125" customWidth="1"/>
    <col min="4861" max="4861" width="10.42578125" style="125" customWidth="1"/>
    <col min="4862" max="4862" width="19.42578125" style="125" customWidth="1"/>
    <col min="4863" max="4863" width="11.85546875" style="125" customWidth="1"/>
    <col min="4864" max="4864" width="13.28515625" style="125" customWidth="1"/>
    <col min="4865" max="4869" width="15.7109375" style="125" customWidth="1"/>
    <col min="4870" max="4870" width="9.140625" style="125"/>
    <col min="4871" max="4871" width="13.42578125" style="125" customWidth="1"/>
    <col min="4872" max="5114" width="9.140625" style="125"/>
    <col min="5115" max="5115" width="3.7109375" style="125" customWidth="1"/>
    <col min="5116" max="5116" width="10" style="125" customWidth="1"/>
    <col min="5117" max="5117" width="10.42578125" style="125" customWidth="1"/>
    <col min="5118" max="5118" width="19.42578125" style="125" customWidth="1"/>
    <col min="5119" max="5119" width="11.85546875" style="125" customWidth="1"/>
    <col min="5120" max="5120" width="13.28515625" style="125" customWidth="1"/>
    <col min="5121" max="5125" width="15.7109375" style="125" customWidth="1"/>
    <col min="5126" max="5126" width="9.140625" style="125"/>
    <col min="5127" max="5127" width="13.42578125" style="125" customWidth="1"/>
    <col min="5128" max="5370" width="9.140625" style="125"/>
    <col min="5371" max="5371" width="3.7109375" style="125" customWidth="1"/>
    <col min="5372" max="5372" width="10" style="125" customWidth="1"/>
    <col min="5373" max="5373" width="10.42578125" style="125" customWidth="1"/>
    <col min="5374" max="5374" width="19.42578125" style="125" customWidth="1"/>
    <col min="5375" max="5375" width="11.85546875" style="125" customWidth="1"/>
    <col min="5376" max="5376" width="13.28515625" style="125" customWidth="1"/>
    <col min="5377" max="5381" width="15.7109375" style="125" customWidth="1"/>
    <col min="5382" max="5382" width="9.140625" style="125"/>
    <col min="5383" max="5383" width="13.42578125" style="125" customWidth="1"/>
    <col min="5384" max="5626" width="9.140625" style="125"/>
    <col min="5627" max="5627" width="3.7109375" style="125" customWidth="1"/>
    <col min="5628" max="5628" width="10" style="125" customWidth="1"/>
    <col min="5629" max="5629" width="10.42578125" style="125" customWidth="1"/>
    <col min="5630" max="5630" width="19.42578125" style="125" customWidth="1"/>
    <col min="5631" max="5631" width="11.85546875" style="125" customWidth="1"/>
    <col min="5632" max="5632" width="13.28515625" style="125" customWidth="1"/>
    <col min="5633" max="5637" width="15.7109375" style="125" customWidth="1"/>
    <col min="5638" max="5638" width="9.140625" style="125"/>
    <col min="5639" max="5639" width="13.42578125" style="125" customWidth="1"/>
    <col min="5640" max="5882" width="9.140625" style="125"/>
    <col min="5883" max="5883" width="3.7109375" style="125" customWidth="1"/>
    <col min="5884" max="5884" width="10" style="125" customWidth="1"/>
    <col min="5885" max="5885" width="10.42578125" style="125" customWidth="1"/>
    <col min="5886" max="5886" width="19.42578125" style="125" customWidth="1"/>
    <col min="5887" max="5887" width="11.85546875" style="125" customWidth="1"/>
    <col min="5888" max="5888" width="13.28515625" style="125" customWidth="1"/>
    <col min="5889" max="5893" width="15.7109375" style="125" customWidth="1"/>
    <col min="5894" max="5894" width="9.140625" style="125"/>
    <col min="5895" max="5895" width="13.42578125" style="125" customWidth="1"/>
    <col min="5896" max="6138" width="9.140625" style="125"/>
    <col min="6139" max="6139" width="3.7109375" style="125" customWidth="1"/>
    <col min="6140" max="6140" width="10" style="125" customWidth="1"/>
    <col min="6141" max="6141" width="10.42578125" style="125" customWidth="1"/>
    <col min="6142" max="6142" width="19.42578125" style="125" customWidth="1"/>
    <col min="6143" max="6143" width="11.85546875" style="125" customWidth="1"/>
    <col min="6144" max="6144" width="13.28515625" style="125" customWidth="1"/>
    <col min="6145" max="6149" width="15.7109375" style="125" customWidth="1"/>
    <col min="6150" max="6150" width="9.140625" style="125"/>
    <col min="6151" max="6151" width="13.42578125" style="125" customWidth="1"/>
    <col min="6152" max="6394" width="9.140625" style="125"/>
    <col min="6395" max="6395" width="3.7109375" style="125" customWidth="1"/>
    <col min="6396" max="6396" width="10" style="125" customWidth="1"/>
    <col min="6397" max="6397" width="10.42578125" style="125" customWidth="1"/>
    <col min="6398" max="6398" width="19.42578125" style="125" customWidth="1"/>
    <col min="6399" max="6399" width="11.85546875" style="125" customWidth="1"/>
    <col min="6400" max="6400" width="13.28515625" style="125" customWidth="1"/>
    <col min="6401" max="6405" width="15.7109375" style="125" customWidth="1"/>
    <col min="6406" max="6406" width="9.140625" style="125"/>
    <col min="6407" max="6407" width="13.42578125" style="125" customWidth="1"/>
    <col min="6408" max="6650" width="9.140625" style="125"/>
    <col min="6651" max="6651" width="3.7109375" style="125" customWidth="1"/>
    <col min="6652" max="6652" width="10" style="125" customWidth="1"/>
    <col min="6653" max="6653" width="10.42578125" style="125" customWidth="1"/>
    <col min="6654" max="6654" width="19.42578125" style="125" customWidth="1"/>
    <col min="6655" max="6655" width="11.85546875" style="125" customWidth="1"/>
    <col min="6656" max="6656" width="13.28515625" style="125" customWidth="1"/>
    <col min="6657" max="6661" width="15.7109375" style="125" customWidth="1"/>
    <col min="6662" max="6662" width="9.140625" style="125"/>
    <col min="6663" max="6663" width="13.42578125" style="125" customWidth="1"/>
    <col min="6664" max="6906" width="9.140625" style="125"/>
    <col min="6907" max="6907" width="3.7109375" style="125" customWidth="1"/>
    <col min="6908" max="6908" width="10" style="125" customWidth="1"/>
    <col min="6909" max="6909" width="10.42578125" style="125" customWidth="1"/>
    <col min="6910" max="6910" width="19.42578125" style="125" customWidth="1"/>
    <col min="6911" max="6911" width="11.85546875" style="125" customWidth="1"/>
    <col min="6912" max="6912" width="13.28515625" style="125" customWidth="1"/>
    <col min="6913" max="6917" width="15.7109375" style="125" customWidth="1"/>
    <col min="6918" max="6918" width="9.140625" style="125"/>
    <col min="6919" max="6919" width="13.42578125" style="125" customWidth="1"/>
    <col min="6920" max="7162" width="9.140625" style="125"/>
    <col min="7163" max="7163" width="3.7109375" style="125" customWidth="1"/>
    <col min="7164" max="7164" width="10" style="125" customWidth="1"/>
    <col min="7165" max="7165" width="10.42578125" style="125" customWidth="1"/>
    <col min="7166" max="7166" width="19.42578125" style="125" customWidth="1"/>
    <col min="7167" max="7167" width="11.85546875" style="125" customWidth="1"/>
    <col min="7168" max="7168" width="13.28515625" style="125" customWidth="1"/>
    <col min="7169" max="7173" width="15.7109375" style="125" customWidth="1"/>
    <col min="7174" max="7174" width="9.140625" style="125"/>
    <col min="7175" max="7175" width="13.42578125" style="125" customWidth="1"/>
    <col min="7176" max="7418" width="9.140625" style="125"/>
    <col min="7419" max="7419" width="3.7109375" style="125" customWidth="1"/>
    <col min="7420" max="7420" width="10" style="125" customWidth="1"/>
    <col min="7421" max="7421" width="10.42578125" style="125" customWidth="1"/>
    <col min="7422" max="7422" width="19.42578125" style="125" customWidth="1"/>
    <col min="7423" max="7423" width="11.85546875" style="125" customWidth="1"/>
    <col min="7424" max="7424" width="13.28515625" style="125" customWidth="1"/>
    <col min="7425" max="7429" width="15.7109375" style="125" customWidth="1"/>
    <col min="7430" max="7430" width="9.140625" style="125"/>
    <col min="7431" max="7431" width="13.42578125" style="125" customWidth="1"/>
    <col min="7432" max="7674" width="9.140625" style="125"/>
    <col min="7675" max="7675" width="3.7109375" style="125" customWidth="1"/>
    <col min="7676" max="7676" width="10" style="125" customWidth="1"/>
    <col min="7677" max="7677" width="10.42578125" style="125" customWidth="1"/>
    <col min="7678" max="7678" width="19.42578125" style="125" customWidth="1"/>
    <col min="7679" max="7679" width="11.85546875" style="125" customWidth="1"/>
    <col min="7680" max="7680" width="13.28515625" style="125" customWidth="1"/>
    <col min="7681" max="7685" width="15.7109375" style="125" customWidth="1"/>
    <col min="7686" max="7686" width="9.140625" style="125"/>
    <col min="7687" max="7687" width="13.42578125" style="125" customWidth="1"/>
    <col min="7688" max="7930" width="9.140625" style="125"/>
    <col min="7931" max="7931" width="3.7109375" style="125" customWidth="1"/>
    <col min="7932" max="7932" width="10" style="125" customWidth="1"/>
    <col min="7933" max="7933" width="10.42578125" style="125" customWidth="1"/>
    <col min="7934" max="7934" width="19.42578125" style="125" customWidth="1"/>
    <col min="7935" max="7935" width="11.85546875" style="125" customWidth="1"/>
    <col min="7936" max="7936" width="13.28515625" style="125" customWidth="1"/>
    <col min="7937" max="7941" width="15.7109375" style="125" customWidth="1"/>
    <col min="7942" max="7942" width="9.140625" style="125"/>
    <col min="7943" max="7943" width="13.42578125" style="125" customWidth="1"/>
    <col min="7944" max="8186" width="9.140625" style="125"/>
    <col min="8187" max="8187" width="3.7109375" style="125" customWidth="1"/>
    <col min="8188" max="8188" width="10" style="125" customWidth="1"/>
    <col min="8189" max="8189" width="10.42578125" style="125" customWidth="1"/>
    <col min="8190" max="8190" width="19.42578125" style="125" customWidth="1"/>
    <col min="8191" max="8191" width="11.85546875" style="125" customWidth="1"/>
    <col min="8192" max="8192" width="13.28515625" style="125" customWidth="1"/>
    <col min="8193" max="8197" width="15.7109375" style="125" customWidth="1"/>
    <col min="8198" max="8198" width="9.140625" style="125"/>
    <col min="8199" max="8199" width="13.42578125" style="125" customWidth="1"/>
    <col min="8200" max="8442" width="9.140625" style="125"/>
    <col min="8443" max="8443" width="3.7109375" style="125" customWidth="1"/>
    <col min="8444" max="8444" width="10" style="125" customWidth="1"/>
    <col min="8445" max="8445" width="10.42578125" style="125" customWidth="1"/>
    <col min="8446" max="8446" width="19.42578125" style="125" customWidth="1"/>
    <col min="8447" max="8447" width="11.85546875" style="125" customWidth="1"/>
    <col min="8448" max="8448" width="13.28515625" style="125" customWidth="1"/>
    <col min="8449" max="8453" width="15.7109375" style="125" customWidth="1"/>
    <col min="8454" max="8454" width="9.140625" style="125"/>
    <col min="8455" max="8455" width="13.42578125" style="125" customWidth="1"/>
    <col min="8456" max="8698" width="9.140625" style="125"/>
    <col min="8699" max="8699" width="3.7109375" style="125" customWidth="1"/>
    <col min="8700" max="8700" width="10" style="125" customWidth="1"/>
    <col min="8701" max="8701" width="10.42578125" style="125" customWidth="1"/>
    <col min="8702" max="8702" width="19.42578125" style="125" customWidth="1"/>
    <col min="8703" max="8703" width="11.85546875" style="125" customWidth="1"/>
    <col min="8704" max="8704" width="13.28515625" style="125" customWidth="1"/>
    <col min="8705" max="8709" width="15.7109375" style="125" customWidth="1"/>
    <col min="8710" max="8710" width="9.140625" style="125"/>
    <col min="8711" max="8711" width="13.42578125" style="125" customWidth="1"/>
    <col min="8712" max="8954" width="9.140625" style="125"/>
    <col min="8955" max="8955" width="3.7109375" style="125" customWidth="1"/>
    <col min="8956" max="8956" width="10" style="125" customWidth="1"/>
    <col min="8957" max="8957" width="10.42578125" style="125" customWidth="1"/>
    <col min="8958" max="8958" width="19.42578125" style="125" customWidth="1"/>
    <col min="8959" max="8959" width="11.85546875" style="125" customWidth="1"/>
    <col min="8960" max="8960" width="13.28515625" style="125" customWidth="1"/>
    <col min="8961" max="8965" width="15.7109375" style="125" customWidth="1"/>
    <col min="8966" max="8966" width="9.140625" style="125"/>
    <col min="8967" max="8967" width="13.42578125" style="125" customWidth="1"/>
    <col min="8968" max="9210" width="9.140625" style="125"/>
    <col min="9211" max="9211" width="3.7109375" style="125" customWidth="1"/>
    <col min="9212" max="9212" width="10" style="125" customWidth="1"/>
    <col min="9213" max="9213" width="10.42578125" style="125" customWidth="1"/>
    <col min="9214" max="9214" width="19.42578125" style="125" customWidth="1"/>
    <col min="9215" max="9215" width="11.85546875" style="125" customWidth="1"/>
    <col min="9216" max="9216" width="13.28515625" style="125" customWidth="1"/>
    <col min="9217" max="9221" width="15.7109375" style="125" customWidth="1"/>
    <col min="9222" max="9222" width="9.140625" style="125"/>
    <col min="9223" max="9223" width="13.42578125" style="125" customWidth="1"/>
    <col min="9224" max="9466" width="9.140625" style="125"/>
    <col min="9467" max="9467" width="3.7109375" style="125" customWidth="1"/>
    <col min="9468" max="9468" width="10" style="125" customWidth="1"/>
    <col min="9469" max="9469" width="10.42578125" style="125" customWidth="1"/>
    <col min="9470" max="9470" width="19.42578125" style="125" customWidth="1"/>
    <col min="9471" max="9471" width="11.85546875" style="125" customWidth="1"/>
    <col min="9472" max="9472" width="13.28515625" style="125" customWidth="1"/>
    <col min="9473" max="9477" width="15.7109375" style="125" customWidth="1"/>
    <col min="9478" max="9478" width="9.140625" style="125"/>
    <col min="9479" max="9479" width="13.42578125" style="125" customWidth="1"/>
    <col min="9480" max="9722" width="9.140625" style="125"/>
    <col min="9723" max="9723" width="3.7109375" style="125" customWidth="1"/>
    <col min="9724" max="9724" width="10" style="125" customWidth="1"/>
    <col min="9725" max="9725" width="10.42578125" style="125" customWidth="1"/>
    <col min="9726" max="9726" width="19.42578125" style="125" customWidth="1"/>
    <col min="9727" max="9727" width="11.85546875" style="125" customWidth="1"/>
    <col min="9728" max="9728" width="13.28515625" style="125" customWidth="1"/>
    <col min="9729" max="9733" width="15.7109375" style="125" customWidth="1"/>
    <col min="9734" max="9734" width="9.140625" style="125"/>
    <col min="9735" max="9735" width="13.42578125" style="125" customWidth="1"/>
    <col min="9736" max="9978" width="9.140625" style="125"/>
    <col min="9979" max="9979" width="3.7109375" style="125" customWidth="1"/>
    <col min="9980" max="9980" width="10" style="125" customWidth="1"/>
    <col min="9981" max="9981" width="10.42578125" style="125" customWidth="1"/>
    <col min="9982" max="9982" width="19.42578125" style="125" customWidth="1"/>
    <col min="9983" max="9983" width="11.85546875" style="125" customWidth="1"/>
    <col min="9984" max="9984" width="13.28515625" style="125" customWidth="1"/>
    <col min="9985" max="9989" width="15.7109375" style="125" customWidth="1"/>
    <col min="9990" max="9990" width="9.140625" style="125"/>
    <col min="9991" max="9991" width="13.42578125" style="125" customWidth="1"/>
    <col min="9992" max="10234" width="9.140625" style="125"/>
    <col min="10235" max="10235" width="3.7109375" style="125" customWidth="1"/>
    <col min="10236" max="10236" width="10" style="125" customWidth="1"/>
    <col min="10237" max="10237" width="10.42578125" style="125" customWidth="1"/>
    <col min="10238" max="10238" width="19.42578125" style="125" customWidth="1"/>
    <col min="10239" max="10239" width="11.85546875" style="125" customWidth="1"/>
    <col min="10240" max="10240" width="13.28515625" style="125" customWidth="1"/>
    <col min="10241" max="10245" width="15.7109375" style="125" customWidth="1"/>
    <col min="10246" max="10246" width="9.140625" style="125"/>
    <col min="10247" max="10247" width="13.42578125" style="125" customWidth="1"/>
    <col min="10248" max="10490" width="9.140625" style="125"/>
    <col min="10491" max="10491" width="3.7109375" style="125" customWidth="1"/>
    <col min="10492" max="10492" width="10" style="125" customWidth="1"/>
    <col min="10493" max="10493" width="10.42578125" style="125" customWidth="1"/>
    <col min="10494" max="10494" width="19.42578125" style="125" customWidth="1"/>
    <col min="10495" max="10495" width="11.85546875" style="125" customWidth="1"/>
    <col min="10496" max="10496" width="13.28515625" style="125" customWidth="1"/>
    <col min="10497" max="10501" width="15.7109375" style="125" customWidth="1"/>
    <col min="10502" max="10502" width="9.140625" style="125"/>
    <col min="10503" max="10503" width="13.42578125" style="125" customWidth="1"/>
    <col min="10504" max="10746" width="9.140625" style="125"/>
    <col min="10747" max="10747" width="3.7109375" style="125" customWidth="1"/>
    <col min="10748" max="10748" width="10" style="125" customWidth="1"/>
    <col min="10749" max="10749" width="10.42578125" style="125" customWidth="1"/>
    <col min="10750" max="10750" width="19.42578125" style="125" customWidth="1"/>
    <col min="10751" max="10751" width="11.85546875" style="125" customWidth="1"/>
    <col min="10752" max="10752" width="13.28515625" style="125" customWidth="1"/>
    <col min="10753" max="10757" width="15.7109375" style="125" customWidth="1"/>
    <col min="10758" max="10758" width="9.140625" style="125"/>
    <col min="10759" max="10759" width="13.42578125" style="125" customWidth="1"/>
    <col min="10760" max="11002" width="9.140625" style="125"/>
    <col min="11003" max="11003" width="3.7109375" style="125" customWidth="1"/>
    <col min="11004" max="11004" width="10" style="125" customWidth="1"/>
    <col min="11005" max="11005" width="10.42578125" style="125" customWidth="1"/>
    <col min="11006" max="11006" width="19.42578125" style="125" customWidth="1"/>
    <col min="11007" max="11007" width="11.85546875" style="125" customWidth="1"/>
    <col min="11008" max="11008" width="13.28515625" style="125" customWidth="1"/>
    <col min="11009" max="11013" width="15.7109375" style="125" customWidth="1"/>
    <col min="11014" max="11014" width="9.140625" style="125"/>
    <col min="11015" max="11015" width="13.42578125" style="125" customWidth="1"/>
    <col min="11016" max="11258" width="9.140625" style="125"/>
    <col min="11259" max="11259" width="3.7109375" style="125" customWidth="1"/>
    <col min="11260" max="11260" width="10" style="125" customWidth="1"/>
    <col min="11261" max="11261" width="10.42578125" style="125" customWidth="1"/>
    <col min="11262" max="11262" width="19.42578125" style="125" customWidth="1"/>
    <col min="11263" max="11263" width="11.85546875" style="125" customWidth="1"/>
    <col min="11264" max="11264" width="13.28515625" style="125" customWidth="1"/>
    <col min="11265" max="11269" width="15.7109375" style="125" customWidth="1"/>
    <col min="11270" max="11270" width="9.140625" style="125"/>
    <col min="11271" max="11271" width="13.42578125" style="125" customWidth="1"/>
    <col min="11272" max="11514" width="9.140625" style="125"/>
    <col min="11515" max="11515" width="3.7109375" style="125" customWidth="1"/>
    <col min="11516" max="11516" width="10" style="125" customWidth="1"/>
    <col min="11517" max="11517" width="10.42578125" style="125" customWidth="1"/>
    <col min="11518" max="11518" width="19.42578125" style="125" customWidth="1"/>
    <col min="11519" max="11519" width="11.85546875" style="125" customWidth="1"/>
    <col min="11520" max="11520" width="13.28515625" style="125" customWidth="1"/>
    <col min="11521" max="11525" width="15.7109375" style="125" customWidth="1"/>
    <col min="11526" max="11526" width="9.140625" style="125"/>
    <col min="11527" max="11527" width="13.42578125" style="125" customWidth="1"/>
    <col min="11528" max="11770" width="9.140625" style="125"/>
    <col min="11771" max="11771" width="3.7109375" style="125" customWidth="1"/>
    <col min="11772" max="11772" width="10" style="125" customWidth="1"/>
    <col min="11773" max="11773" width="10.42578125" style="125" customWidth="1"/>
    <col min="11774" max="11774" width="19.42578125" style="125" customWidth="1"/>
    <col min="11775" max="11775" width="11.85546875" style="125" customWidth="1"/>
    <col min="11776" max="11776" width="13.28515625" style="125" customWidth="1"/>
    <col min="11777" max="11781" width="15.7109375" style="125" customWidth="1"/>
    <col min="11782" max="11782" width="9.140625" style="125"/>
    <col min="11783" max="11783" width="13.42578125" style="125" customWidth="1"/>
    <col min="11784" max="12026" width="9.140625" style="125"/>
    <col min="12027" max="12027" width="3.7109375" style="125" customWidth="1"/>
    <col min="12028" max="12028" width="10" style="125" customWidth="1"/>
    <col min="12029" max="12029" width="10.42578125" style="125" customWidth="1"/>
    <col min="12030" max="12030" width="19.42578125" style="125" customWidth="1"/>
    <col min="12031" max="12031" width="11.85546875" style="125" customWidth="1"/>
    <col min="12032" max="12032" width="13.28515625" style="125" customWidth="1"/>
    <col min="12033" max="12037" width="15.7109375" style="125" customWidth="1"/>
    <col min="12038" max="12038" width="9.140625" style="125"/>
    <col min="12039" max="12039" width="13.42578125" style="125" customWidth="1"/>
    <col min="12040" max="12282" width="9.140625" style="125"/>
    <col min="12283" max="12283" width="3.7109375" style="125" customWidth="1"/>
    <col min="12284" max="12284" width="10" style="125" customWidth="1"/>
    <col min="12285" max="12285" width="10.42578125" style="125" customWidth="1"/>
    <col min="12286" max="12286" width="19.42578125" style="125" customWidth="1"/>
    <col min="12287" max="12287" width="11.85546875" style="125" customWidth="1"/>
    <col min="12288" max="12288" width="13.28515625" style="125" customWidth="1"/>
    <col min="12289" max="12293" width="15.7109375" style="125" customWidth="1"/>
    <col min="12294" max="12294" width="9.140625" style="125"/>
    <col min="12295" max="12295" width="13.42578125" style="125" customWidth="1"/>
    <col min="12296" max="12538" width="9.140625" style="125"/>
    <col min="12539" max="12539" width="3.7109375" style="125" customWidth="1"/>
    <col min="12540" max="12540" width="10" style="125" customWidth="1"/>
    <col min="12541" max="12541" width="10.42578125" style="125" customWidth="1"/>
    <col min="12542" max="12542" width="19.42578125" style="125" customWidth="1"/>
    <col min="12543" max="12543" width="11.85546875" style="125" customWidth="1"/>
    <col min="12544" max="12544" width="13.28515625" style="125" customWidth="1"/>
    <col min="12545" max="12549" width="15.7109375" style="125" customWidth="1"/>
    <col min="12550" max="12550" width="9.140625" style="125"/>
    <col min="12551" max="12551" width="13.42578125" style="125" customWidth="1"/>
    <col min="12552" max="12794" width="9.140625" style="125"/>
    <col min="12795" max="12795" width="3.7109375" style="125" customWidth="1"/>
    <col min="12796" max="12796" width="10" style="125" customWidth="1"/>
    <col min="12797" max="12797" width="10.42578125" style="125" customWidth="1"/>
    <col min="12798" max="12798" width="19.42578125" style="125" customWidth="1"/>
    <col min="12799" max="12799" width="11.85546875" style="125" customWidth="1"/>
    <col min="12800" max="12800" width="13.28515625" style="125" customWidth="1"/>
    <col min="12801" max="12805" width="15.7109375" style="125" customWidth="1"/>
    <col min="12806" max="12806" width="9.140625" style="125"/>
    <col min="12807" max="12807" width="13.42578125" style="125" customWidth="1"/>
    <col min="12808" max="13050" width="9.140625" style="125"/>
    <col min="13051" max="13051" width="3.7109375" style="125" customWidth="1"/>
    <col min="13052" max="13052" width="10" style="125" customWidth="1"/>
    <col min="13053" max="13053" width="10.42578125" style="125" customWidth="1"/>
    <col min="13054" max="13054" width="19.42578125" style="125" customWidth="1"/>
    <col min="13055" max="13055" width="11.85546875" style="125" customWidth="1"/>
    <col min="13056" max="13056" width="13.28515625" style="125" customWidth="1"/>
    <col min="13057" max="13061" width="15.7109375" style="125" customWidth="1"/>
    <col min="13062" max="13062" width="9.140625" style="125"/>
    <col min="13063" max="13063" width="13.42578125" style="125" customWidth="1"/>
    <col min="13064" max="13306" width="9.140625" style="125"/>
    <col min="13307" max="13307" width="3.7109375" style="125" customWidth="1"/>
    <col min="13308" max="13308" width="10" style="125" customWidth="1"/>
    <col min="13309" max="13309" width="10.42578125" style="125" customWidth="1"/>
    <col min="13310" max="13310" width="19.42578125" style="125" customWidth="1"/>
    <col min="13311" max="13311" width="11.85546875" style="125" customWidth="1"/>
    <col min="13312" max="13312" width="13.28515625" style="125" customWidth="1"/>
    <col min="13313" max="13317" width="15.7109375" style="125" customWidth="1"/>
    <col min="13318" max="13318" width="9.140625" style="125"/>
    <col min="13319" max="13319" width="13.42578125" style="125" customWidth="1"/>
    <col min="13320" max="13562" width="9.140625" style="125"/>
    <col min="13563" max="13563" width="3.7109375" style="125" customWidth="1"/>
    <col min="13564" max="13564" width="10" style="125" customWidth="1"/>
    <col min="13565" max="13565" width="10.42578125" style="125" customWidth="1"/>
    <col min="13566" max="13566" width="19.42578125" style="125" customWidth="1"/>
    <col min="13567" max="13567" width="11.85546875" style="125" customWidth="1"/>
    <col min="13568" max="13568" width="13.28515625" style="125" customWidth="1"/>
    <col min="13569" max="13573" width="15.7109375" style="125" customWidth="1"/>
    <col min="13574" max="13574" width="9.140625" style="125"/>
    <col min="13575" max="13575" width="13.42578125" style="125" customWidth="1"/>
    <col min="13576" max="13818" width="9.140625" style="125"/>
    <col min="13819" max="13819" width="3.7109375" style="125" customWidth="1"/>
    <col min="13820" max="13820" width="10" style="125" customWidth="1"/>
    <col min="13821" max="13821" width="10.42578125" style="125" customWidth="1"/>
    <col min="13822" max="13822" width="19.42578125" style="125" customWidth="1"/>
    <col min="13823" max="13823" width="11.85546875" style="125" customWidth="1"/>
    <col min="13824" max="13824" width="13.28515625" style="125" customWidth="1"/>
    <col min="13825" max="13829" width="15.7109375" style="125" customWidth="1"/>
    <col min="13830" max="13830" width="9.140625" style="125"/>
    <col min="13831" max="13831" width="13.42578125" style="125" customWidth="1"/>
    <col min="13832" max="14074" width="9.140625" style="125"/>
    <col min="14075" max="14075" width="3.7109375" style="125" customWidth="1"/>
    <col min="14076" max="14076" width="10" style="125" customWidth="1"/>
    <col min="14077" max="14077" width="10.42578125" style="125" customWidth="1"/>
    <col min="14078" max="14078" width="19.42578125" style="125" customWidth="1"/>
    <col min="14079" max="14079" width="11.85546875" style="125" customWidth="1"/>
    <col min="14080" max="14080" width="13.28515625" style="125" customWidth="1"/>
    <col min="14081" max="14085" width="15.7109375" style="125" customWidth="1"/>
    <col min="14086" max="14086" width="9.140625" style="125"/>
    <col min="14087" max="14087" width="13.42578125" style="125" customWidth="1"/>
    <col min="14088" max="14330" width="9.140625" style="125"/>
    <col min="14331" max="14331" width="3.7109375" style="125" customWidth="1"/>
    <col min="14332" max="14332" width="10" style="125" customWidth="1"/>
    <col min="14333" max="14333" width="10.42578125" style="125" customWidth="1"/>
    <col min="14334" max="14334" width="19.42578125" style="125" customWidth="1"/>
    <col min="14335" max="14335" width="11.85546875" style="125" customWidth="1"/>
    <col min="14336" max="14336" width="13.28515625" style="125" customWidth="1"/>
    <col min="14337" max="14341" width="15.7109375" style="125" customWidth="1"/>
    <col min="14342" max="14342" width="9.140625" style="125"/>
    <col min="14343" max="14343" width="13.42578125" style="125" customWidth="1"/>
    <col min="14344" max="14586" width="9.140625" style="125"/>
    <col min="14587" max="14587" width="3.7109375" style="125" customWidth="1"/>
    <col min="14588" max="14588" width="10" style="125" customWidth="1"/>
    <col min="14589" max="14589" width="10.42578125" style="125" customWidth="1"/>
    <col min="14590" max="14590" width="19.42578125" style="125" customWidth="1"/>
    <col min="14591" max="14591" width="11.85546875" style="125" customWidth="1"/>
    <col min="14592" max="14592" width="13.28515625" style="125" customWidth="1"/>
    <col min="14593" max="14597" width="15.7109375" style="125" customWidth="1"/>
    <col min="14598" max="14598" width="9.140625" style="125"/>
    <col min="14599" max="14599" width="13.42578125" style="125" customWidth="1"/>
    <col min="14600" max="14842" width="9.140625" style="125"/>
    <col min="14843" max="14843" width="3.7109375" style="125" customWidth="1"/>
    <col min="14844" max="14844" width="10" style="125" customWidth="1"/>
    <col min="14845" max="14845" width="10.42578125" style="125" customWidth="1"/>
    <col min="14846" max="14846" width="19.42578125" style="125" customWidth="1"/>
    <col min="14847" max="14847" width="11.85546875" style="125" customWidth="1"/>
    <col min="14848" max="14848" width="13.28515625" style="125" customWidth="1"/>
    <col min="14849" max="14853" width="15.7109375" style="125" customWidth="1"/>
    <col min="14854" max="14854" width="9.140625" style="125"/>
    <col min="14855" max="14855" width="13.42578125" style="125" customWidth="1"/>
    <col min="14856" max="15098" width="9.140625" style="125"/>
    <col min="15099" max="15099" width="3.7109375" style="125" customWidth="1"/>
    <col min="15100" max="15100" width="10" style="125" customWidth="1"/>
    <col min="15101" max="15101" width="10.42578125" style="125" customWidth="1"/>
    <col min="15102" max="15102" width="19.42578125" style="125" customWidth="1"/>
    <col min="15103" max="15103" width="11.85546875" style="125" customWidth="1"/>
    <col min="15104" max="15104" width="13.28515625" style="125" customWidth="1"/>
    <col min="15105" max="15109" width="15.7109375" style="125" customWidth="1"/>
    <col min="15110" max="15110" width="9.140625" style="125"/>
    <col min="15111" max="15111" width="13.42578125" style="125" customWidth="1"/>
    <col min="15112" max="15354" width="9.140625" style="125"/>
    <col min="15355" max="15355" width="3.7109375" style="125" customWidth="1"/>
    <col min="15356" max="15356" width="10" style="125" customWidth="1"/>
    <col min="15357" max="15357" width="10.42578125" style="125" customWidth="1"/>
    <col min="15358" max="15358" width="19.42578125" style="125" customWidth="1"/>
    <col min="15359" max="15359" width="11.85546875" style="125" customWidth="1"/>
    <col min="15360" max="15360" width="13.28515625" style="125" customWidth="1"/>
    <col min="15361" max="15365" width="15.7109375" style="125" customWidth="1"/>
    <col min="15366" max="15366" width="9.140625" style="125"/>
    <col min="15367" max="15367" width="13.42578125" style="125" customWidth="1"/>
    <col min="15368" max="15610" width="9.140625" style="125"/>
    <col min="15611" max="15611" width="3.7109375" style="125" customWidth="1"/>
    <col min="15612" max="15612" width="10" style="125" customWidth="1"/>
    <col min="15613" max="15613" width="10.42578125" style="125" customWidth="1"/>
    <col min="15614" max="15614" width="19.42578125" style="125" customWidth="1"/>
    <col min="15615" max="15615" width="11.85546875" style="125" customWidth="1"/>
    <col min="15616" max="15616" width="13.28515625" style="125" customWidth="1"/>
    <col min="15617" max="15621" width="15.7109375" style="125" customWidth="1"/>
    <col min="15622" max="15622" width="9.140625" style="125"/>
    <col min="15623" max="15623" width="13.42578125" style="125" customWidth="1"/>
    <col min="15624" max="15866" width="9.140625" style="125"/>
    <col min="15867" max="15867" width="3.7109375" style="125" customWidth="1"/>
    <col min="15868" max="15868" width="10" style="125" customWidth="1"/>
    <col min="15869" max="15869" width="10.42578125" style="125" customWidth="1"/>
    <col min="15870" max="15870" width="19.42578125" style="125" customWidth="1"/>
    <col min="15871" max="15871" width="11.85546875" style="125" customWidth="1"/>
    <col min="15872" max="15872" width="13.28515625" style="125" customWidth="1"/>
    <col min="15873" max="15877" width="15.7109375" style="125" customWidth="1"/>
    <col min="15878" max="15878" width="9.140625" style="125"/>
    <col min="15879" max="15879" width="13.42578125" style="125" customWidth="1"/>
    <col min="15880" max="16122" width="9.140625" style="125"/>
    <col min="16123" max="16123" width="3.7109375" style="125" customWidth="1"/>
    <col min="16124" max="16124" width="10" style="125" customWidth="1"/>
    <col min="16125" max="16125" width="10.42578125" style="125" customWidth="1"/>
    <col min="16126" max="16126" width="19.42578125" style="125" customWidth="1"/>
    <col min="16127" max="16127" width="11.85546875" style="125" customWidth="1"/>
    <col min="16128" max="16128" width="13.28515625" style="125" customWidth="1"/>
    <col min="16129" max="16133" width="15.7109375" style="125" customWidth="1"/>
    <col min="16134" max="16134" width="9.140625" style="125"/>
    <col min="16135" max="16135" width="13.42578125" style="125" customWidth="1"/>
    <col min="16136" max="16384" width="9.140625" style="125"/>
  </cols>
  <sheetData>
    <row r="1" spans="1:12" s="31" customFormat="1" ht="12.75" x14ac:dyDescent="0.2">
      <c r="A1" s="67" t="s">
        <v>230</v>
      </c>
      <c r="B1" s="67"/>
      <c r="C1" s="68"/>
      <c r="D1" s="67" t="s">
        <v>264</v>
      </c>
      <c r="E1" s="67"/>
      <c r="F1" s="67"/>
      <c r="G1" s="67"/>
      <c r="H1" s="67"/>
      <c r="I1" s="67"/>
      <c r="J1" s="67"/>
      <c r="K1" s="67"/>
      <c r="L1" s="67"/>
    </row>
    <row r="2" spans="1:12" s="31" customFormat="1" ht="12.75" x14ac:dyDescent="0.2">
      <c r="C2" s="69"/>
    </row>
    <row r="3" spans="1:12" s="31" customFormat="1" ht="12.75" x14ac:dyDescent="0.2">
      <c r="B3" s="32" t="s">
        <v>231</v>
      </c>
      <c r="C3" s="70"/>
      <c r="D3" s="33" t="s">
        <v>232</v>
      </c>
    </row>
    <row r="4" spans="1:12" s="31" customFormat="1" ht="12.75" x14ac:dyDescent="0.2">
      <c r="B4" s="32" t="s">
        <v>183</v>
      </c>
      <c r="C4" s="70"/>
      <c r="D4" s="33" t="s">
        <v>184</v>
      </c>
    </row>
    <row r="5" spans="1:12" s="31" customFormat="1" ht="12.75" x14ac:dyDescent="0.2">
      <c r="B5" s="32" t="s">
        <v>233</v>
      </c>
      <c r="C5" s="70"/>
      <c r="D5" s="71">
        <v>0.5</v>
      </c>
    </row>
    <row r="6" spans="1:12" s="31" customFormat="1" ht="12.75" x14ac:dyDescent="0.2">
      <c r="C6" s="70"/>
      <c r="D6" s="35"/>
    </row>
    <row r="7" spans="1:12" s="31" customFormat="1" ht="13.5" thickBot="1" x14ac:dyDescent="0.25">
      <c r="B7" s="32" t="s">
        <v>234</v>
      </c>
      <c r="C7" s="72"/>
      <c r="D7" s="35"/>
    </row>
    <row r="8" spans="1:12" s="31" customFormat="1" thickTop="1" thickBot="1" x14ac:dyDescent="0.25">
      <c r="B8" s="1038"/>
      <c r="C8" s="1039"/>
      <c r="D8" s="1039"/>
      <c r="E8" s="1040"/>
      <c r="F8" s="127" t="s">
        <v>189</v>
      </c>
      <c r="G8" s="127"/>
      <c r="H8" s="73"/>
    </row>
    <row r="9" spans="1:12" s="31" customFormat="1" thickTop="1" thickBot="1" x14ac:dyDescent="0.25">
      <c r="B9" s="1041" t="s">
        <v>235</v>
      </c>
      <c r="C9" s="1042"/>
      <c r="D9" s="1042"/>
      <c r="E9" s="1043"/>
      <c r="F9" s="128" t="s">
        <v>236</v>
      </c>
      <c r="G9" s="129"/>
      <c r="H9" s="73"/>
    </row>
    <row r="10" spans="1:12" s="31" customFormat="1" ht="13.5" thickTop="1" x14ac:dyDescent="0.2">
      <c r="B10" s="74"/>
      <c r="C10" s="75"/>
      <c r="D10" s="74"/>
      <c r="E10" s="76"/>
      <c r="F10" s="76"/>
      <c r="G10" s="47"/>
    </row>
    <row r="11" spans="1:12" s="31" customFormat="1" ht="12.75" x14ac:dyDescent="0.2">
      <c r="B11" s="32" t="s">
        <v>192</v>
      </c>
      <c r="C11" s="35" t="s">
        <v>237</v>
      </c>
    </row>
    <row r="12" spans="1:12" s="31" customFormat="1" ht="12.75" x14ac:dyDescent="0.2">
      <c r="B12" s="32"/>
      <c r="C12" s="35" t="s">
        <v>238</v>
      </c>
    </row>
    <row r="13" spans="1:12" s="31" customFormat="1" ht="12.75" x14ac:dyDescent="0.2">
      <c r="B13" s="32"/>
      <c r="C13" s="35"/>
    </row>
    <row r="14" spans="1:12" s="66" customFormat="1" ht="12.75" x14ac:dyDescent="0.2">
      <c r="B14" s="32" t="s">
        <v>239</v>
      </c>
      <c r="C14" s="77" t="s">
        <v>240</v>
      </c>
    </row>
    <row r="15" spans="1:12" s="66" customFormat="1" ht="12.75" x14ac:dyDescent="0.2">
      <c r="B15" s="32"/>
      <c r="C15" s="77" t="s">
        <v>241</v>
      </c>
    </row>
    <row r="16" spans="1:12" s="31" customFormat="1" ht="12.75" x14ac:dyDescent="0.2">
      <c r="A16" s="66"/>
      <c r="B16" s="66"/>
      <c r="C16" s="77"/>
      <c r="D16" s="36"/>
      <c r="E16" s="36"/>
      <c r="F16" s="66"/>
      <c r="G16" s="66"/>
      <c r="H16" s="66"/>
      <c r="I16" s="66"/>
      <c r="J16" s="66"/>
      <c r="K16" s="66"/>
      <c r="L16" s="66"/>
    </row>
    <row r="17" spans="1:18" s="31" customFormat="1" ht="12.75" x14ac:dyDescent="0.2">
      <c r="A17" s="78"/>
      <c r="B17" s="79" t="s">
        <v>242</v>
      </c>
      <c r="C17" s="80"/>
      <c r="D17" s="81"/>
      <c r="E17" s="81"/>
      <c r="F17" s="78"/>
      <c r="G17" s="78"/>
      <c r="H17" s="78"/>
      <c r="I17" s="78"/>
      <c r="J17" s="78"/>
      <c r="K17" s="78"/>
      <c r="L17" s="78"/>
    </row>
    <row r="18" spans="1:18" s="82" customFormat="1" ht="13.5" thickBot="1" x14ac:dyDescent="0.25">
      <c r="A18" s="31"/>
      <c r="B18" s="38"/>
      <c r="C18" s="70"/>
      <c r="D18" s="34"/>
      <c r="E18" s="34"/>
      <c r="F18" s="31"/>
      <c r="G18" s="31"/>
      <c r="H18" s="31"/>
      <c r="I18" s="31"/>
      <c r="J18" s="31"/>
      <c r="K18" s="31"/>
      <c r="L18" s="31"/>
      <c r="M18" s="31"/>
      <c r="N18" s="31"/>
      <c r="O18" s="31"/>
      <c r="P18" s="31"/>
      <c r="Q18" s="31"/>
      <c r="R18" s="31"/>
    </row>
    <row r="19" spans="1:18" s="82" customFormat="1" ht="15.75" customHeight="1" thickTop="1" x14ac:dyDescent="0.2">
      <c r="B19" s="1044" t="s">
        <v>243</v>
      </c>
      <c r="C19" s="1045"/>
      <c r="D19" s="1045"/>
      <c r="E19" s="1048" t="s">
        <v>244</v>
      </c>
      <c r="F19" s="1048"/>
      <c r="G19" s="1048"/>
      <c r="H19" s="1048"/>
      <c r="I19" s="1048"/>
      <c r="J19" s="1048"/>
      <c r="K19" s="1048"/>
      <c r="L19" s="1049"/>
      <c r="M19" s="44"/>
      <c r="N19" s="31"/>
      <c r="R19" s="83"/>
    </row>
    <row r="20" spans="1:18" s="82" customFormat="1" ht="16.5" customHeight="1" thickBot="1" x14ac:dyDescent="0.25">
      <c r="B20" s="1046"/>
      <c r="C20" s="1047"/>
      <c r="D20" s="1047"/>
      <c r="E20" s="84" t="s">
        <v>198</v>
      </c>
      <c r="F20" s="84" t="s">
        <v>245</v>
      </c>
      <c r="G20" s="84" t="s">
        <v>200</v>
      </c>
      <c r="H20" s="84" t="s">
        <v>246</v>
      </c>
      <c r="I20" s="84" t="s">
        <v>202</v>
      </c>
      <c r="J20" s="84" t="s">
        <v>203</v>
      </c>
      <c r="K20" s="84" t="s">
        <v>247</v>
      </c>
      <c r="L20" s="85" t="s">
        <v>248</v>
      </c>
      <c r="M20" s="44"/>
      <c r="N20" s="31"/>
      <c r="R20" s="83"/>
    </row>
    <row r="21" spans="1:18" s="82" customFormat="1" thickTop="1" thickBot="1" x14ac:dyDescent="0.25">
      <c r="B21" s="1018" t="s">
        <v>249</v>
      </c>
      <c r="C21" s="1019"/>
      <c r="D21" s="1019"/>
      <c r="E21" s="86">
        <v>20</v>
      </c>
      <c r="F21" s="87">
        <v>71</v>
      </c>
      <c r="G21" s="87">
        <v>5</v>
      </c>
      <c r="H21" s="86">
        <v>0.34</v>
      </c>
      <c r="I21" s="88">
        <v>1.08</v>
      </c>
      <c r="J21" s="89">
        <v>21500</v>
      </c>
      <c r="K21" s="90">
        <v>0.216</v>
      </c>
      <c r="L21" s="91">
        <v>0.26</v>
      </c>
      <c r="M21" s="44"/>
      <c r="N21" s="31"/>
      <c r="R21" s="83"/>
    </row>
    <row r="22" spans="1:18" s="82" customFormat="1" thickTop="1" x14ac:dyDescent="0.2">
      <c r="B22" s="92" t="s">
        <v>250</v>
      </c>
      <c r="C22" s="31"/>
      <c r="H22" s="83"/>
      <c r="P22" s="83"/>
    </row>
    <row r="23" spans="1:18" s="31" customFormat="1" ht="15.75" x14ac:dyDescent="0.3">
      <c r="A23" s="82"/>
      <c r="B23" s="93" t="s">
        <v>315</v>
      </c>
      <c r="D23" s="82"/>
      <c r="E23" s="82"/>
      <c r="F23" s="82"/>
      <c r="G23" s="82"/>
      <c r="H23" s="83"/>
      <c r="I23" s="82"/>
      <c r="J23" s="82"/>
      <c r="K23" s="82"/>
      <c r="L23" s="82"/>
      <c r="M23" s="82"/>
      <c r="N23" s="82"/>
      <c r="O23" s="82"/>
      <c r="P23" s="83"/>
      <c r="Q23" s="82"/>
      <c r="R23" s="82"/>
    </row>
    <row r="24" spans="1:18" s="31" customFormat="1" ht="12.75" x14ac:dyDescent="0.2">
      <c r="B24" s="45"/>
      <c r="C24" s="69"/>
    </row>
    <row r="25" spans="1:18" s="82" customFormat="1" ht="12.75" x14ac:dyDescent="0.2">
      <c r="A25" s="31"/>
      <c r="B25" s="94" t="s">
        <v>206</v>
      </c>
      <c r="C25" s="31"/>
      <c r="D25" s="31"/>
      <c r="E25" s="31"/>
      <c r="F25" s="31"/>
      <c r="G25" s="31"/>
      <c r="H25" s="31"/>
      <c r="I25" s="31"/>
      <c r="J25" s="31"/>
      <c r="K25" s="31"/>
      <c r="L25" s="31"/>
      <c r="M25" s="31"/>
      <c r="N25" s="31"/>
      <c r="O25" s="31"/>
      <c r="P25" s="31"/>
      <c r="Q25" s="31"/>
      <c r="R25" s="31"/>
    </row>
    <row r="26" spans="1:18" s="31" customFormat="1" ht="12.75" x14ac:dyDescent="0.2">
      <c r="A26" s="95"/>
      <c r="B26" s="45" t="s">
        <v>251</v>
      </c>
      <c r="D26" s="82"/>
      <c r="E26" s="82"/>
      <c r="F26" s="96"/>
      <c r="G26" s="82"/>
      <c r="H26" s="82"/>
      <c r="I26" s="82"/>
      <c r="J26" s="82"/>
      <c r="K26" s="82"/>
      <c r="L26" s="82"/>
      <c r="M26" s="82"/>
      <c r="N26" s="82"/>
      <c r="O26" s="82"/>
      <c r="P26" s="83"/>
      <c r="Q26" s="82"/>
      <c r="R26" s="82"/>
    </row>
    <row r="27" spans="1:18" s="31" customFormat="1" ht="12.75" x14ac:dyDescent="0.2">
      <c r="C27" s="69"/>
    </row>
    <row r="28" spans="1:18" s="31" customFormat="1" ht="12.75" x14ac:dyDescent="0.2">
      <c r="A28" s="97" t="s">
        <v>208</v>
      </c>
      <c r="B28" s="97"/>
      <c r="C28" s="98"/>
      <c r="D28" s="97"/>
      <c r="E28" s="97"/>
      <c r="F28" s="97"/>
      <c r="G28" s="97"/>
      <c r="H28" s="97"/>
      <c r="I28" s="97"/>
      <c r="J28" s="97"/>
      <c r="K28" s="97"/>
      <c r="L28" s="97"/>
    </row>
    <row r="29" spans="1:18" s="31" customFormat="1" ht="13.5" customHeight="1" thickBot="1" x14ac:dyDescent="0.25">
      <c r="A29" s="99"/>
      <c r="B29" s="99"/>
      <c r="C29" s="100"/>
      <c r="D29" s="99"/>
      <c r="E29" s="99"/>
      <c r="F29" s="99"/>
      <c r="G29" s="99"/>
      <c r="H29" s="99"/>
    </row>
    <row r="30" spans="1:18" s="31" customFormat="1" ht="28.5" customHeight="1" thickTop="1" x14ac:dyDescent="0.2">
      <c r="A30" s="31" t="s">
        <v>288</v>
      </c>
      <c r="B30" s="1020" t="s">
        <v>209</v>
      </c>
      <c r="C30" s="1022" t="s">
        <v>252</v>
      </c>
      <c r="D30" s="1024" t="s">
        <v>253</v>
      </c>
      <c r="E30" s="1026" t="s">
        <v>254</v>
      </c>
      <c r="F30" s="1026"/>
      <c r="G30" s="1026"/>
      <c r="H30" s="1026"/>
      <c r="I30" s="1026"/>
      <c r="J30" s="1026"/>
      <c r="K30" s="1026"/>
      <c r="L30" s="1027"/>
    </row>
    <row r="31" spans="1:18" s="31" customFormat="1" ht="15" thickBot="1" x14ac:dyDescent="0.25">
      <c r="B31" s="1021"/>
      <c r="C31" s="1023"/>
      <c r="D31" s="1025"/>
      <c r="E31" s="101" t="s">
        <v>216</v>
      </c>
      <c r="F31" s="101" t="s">
        <v>217</v>
      </c>
      <c r="G31" s="101" t="s">
        <v>200</v>
      </c>
      <c r="H31" s="101" t="s">
        <v>246</v>
      </c>
      <c r="I31" s="101" t="s">
        <v>218</v>
      </c>
      <c r="J31" s="101" t="s">
        <v>255</v>
      </c>
      <c r="K31" s="101" t="s">
        <v>256</v>
      </c>
      <c r="L31" s="102" t="s">
        <v>257</v>
      </c>
    </row>
    <row r="32" spans="1:18" s="31" customFormat="1" ht="13.5" thickTop="1" x14ac:dyDescent="0.2">
      <c r="A32" s="573">
        <v>8</v>
      </c>
      <c r="B32" s="103">
        <v>4076</v>
      </c>
      <c r="C32" s="104">
        <v>19</v>
      </c>
      <c r="D32" s="194">
        <f>C32*1000000/137000*200</f>
        <v>27737.226277372265</v>
      </c>
      <c r="E32" s="105">
        <f>E$21*$D32/1000</f>
        <v>554.74452554744528</v>
      </c>
      <c r="F32" s="105">
        <f>142*0.3*$D32/1000</f>
        <v>1181.6058394160584</v>
      </c>
      <c r="G32" s="105">
        <f t="shared" ref="G32:I35" si="0">G$21*$D32/1000</f>
        <v>138.68613138686132</v>
      </c>
      <c r="H32" s="105">
        <f t="shared" si="0"/>
        <v>9.4306569343065707</v>
      </c>
      <c r="I32" s="105">
        <f t="shared" si="0"/>
        <v>29.956204379562049</v>
      </c>
      <c r="J32" s="105">
        <v>269057.14285714284</v>
      </c>
      <c r="K32" s="105">
        <v>2.7030857142857143</v>
      </c>
      <c r="L32" s="106">
        <v>3.2537142857142864</v>
      </c>
    </row>
    <row r="33" spans="1:12" s="31" customFormat="1" ht="12.75" x14ac:dyDescent="0.2">
      <c r="A33" s="573">
        <v>9</v>
      </c>
      <c r="B33" s="107">
        <v>4076</v>
      </c>
      <c r="C33" s="108">
        <v>19</v>
      </c>
      <c r="D33" s="109">
        <f>C33*1000000/137000*200</f>
        <v>27737.226277372265</v>
      </c>
      <c r="E33" s="130">
        <f>E$21*$D33/1000</f>
        <v>554.74452554744528</v>
      </c>
      <c r="F33" s="130">
        <f>142*0.3*$D33/1000</f>
        <v>1181.6058394160584</v>
      </c>
      <c r="G33" s="130">
        <f t="shared" si="0"/>
        <v>138.68613138686132</v>
      </c>
      <c r="H33" s="130">
        <f t="shared" si="0"/>
        <v>9.4306569343065707</v>
      </c>
      <c r="I33" s="130">
        <f t="shared" si="0"/>
        <v>29.956204379562049</v>
      </c>
      <c r="J33" s="110">
        <v>1210757.142857143</v>
      </c>
      <c r="K33" s="110">
        <v>12.163885714285714</v>
      </c>
      <c r="L33" s="111">
        <v>14.641714285714286</v>
      </c>
    </row>
    <row r="34" spans="1:12" s="31" customFormat="1" ht="12.75" x14ac:dyDescent="0.2">
      <c r="A34" s="573">
        <v>10</v>
      </c>
      <c r="B34" s="107">
        <v>4076</v>
      </c>
      <c r="C34" s="108">
        <v>19</v>
      </c>
      <c r="D34" s="109">
        <f>C34*1000000/137000*200</f>
        <v>27737.226277372265</v>
      </c>
      <c r="E34" s="130">
        <f>E$21*$D34/1000</f>
        <v>554.74452554744528</v>
      </c>
      <c r="F34" s="130">
        <f>142*0.3*$D34/1000</f>
        <v>1181.6058394160584</v>
      </c>
      <c r="G34" s="130">
        <f t="shared" si="0"/>
        <v>138.68613138686132</v>
      </c>
      <c r="H34" s="130">
        <f t="shared" si="0"/>
        <v>9.4306569343065707</v>
      </c>
      <c r="I34" s="130">
        <f t="shared" si="0"/>
        <v>29.956204379562049</v>
      </c>
      <c r="J34" s="110">
        <v>269057.14285714284</v>
      </c>
      <c r="K34" s="110">
        <v>2.7030857142857143</v>
      </c>
      <c r="L34" s="111">
        <v>3.2537142857142864</v>
      </c>
    </row>
    <row r="35" spans="1:12" s="31" customFormat="1" ht="13.5" thickBot="1" x14ac:dyDescent="0.25">
      <c r="A35" s="31">
        <v>40</v>
      </c>
      <c r="B35" s="107">
        <v>5007</v>
      </c>
      <c r="C35" s="108">
        <v>2.6</v>
      </c>
      <c r="D35" s="109">
        <f>C35*1000000/140000*8760</f>
        <v>162685.71428571429</v>
      </c>
      <c r="E35" s="700">
        <f>E$21*$D35/1000</f>
        <v>3253.7142857142858</v>
      </c>
      <c r="F35" s="700">
        <f>F$21*$D35/1000</f>
        <v>11550.685714285715</v>
      </c>
      <c r="G35" s="700">
        <f t="shared" si="0"/>
        <v>813.42857142857144</v>
      </c>
      <c r="H35" s="700">
        <f t="shared" si="0"/>
        <v>55.313142857142864</v>
      </c>
      <c r="I35" s="700">
        <f t="shared" si="0"/>
        <v>175.70057142857144</v>
      </c>
      <c r="J35" s="110">
        <v>1748871.4285714286</v>
      </c>
      <c r="K35" s="110">
        <v>17.570057142857141</v>
      </c>
      <c r="L35" s="111">
        <v>21.149142857142859</v>
      </c>
    </row>
    <row r="36" spans="1:12" s="573" customFormat="1" ht="13.5" thickTop="1" x14ac:dyDescent="0.2">
      <c r="B36" s="107"/>
      <c r="C36" s="108"/>
      <c r="D36" s="701" t="s">
        <v>781</v>
      </c>
      <c r="E36" s="702">
        <f>SUM(E32:E35)/2000</f>
        <v>2.4589739311783103</v>
      </c>
      <c r="F36" s="702">
        <f t="shared" ref="F36:I36" si="1">SUM(F32:F35)/2000</f>
        <v>7.5477516162669449</v>
      </c>
      <c r="G36" s="702">
        <f t="shared" si="1"/>
        <v>0.61474348279457758</v>
      </c>
      <c r="H36" s="702">
        <f t="shared" si="1"/>
        <v>4.1802556830031291E-2</v>
      </c>
      <c r="I36" s="702">
        <f t="shared" si="1"/>
        <v>0.13278459228362879</v>
      </c>
      <c r="J36" s="110"/>
      <c r="K36" s="110"/>
      <c r="L36" s="111"/>
    </row>
    <row r="37" spans="1:12" s="573" customFormat="1" ht="21" customHeight="1" x14ac:dyDescent="0.2">
      <c r="B37" s="1050" t="s">
        <v>834</v>
      </c>
      <c r="C37" s="1051"/>
      <c r="D37" s="1051"/>
      <c r="E37" s="1051"/>
      <c r="F37" s="1051"/>
      <c r="G37" s="1051"/>
      <c r="H37" s="1051"/>
      <c r="I37" s="1052"/>
      <c r="J37" s="110"/>
      <c r="K37" s="110"/>
      <c r="L37" s="111"/>
    </row>
    <row r="38" spans="1:12" s="31" customFormat="1" ht="12.75" x14ac:dyDescent="0.2">
      <c r="B38" s="107">
        <v>5113</v>
      </c>
      <c r="C38" s="108">
        <v>0.1</v>
      </c>
      <c r="D38" s="704">
        <f>C38*500/140000*1000000</f>
        <v>357.14285714285717</v>
      </c>
      <c r="E38" s="130">
        <f t="shared" ref="E38:I47" si="2">E$21*$D38/1000</f>
        <v>7.1428571428571432</v>
      </c>
      <c r="F38" s="130">
        <f t="shared" si="2"/>
        <v>25.357142857142858</v>
      </c>
      <c r="G38" s="130">
        <f t="shared" si="2"/>
        <v>1.7857142857142858</v>
      </c>
      <c r="H38" s="130">
        <f t="shared" si="2"/>
        <v>0.12142857142857144</v>
      </c>
      <c r="I38" s="130">
        <f t="shared" si="2"/>
        <v>0.38571428571428579</v>
      </c>
      <c r="J38" s="110">
        <v>1748871.4285714286</v>
      </c>
      <c r="K38" s="110">
        <v>17.570057142857141</v>
      </c>
      <c r="L38" s="111">
        <v>21.149142857142859</v>
      </c>
    </row>
    <row r="39" spans="1:12" s="31" customFormat="1" ht="12.75" x14ac:dyDescent="0.2">
      <c r="B39" s="107">
        <v>5119</v>
      </c>
      <c r="C39" s="108">
        <v>0.1</v>
      </c>
      <c r="D39" s="704">
        <f t="shared" ref="D39:D60" si="3">C39*500/140000*1000000</f>
        <v>357.14285714285717</v>
      </c>
      <c r="E39" s="130">
        <f t="shared" si="2"/>
        <v>7.1428571428571432</v>
      </c>
      <c r="F39" s="130">
        <f t="shared" si="2"/>
        <v>25.357142857142858</v>
      </c>
      <c r="G39" s="130">
        <f t="shared" si="2"/>
        <v>1.7857142857142858</v>
      </c>
      <c r="H39" s="130">
        <f t="shared" si="2"/>
        <v>0.12142857142857144</v>
      </c>
      <c r="I39" s="130">
        <f t="shared" si="2"/>
        <v>0.38571428571428579</v>
      </c>
      <c r="J39" s="110">
        <v>269057.14285714284</v>
      </c>
      <c r="K39" s="110">
        <v>2.7030857142857143</v>
      </c>
      <c r="L39" s="111">
        <v>3.2537142857142864</v>
      </c>
    </row>
    <row r="40" spans="1:12" s="31" customFormat="1" ht="12.75" x14ac:dyDescent="0.2">
      <c r="B40" s="107">
        <v>5175</v>
      </c>
      <c r="C40" s="108">
        <v>0.1</v>
      </c>
      <c r="D40" s="704">
        <f t="shared" si="3"/>
        <v>357.14285714285717</v>
      </c>
      <c r="E40" s="130">
        <f t="shared" si="2"/>
        <v>7.1428571428571432</v>
      </c>
      <c r="F40" s="130">
        <f t="shared" si="2"/>
        <v>25.357142857142858</v>
      </c>
      <c r="G40" s="130">
        <f t="shared" si="2"/>
        <v>1.7857142857142858</v>
      </c>
      <c r="H40" s="130">
        <f t="shared" si="2"/>
        <v>0.12142857142857144</v>
      </c>
      <c r="I40" s="130">
        <f t="shared" si="2"/>
        <v>0.38571428571428579</v>
      </c>
      <c r="J40" s="110">
        <v>538114.28571428568</v>
      </c>
      <c r="K40" s="110">
        <v>5.4061714285714286</v>
      </c>
      <c r="L40" s="111">
        <v>6.5074285714285729</v>
      </c>
    </row>
    <row r="41" spans="1:12" s="31" customFormat="1" ht="12.75" x14ac:dyDescent="0.2">
      <c r="B41" s="107" t="s">
        <v>258</v>
      </c>
      <c r="C41" s="108">
        <v>0.1</v>
      </c>
      <c r="D41" s="704">
        <f t="shared" si="3"/>
        <v>357.14285714285717</v>
      </c>
      <c r="E41" s="130">
        <f t="shared" si="2"/>
        <v>7.1428571428571432</v>
      </c>
      <c r="F41" s="130">
        <f t="shared" si="2"/>
        <v>25.357142857142858</v>
      </c>
      <c r="G41" s="130">
        <f t="shared" si="2"/>
        <v>1.7857142857142858</v>
      </c>
      <c r="H41" s="130">
        <f t="shared" si="2"/>
        <v>0.12142857142857144</v>
      </c>
      <c r="I41" s="130">
        <f t="shared" si="2"/>
        <v>0.38571428571428579</v>
      </c>
      <c r="J41" s="110">
        <v>538114.28571428568</v>
      </c>
      <c r="K41" s="110">
        <v>5.4061714285714286</v>
      </c>
      <c r="L41" s="111">
        <v>6.5074285714285729</v>
      </c>
    </row>
    <row r="42" spans="1:12" s="31" customFormat="1" ht="12.75" x14ac:dyDescent="0.2">
      <c r="A42" s="577"/>
      <c r="B42" s="107">
        <v>1171</v>
      </c>
      <c r="C42" s="108">
        <v>0.2</v>
      </c>
      <c r="D42" s="704">
        <f t="shared" si="3"/>
        <v>714.28571428571433</v>
      </c>
      <c r="E42" s="130">
        <f t="shared" si="2"/>
        <v>14.285714285714286</v>
      </c>
      <c r="F42" s="130">
        <f t="shared" si="2"/>
        <v>50.714285714285715</v>
      </c>
      <c r="G42" s="130">
        <f t="shared" si="2"/>
        <v>3.5714285714285716</v>
      </c>
      <c r="H42" s="130">
        <f t="shared" si="2"/>
        <v>0.24285714285714288</v>
      </c>
      <c r="I42" s="130">
        <f t="shared" si="2"/>
        <v>0.77142857142857157</v>
      </c>
      <c r="J42" s="110">
        <v>1076228.5714285714</v>
      </c>
      <c r="K42" s="110">
        <v>10.812342857142857</v>
      </c>
      <c r="L42" s="111">
        <v>13.014857142857146</v>
      </c>
    </row>
    <row r="43" spans="1:12" s="31" customFormat="1" ht="12.75" x14ac:dyDescent="0.2">
      <c r="A43" s="577"/>
      <c r="B43" s="107">
        <v>1172</v>
      </c>
      <c r="C43" s="108">
        <v>0.2</v>
      </c>
      <c r="D43" s="704">
        <f t="shared" si="3"/>
        <v>714.28571428571433</v>
      </c>
      <c r="E43" s="130">
        <f t="shared" si="2"/>
        <v>14.285714285714286</v>
      </c>
      <c r="F43" s="130">
        <f t="shared" si="2"/>
        <v>50.714285714285715</v>
      </c>
      <c r="G43" s="130">
        <f t="shared" si="2"/>
        <v>3.5714285714285716</v>
      </c>
      <c r="H43" s="130">
        <f t="shared" si="2"/>
        <v>0.24285714285714288</v>
      </c>
      <c r="I43" s="130">
        <f t="shared" si="2"/>
        <v>0.77142857142857157</v>
      </c>
      <c r="J43" s="110">
        <v>1076228.5714285714</v>
      </c>
      <c r="K43" s="110">
        <v>10.812342857142857</v>
      </c>
      <c r="L43" s="111">
        <v>13.014857142857146</v>
      </c>
    </row>
    <row r="44" spans="1:12" s="31" customFormat="1" ht="12.75" x14ac:dyDescent="0.2">
      <c r="B44" s="107">
        <v>1191</v>
      </c>
      <c r="C44" s="108">
        <v>0.2</v>
      </c>
      <c r="D44" s="704">
        <f t="shared" si="3"/>
        <v>714.28571428571433</v>
      </c>
      <c r="E44" s="130">
        <f t="shared" si="2"/>
        <v>14.285714285714286</v>
      </c>
      <c r="F44" s="130">
        <f t="shared" si="2"/>
        <v>50.714285714285715</v>
      </c>
      <c r="G44" s="130">
        <f t="shared" si="2"/>
        <v>3.5714285714285716</v>
      </c>
      <c r="H44" s="130">
        <f t="shared" si="2"/>
        <v>0.24285714285714288</v>
      </c>
      <c r="I44" s="130">
        <f t="shared" si="2"/>
        <v>0.77142857142857157</v>
      </c>
      <c r="J44" s="110">
        <v>403585.71428571432</v>
      </c>
      <c r="K44" s="110">
        <v>4.0546285714285721</v>
      </c>
      <c r="L44" s="111">
        <v>4.8805714285714297</v>
      </c>
    </row>
    <row r="45" spans="1:12" s="31" customFormat="1" ht="12.75" x14ac:dyDescent="0.2">
      <c r="B45" s="107">
        <v>5009</v>
      </c>
      <c r="C45" s="108">
        <v>0.2</v>
      </c>
      <c r="D45" s="704">
        <f t="shared" si="3"/>
        <v>714.28571428571433</v>
      </c>
      <c r="E45" s="130">
        <f t="shared" si="2"/>
        <v>14.285714285714286</v>
      </c>
      <c r="F45" s="130">
        <f t="shared" si="2"/>
        <v>50.714285714285715</v>
      </c>
      <c r="G45" s="130">
        <f t="shared" si="2"/>
        <v>3.5714285714285716</v>
      </c>
      <c r="H45" s="130">
        <f t="shared" si="2"/>
        <v>0.24285714285714288</v>
      </c>
      <c r="I45" s="130">
        <f t="shared" si="2"/>
        <v>0.77142857142857157</v>
      </c>
      <c r="J45" s="110">
        <v>596350.36496350355</v>
      </c>
      <c r="K45" s="110">
        <v>5.9912408759124078</v>
      </c>
      <c r="L45" s="111">
        <v>7.211678832116788</v>
      </c>
    </row>
    <row r="46" spans="1:12" s="31" customFormat="1" ht="12.75" x14ac:dyDescent="0.2">
      <c r="B46" s="107">
        <v>5109</v>
      </c>
      <c r="C46" s="108">
        <v>0.2</v>
      </c>
      <c r="D46" s="704">
        <f t="shared" si="3"/>
        <v>714.28571428571433</v>
      </c>
      <c r="E46" s="130">
        <f t="shared" si="2"/>
        <v>14.285714285714286</v>
      </c>
      <c r="F46" s="130">
        <f t="shared" si="2"/>
        <v>50.714285714285715</v>
      </c>
      <c r="G46" s="130">
        <f t="shared" si="2"/>
        <v>3.5714285714285716</v>
      </c>
      <c r="H46" s="130">
        <f t="shared" si="2"/>
        <v>0.24285714285714288</v>
      </c>
      <c r="I46" s="130">
        <f t="shared" si="2"/>
        <v>0.77142857142857157</v>
      </c>
      <c r="J46" s="110">
        <v>596350.36496350355</v>
      </c>
      <c r="K46" s="110">
        <v>5.9912408759124078</v>
      </c>
      <c r="L46" s="111">
        <v>7.211678832116788</v>
      </c>
    </row>
    <row r="47" spans="1:12" s="31" customFormat="1" ht="12.75" x14ac:dyDescent="0.2">
      <c r="B47" s="107">
        <v>5110</v>
      </c>
      <c r="C47" s="108">
        <v>0.2</v>
      </c>
      <c r="D47" s="704">
        <f t="shared" si="3"/>
        <v>714.28571428571433</v>
      </c>
      <c r="E47" s="130">
        <f t="shared" si="2"/>
        <v>14.285714285714286</v>
      </c>
      <c r="F47" s="130">
        <f t="shared" si="2"/>
        <v>50.714285714285715</v>
      </c>
      <c r="G47" s="130">
        <f t="shared" si="2"/>
        <v>3.5714285714285716</v>
      </c>
      <c r="H47" s="130">
        <f t="shared" si="2"/>
        <v>0.24285714285714288</v>
      </c>
      <c r="I47" s="130">
        <f t="shared" si="2"/>
        <v>0.77142857142857157</v>
      </c>
      <c r="J47" s="110">
        <v>596350.36496350355</v>
      </c>
      <c r="K47" s="110">
        <v>5.9912408759124078</v>
      </c>
      <c r="L47" s="111">
        <v>7.211678832116788</v>
      </c>
    </row>
    <row r="48" spans="1:12" s="31" customFormat="1" ht="12.75" x14ac:dyDescent="0.2">
      <c r="B48" s="107">
        <v>2400</v>
      </c>
      <c r="C48" s="108">
        <v>0.3</v>
      </c>
      <c r="D48" s="704">
        <f t="shared" si="3"/>
        <v>1071.4285714285716</v>
      </c>
      <c r="E48" s="130">
        <f t="shared" ref="E48:I60" si="4">E$21*$D48/1000</f>
        <v>21.428571428571431</v>
      </c>
      <c r="F48" s="130">
        <f t="shared" si="4"/>
        <v>76.071428571428584</v>
      </c>
      <c r="G48" s="130">
        <f t="shared" si="4"/>
        <v>5.3571428571428577</v>
      </c>
      <c r="H48" s="130">
        <f t="shared" si="4"/>
        <v>0.36428571428571432</v>
      </c>
      <c r="I48" s="130">
        <f t="shared" si="4"/>
        <v>1.1571428571428573</v>
      </c>
      <c r="J48" s="110">
        <v>403585.71428571432</v>
      </c>
      <c r="K48" s="110">
        <v>4.0546285714285721</v>
      </c>
      <c r="L48" s="111">
        <v>4.8805714285714297</v>
      </c>
    </row>
    <row r="49" spans="1:12" s="31" customFormat="1" ht="12.75" x14ac:dyDescent="0.2">
      <c r="B49" s="107">
        <v>4321</v>
      </c>
      <c r="C49" s="108">
        <v>0.3</v>
      </c>
      <c r="D49" s="704">
        <f t="shared" si="3"/>
        <v>1071.4285714285716</v>
      </c>
      <c r="E49" s="130">
        <f t="shared" si="4"/>
        <v>21.428571428571431</v>
      </c>
      <c r="F49" s="130">
        <f t="shared" si="4"/>
        <v>76.071428571428584</v>
      </c>
      <c r="G49" s="130">
        <f t="shared" si="4"/>
        <v>5.3571428571428577</v>
      </c>
      <c r="H49" s="130">
        <f t="shared" si="4"/>
        <v>0.36428571428571432</v>
      </c>
      <c r="I49" s="130">
        <f t="shared" si="4"/>
        <v>1.1571428571428573</v>
      </c>
      <c r="J49" s="110">
        <v>403585.71428571432</v>
      </c>
      <c r="K49" s="110">
        <v>4.0546285714285721</v>
      </c>
      <c r="L49" s="111">
        <v>4.8805714285714297</v>
      </c>
    </row>
    <row r="50" spans="1:12" s="31" customFormat="1" ht="12.75" x14ac:dyDescent="0.2">
      <c r="B50" s="107">
        <v>4322</v>
      </c>
      <c r="C50" s="108">
        <v>0.3</v>
      </c>
      <c r="D50" s="704">
        <f t="shared" si="3"/>
        <v>1071.4285714285716</v>
      </c>
      <c r="E50" s="130">
        <f t="shared" si="4"/>
        <v>21.428571428571431</v>
      </c>
      <c r="F50" s="130">
        <f t="shared" si="4"/>
        <v>76.071428571428584</v>
      </c>
      <c r="G50" s="130">
        <f t="shared" si="4"/>
        <v>5.3571428571428577</v>
      </c>
      <c r="H50" s="130">
        <f t="shared" si="4"/>
        <v>0.36428571428571432</v>
      </c>
      <c r="I50" s="130">
        <f t="shared" si="4"/>
        <v>1.1571428571428573</v>
      </c>
      <c r="J50" s="110">
        <v>403585.71428571432</v>
      </c>
      <c r="K50" s="110">
        <v>4.0546285714285721</v>
      </c>
      <c r="L50" s="111">
        <v>4.8805714285714297</v>
      </c>
    </row>
    <row r="51" spans="1:12" s="31" customFormat="1" ht="12.75" x14ac:dyDescent="0.2">
      <c r="B51" s="107">
        <v>5003</v>
      </c>
      <c r="C51" s="108">
        <v>0.3</v>
      </c>
      <c r="D51" s="704">
        <f t="shared" si="3"/>
        <v>1071.4285714285716</v>
      </c>
      <c r="E51" s="130">
        <f t="shared" si="4"/>
        <v>21.428571428571431</v>
      </c>
      <c r="F51" s="130">
        <f t="shared" si="4"/>
        <v>76.071428571428584</v>
      </c>
      <c r="G51" s="130">
        <f t="shared" si="4"/>
        <v>5.3571428571428577</v>
      </c>
      <c r="H51" s="130">
        <f t="shared" si="4"/>
        <v>0.36428571428571432</v>
      </c>
      <c r="I51" s="130">
        <f t="shared" si="4"/>
        <v>1.1571428571428573</v>
      </c>
      <c r="J51" s="110">
        <v>3363214.2857142864</v>
      </c>
      <c r="K51" s="110">
        <v>33.788571428571437</v>
      </c>
      <c r="L51" s="111">
        <v>40.671428571428578</v>
      </c>
    </row>
    <row r="52" spans="1:12" s="31" customFormat="1" ht="12.75" x14ac:dyDescent="0.2">
      <c r="B52" s="107">
        <v>2092</v>
      </c>
      <c r="C52" s="108">
        <v>0.4</v>
      </c>
      <c r="D52" s="704">
        <f t="shared" si="3"/>
        <v>1428.5714285714287</v>
      </c>
      <c r="E52" s="130">
        <f t="shared" si="4"/>
        <v>28.571428571428573</v>
      </c>
      <c r="F52" s="130">
        <f t="shared" si="4"/>
        <v>101.42857142857143</v>
      </c>
      <c r="G52" s="130">
        <f t="shared" si="4"/>
        <v>7.1428571428571432</v>
      </c>
      <c r="H52" s="130">
        <f t="shared" si="4"/>
        <v>0.48571428571428577</v>
      </c>
      <c r="I52" s="130">
        <f t="shared" si="4"/>
        <v>1.5428571428571431</v>
      </c>
      <c r="J52" s="110">
        <v>538114.28571428568</v>
      </c>
      <c r="K52" s="110">
        <v>5.4061714285714286</v>
      </c>
      <c r="L52" s="111">
        <v>6.5074285714285729</v>
      </c>
    </row>
    <row r="53" spans="1:12" s="31" customFormat="1" ht="12.75" x14ac:dyDescent="0.2">
      <c r="B53" s="107">
        <v>2092</v>
      </c>
      <c r="C53" s="108">
        <v>0.4</v>
      </c>
      <c r="D53" s="704">
        <f t="shared" si="3"/>
        <v>1428.5714285714287</v>
      </c>
      <c r="E53" s="130">
        <f t="shared" si="4"/>
        <v>28.571428571428573</v>
      </c>
      <c r="F53" s="130">
        <f t="shared" si="4"/>
        <v>101.42857142857143</v>
      </c>
      <c r="G53" s="130">
        <f t="shared" si="4"/>
        <v>7.1428571428571432</v>
      </c>
      <c r="H53" s="130">
        <f t="shared" si="4"/>
        <v>0.48571428571428577</v>
      </c>
      <c r="I53" s="130">
        <f t="shared" si="4"/>
        <v>1.5428571428571431</v>
      </c>
      <c r="J53" s="110">
        <v>269057.14285714284</v>
      </c>
      <c r="K53" s="110">
        <v>2.7030857142857143</v>
      </c>
      <c r="L53" s="111">
        <v>3.2537142857142864</v>
      </c>
    </row>
    <row r="54" spans="1:12" s="31" customFormat="1" ht="12.75" x14ac:dyDescent="0.2">
      <c r="B54" s="107">
        <v>5008</v>
      </c>
      <c r="C54" s="108">
        <v>0.4</v>
      </c>
      <c r="D54" s="704">
        <f t="shared" si="3"/>
        <v>1428.5714285714287</v>
      </c>
      <c r="E54" s="130">
        <f t="shared" si="4"/>
        <v>28.571428571428573</v>
      </c>
      <c r="F54" s="130">
        <f t="shared" si="4"/>
        <v>101.42857142857143</v>
      </c>
      <c r="G54" s="130">
        <f t="shared" si="4"/>
        <v>7.1428571428571432</v>
      </c>
      <c r="H54" s="130">
        <f t="shared" si="4"/>
        <v>0.48571428571428577</v>
      </c>
      <c r="I54" s="130">
        <f t="shared" si="4"/>
        <v>1.5428571428571431</v>
      </c>
      <c r="J54" s="110">
        <v>1210757.142857143</v>
      </c>
      <c r="K54" s="110">
        <v>12.163885714285714</v>
      </c>
      <c r="L54" s="111">
        <v>14.641714285714286</v>
      </c>
    </row>
    <row r="55" spans="1:12" s="31" customFormat="1" ht="12.75" x14ac:dyDescent="0.2">
      <c r="B55" s="107">
        <v>2096</v>
      </c>
      <c r="C55" s="108">
        <v>0.8</v>
      </c>
      <c r="D55" s="704">
        <f t="shared" si="3"/>
        <v>2857.1428571428573</v>
      </c>
      <c r="E55" s="130">
        <f t="shared" si="4"/>
        <v>57.142857142857146</v>
      </c>
      <c r="F55" s="130">
        <f t="shared" si="4"/>
        <v>202.85714285714286</v>
      </c>
      <c r="G55" s="130">
        <f t="shared" si="4"/>
        <v>14.285714285714286</v>
      </c>
      <c r="H55" s="130">
        <f t="shared" si="4"/>
        <v>0.97142857142857153</v>
      </c>
      <c r="I55" s="130">
        <f t="shared" si="4"/>
        <v>3.0857142857142863</v>
      </c>
      <c r="J55" s="110">
        <v>269057.14285714284</v>
      </c>
      <c r="K55" s="110">
        <v>2.7030857142857143</v>
      </c>
      <c r="L55" s="111">
        <v>3.2537142857142864</v>
      </c>
    </row>
    <row r="56" spans="1:12" s="31" customFormat="1" ht="12.75" x14ac:dyDescent="0.2">
      <c r="B56" s="107">
        <v>2096</v>
      </c>
      <c r="C56" s="108">
        <v>0.8</v>
      </c>
      <c r="D56" s="704">
        <f t="shared" si="3"/>
        <v>2857.1428571428573</v>
      </c>
      <c r="E56" s="130">
        <f t="shared" si="4"/>
        <v>57.142857142857146</v>
      </c>
      <c r="F56" s="130">
        <f t="shared" si="4"/>
        <v>202.85714285714286</v>
      </c>
      <c r="G56" s="130">
        <f t="shared" si="4"/>
        <v>14.285714285714286</v>
      </c>
      <c r="H56" s="130">
        <f t="shared" si="4"/>
        <v>0.97142857142857153</v>
      </c>
      <c r="I56" s="130">
        <f t="shared" si="4"/>
        <v>3.0857142857142863</v>
      </c>
      <c r="J56" s="110">
        <v>269057.14285714284</v>
      </c>
      <c r="K56" s="110">
        <v>2.7030857142857143</v>
      </c>
      <c r="L56" s="111">
        <v>3.2537142857142864</v>
      </c>
    </row>
    <row r="57" spans="1:12" s="31" customFormat="1" ht="12.75" x14ac:dyDescent="0.2">
      <c r="A57" s="577"/>
      <c r="B57" s="107">
        <v>1172</v>
      </c>
      <c r="C57" s="108">
        <v>0.9</v>
      </c>
      <c r="D57" s="704">
        <f t="shared" si="3"/>
        <v>3214.2857142857142</v>
      </c>
      <c r="E57" s="130">
        <f t="shared" si="4"/>
        <v>64.285714285714278</v>
      </c>
      <c r="F57" s="130">
        <f t="shared" si="4"/>
        <v>228.21428571428572</v>
      </c>
      <c r="G57" s="130">
        <f t="shared" si="4"/>
        <v>16.071428571428569</v>
      </c>
      <c r="H57" s="130">
        <f t="shared" si="4"/>
        <v>1.092857142857143</v>
      </c>
      <c r="I57" s="130">
        <f t="shared" si="4"/>
        <v>3.4714285714285715</v>
      </c>
      <c r="J57" s="110">
        <v>134528.57142857142</v>
      </c>
      <c r="K57" s="110">
        <v>1.3515428571428572</v>
      </c>
      <c r="L57" s="111">
        <v>1.6268571428571432</v>
      </c>
    </row>
    <row r="58" spans="1:12" s="31" customFormat="1" ht="12.75" x14ac:dyDescent="0.2">
      <c r="B58" s="107">
        <v>5010</v>
      </c>
      <c r="C58" s="108">
        <v>0.9</v>
      </c>
      <c r="D58" s="704">
        <f t="shared" si="3"/>
        <v>3214.2857142857142</v>
      </c>
      <c r="E58" s="130">
        <f t="shared" si="4"/>
        <v>64.285714285714278</v>
      </c>
      <c r="F58" s="130">
        <f t="shared" si="4"/>
        <v>228.21428571428572</v>
      </c>
      <c r="G58" s="130">
        <f t="shared" si="4"/>
        <v>16.071428571428569</v>
      </c>
      <c r="H58" s="130">
        <f t="shared" si="4"/>
        <v>1.092857142857143</v>
      </c>
      <c r="I58" s="130">
        <f t="shared" si="4"/>
        <v>3.4714285714285715</v>
      </c>
      <c r="J58" s="110">
        <v>134528.57142857142</v>
      </c>
      <c r="K58" s="110">
        <v>1.3515428571428572</v>
      </c>
      <c r="L58" s="111">
        <v>1.6268571428571432</v>
      </c>
    </row>
    <row r="59" spans="1:12" s="112" customFormat="1" x14ac:dyDescent="0.2">
      <c r="A59" s="31"/>
      <c r="B59" s="107">
        <v>1185</v>
      </c>
      <c r="C59" s="108">
        <v>1.3</v>
      </c>
      <c r="D59" s="704">
        <f t="shared" si="3"/>
        <v>4642.8571428571431</v>
      </c>
      <c r="E59" s="130">
        <f t="shared" si="4"/>
        <v>92.857142857142875</v>
      </c>
      <c r="F59" s="130">
        <f t="shared" si="4"/>
        <v>329.64285714285717</v>
      </c>
      <c r="G59" s="130">
        <f t="shared" si="4"/>
        <v>23.214285714285719</v>
      </c>
      <c r="H59" s="130">
        <f t="shared" si="4"/>
        <v>1.5785714285714287</v>
      </c>
      <c r="I59" s="130">
        <f t="shared" si="4"/>
        <v>5.0142857142857142</v>
      </c>
      <c r="J59" s="110">
        <v>134528.57142857142</v>
      </c>
      <c r="K59" s="110">
        <v>1.3515428571428572</v>
      </c>
      <c r="L59" s="111">
        <v>1.6268571428571432</v>
      </c>
    </row>
    <row r="60" spans="1:12" s="112" customFormat="1" ht="15" thickBot="1" x14ac:dyDescent="0.25">
      <c r="A60" s="31"/>
      <c r="B60" s="113">
        <v>1185</v>
      </c>
      <c r="C60" s="114">
        <v>1.3</v>
      </c>
      <c r="D60" s="704">
        <f t="shared" si="3"/>
        <v>4642.8571428571431</v>
      </c>
      <c r="E60" s="131">
        <f t="shared" si="4"/>
        <v>92.857142857142875</v>
      </c>
      <c r="F60" s="131">
        <f t="shared" si="4"/>
        <v>329.64285714285717</v>
      </c>
      <c r="G60" s="131">
        <f t="shared" si="4"/>
        <v>23.214285714285719</v>
      </c>
      <c r="H60" s="131">
        <f t="shared" si="4"/>
        <v>1.5785714285714287</v>
      </c>
      <c r="I60" s="131">
        <f t="shared" si="4"/>
        <v>5.0142857142857142</v>
      </c>
      <c r="J60" s="110">
        <v>134528.57142857142</v>
      </c>
      <c r="K60" s="110">
        <v>1.3515428571428572</v>
      </c>
      <c r="L60" s="111">
        <v>1.6268571428571432</v>
      </c>
    </row>
    <row r="61" spans="1:12" s="112" customFormat="1" ht="15" thickTop="1" x14ac:dyDescent="0.2">
      <c r="A61" s="573"/>
      <c r="B61" s="698"/>
      <c r="C61" s="699"/>
      <c r="D61" s="703" t="s">
        <v>782</v>
      </c>
      <c r="E61" s="703">
        <f>SUM(E38:E60)/2000</f>
        <v>0.35714285714285721</v>
      </c>
      <c r="F61" s="703">
        <f t="shared" ref="F61:I61" si="5">SUM(F38:F60)/2000</f>
        <v>1.267857142857143</v>
      </c>
      <c r="G61" s="703">
        <f t="shared" si="5"/>
        <v>8.9285714285714302E-2</v>
      </c>
      <c r="H61" s="703">
        <f t="shared" si="5"/>
        <v>6.0714285714285731E-3</v>
      </c>
      <c r="I61" s="703">
        <f t="shared" si="5"/>
        <v>1.9285714285714285E-2</v>
      </c>
      <c r="J61" s="110"/>
      <c r="K61" s="110"/>
      <c r="L61" s="111"/>
    </row>
    <row r="62" spans="1:12" s="112" customFormat="1" ht="15" thickBot="1" x14ac:dyDescent="0.25">
      <c r="A62" s="31"/>
      <c r="B62" s="1028" t="s">
        <v>259</v>
      </c>
      <c r="C62" s="1029"/>
      <c r="D62" s="1029"/>
      <c r="E62" s="115">
        <f>E36+E61</f>
        <v>2.8161167883211675</v>
      </c>
      <c r="F62" s="115">
        <f t="shared" ref="F62:I62" si="6">F36+F61</f>
        <v>8.8156087591240873</v>
      </c>
      <c r="G62" s="115">
        <f t="shared" si="6"/>
        <v>0.70402919708029188</v>
      </c>
      <c r="H62" s="115">
        <f t="shared" si="6"/>
        <v>4.7873985401459866E-2</v>
      </c>
      <c r="I62" s="115">
        <f t="shared" si="6"/>
        <v>0.15207030656934309</v>
      </c>
      <c r="J62" s="115">
        <v>9302.5612617309671</v>
      </c>
      <c r="K62" s="115">
        <v>9.3458289885297183E-2</v>
      </c>
      <c r="L62" s="116">
        <v>0.11249608967674667</v>
      </c>
    </row>
    <row r="63" spans="1:12" s="112" customFormat="1" ht="15" hidden="1" thickTop="1" x14ac:dyDescent="0.2">
      <c r="A63" s="31"/>
      <c r="B63" s="1030" t="s">
        <v>260</v>
      </c>
      <c r="C63" s="1031"/>
      <c r="D63" s="1031"/>
      <c r="E63" s="1031"/>
      <c r="F63" s="1031"/>
      <c r="G63" s="1031"/>
      <c r="H63" s="117">
        <v>227.7</v>
      </c>
      <c r="I63" s="1032"/>
      <c r="J63" s="1033"/>
      <c r="K63" s="1033"/>
      <c r="L63" s="1033"/>
    </row>
    <row r="64" spans="1:12" s="112" customFormat="1" ht="15" hidden="1" thickBot="1" x14ac:dyDescent="0.25">
      <c r="A64" s="31"/>
      <c r="B64" s="1034" t="s">
        <v>261</v>
      </c>
      <c r="C64" s="1035"/>
      <c r="D64" s="1035"/>
      <c r="E64" s="1035"/>
      <c r="F64" s="1035"/>
      <c r="G64" s="1035"/>
      <c r="H64" s="118">
        <v>0.11384999999999999</v>
      </c>
      <c r="I64" s="1036"/>
      <c r="J64" s="1037"/>
      <c r="K64" s="1037"/>
      <c r="L64" s="1037"/>
    </row>
    <row r="65" spans="1:12" s="112" customFormat="1" ht="15" thickTop="1" x14ac:dyDescent="0.2">
      <c r="A65" s="119"/>
      <c r="B65" s="120" t="s">
        <v>262</v>
      </c>
      <c r="C65" s="121"/>
      <c r="F65" s="122"/>
      <c r="G65" s="122"/>
      <c r="H65" s="123"/>
      <c r="I65" s="122"/>
    </row>
    <row r="66" spans="1:12" s="112" customFormat="1" x14ac:dyDescent="0.2">
      <c r="B66" s="1017" t="s">
        <v>263</v>
      </c>
      <c r="C66" s="1017"/>
      <c r="D66" s="1017"/>
      <c r="E66" s="1017"/>
      <c r="F66" s="1017"/>
      <c r="G66" s="1017"/>
      <c r="H66" s="1017"/>
      <c r="I66" s="1017"/>
      <c r="J66" s="1017"/>
      <c r="K66" s="1017"/>
      <c r="L66" s="1017"/>
    </row>
    <row r="67" spans="1:12" s="112" customFormat="1" x14ac:dyDescent="0.2">
      <c r="C67" s="121"/>
    </row>
    <row r="68" spans="1:12" s="112" customFormat="1" x14ac:dyDescent="0.2">
      <c r="B68" s="119" t="s">
        <v>1003</v>
      </c>
      <c r="C68" s="121"/>
    </row>
    <row r="69" spans="1:12" s="112" customFormat="1" x14ac:dyDescent="0.2">
      <c r="C69" s="124"/>
      <c r="D69" s="121"/>
    </row>
    <row r="70" spans="1:12" s="112" customFormat="1" x14ac:dyDescent="0.2">
      <c r="C70" s="121"/>
    </row>
    <row r="71" spans="1:12" s="112" customFormat="1" x14ac:dyDescent="0.2">
      <c r="C71" s="121"/>
    </row>
    <row r="72" spans="1:12" s="112" customFormat="1" x14ac:dyDescent="0.2">
      <c r="C72" s="121"/>
    </row>
    <row r="73" spans="1:12" s="112" customFormat="1" x14ac:dyDescent="0.2">
      <c r="C73" s="121"/>
    </row>
    <row r="74" spans="1:12" s="112" customFormat="1" x14ac:dyDescent="0.2">
      <c r="C74" s="121"/>
    </row>
    <row r="75" spans="1:12" s="112" customFormat="1" x14ac:dyDescent="0.2">
      <c r="C75" s="121"/>
    </row>
    <row r="76" spans="1:12" s="112" customFormat="1" x14ac:dyDescent="0.2">
      <c r="C76" s="121"/>
    </row>
    <row r="77" spans="1:12" s="112" customFormat="1" x14ac:dyDescent="0.2">
      <c r="C77" s="121"/>
    </row>
    <row r="78" spans="1:12" s="112" customFormat="1" x14ac:dyDescent="0.2">
      <c r="C78" s="121"/>
    </row>
    <row r="79" spans="1:12" s="112" customFormat="1" x14ac:dyDescent="0.2">
      <c r="C79" s="121"/>
    </row>
    <row r="80" spans="1:12" s="112" customFormat="1" x14ac:dyDescent="0.2">
      <c r="C80" s="121"/>
    </row>
    <row r="81" spans="3:3" s="112" customFormat="1" x14ac:dyDescent="0.2">
      <c r="C81" s="121"/>
    </row>
    <row r="82" spans="3:3" s="112" customFormat="1" x14ac:dyDescent="0.2">
      <c r="C82" s="121"/>
    </row>
    <row r="83" spans="3:3" s="112" customFormat="1" x14ac:dyDescent="0.2">
      <c r="C83" s="121"/>
    </row>
    <row r="84" spans="3:3" s="112" customFormat="1" x14ac:dyDescent="0.2">
      <c r="C84" s="121"/>
    </row>
    <row r="85" spans="3:3" s="112" customFormat="1" x14ac:dyDescent="0.2">
      <c r="C85" s="121"/>
    </row>
    <row r="86" spans="3:3" s="112" customFormat="1" x14ac:dyDescent="0.2">
      <c r="C86" s="121"/>
    </row>
    <row r="87" spans="3:3" s="112" customFormat="1" x14ac:dyDescent="0.2">
      <c r="C87" s="121"/>
    </row>
    <row r="88" spans="3:3" s="112" customFormat="1" x14ac:dyDescent="0.2">
      <c r="C88" s="121"/>
    </row>
    <row r="89" spans="3:3" s="112" customFormat="1" x14ac:dyDescent="0.2">
      <c r="C89" s="121"/>
    </row>
    <row r="90" spans="3:3" s="112" customFormat="1" x14ac:dyDescent="0.2">
      <c r="C90" s="121"/>
    </row>
    <row r="91" spans="3:3" s="112" customFormat="1" x14ac:dyDescent="0.2">
      <c r="C91" s="121"/>
    </row>
    <row r="92" spans="3:3" s="112" customFormat="1" x14ac:dyDescent="0.2">
      <c r="C92" s="121"/>
    </row>
    <row r="93" spans="3:3" x14ac:dyDescent="0.2">
      <c r="C93" s="121"/>
    </row>
    <row r="94" spans="3:3" x14ac:dyDescent="0.2">
      <c r="C94" s="121"/>
    </row>
    <row r="95" spans="3:3" x14ac:dyDescent="0.2">
      <c r="C95" s="121"/>
    </row>
    <row r="96" spans="3:3" x14ac:dyDescent="0.2">
      <c r="C96" s="121"/>
    </row>
    <row r="97" spans="3:3" x14ac:dyDescent="0.2">
      <c r="C97" s="121"/>
    </row>
  </sheetData>
  <sheetProtection selectLockedCells="1"/>
  <sortState ref="A32:I60">
    <sortCondition ref="A32:A60"/>
    <sortCondition ref="C32:C60"/>
    <sortCondition ref="B32:B60"/>
  </sortState>
  <mergeCells count="16">
    <mergeCell ref="B8:E8"/>
    <mergeCell ref="B9:E9"/>
    <mergeCell ref="B19:D20"/>
    <mergeCell ref="E19:L19"/>
    <mergeCell ref="B37:I37"/>
    <mergeCell ref="B66:L66"/>
    <mergeCell ref="B21:D21"/>
    <mergeCell ref="B30:B31"/>
    <mergeCell ref="C30:C31"/>
    <mergeCell ref="D30:D31"/>
    <mergeCell ref="E30:L30"/>
    <mergeCell ref="B62:D62"/>
    <mergeCell ref="B63:G63"/>
    <mergeCell ref="I63:L63"/>
    <mergeCell ref="B64:G64"/>
    <mergeCell ref="I64:L64"/>
  </mergeCells>
  <printOptions horizontalCentered="1"/>
  <pageMargins left="0.75" right="0.75" top="1" bottom="1" header="0.5" footer="0.5"/>
  <pageSetup scale="60" orientation="portrait" r:id="rId1"/>
  <headerFooter alignWithMargins="0">
    <oddHeader>&amp;C&amp;"Arial,Bold"BOILERS (Fuel Oil) - POTENTIAL EMISSIONS (Criteria PollutantsSubject to BACT) - Base Case</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N59"/>
  <sheetViews>
    <sheetView view="pageLayout" topLeftCell="A39" zoomScaleNormal="100" zoomScaleSheetLayoutView="50" workbookViewId="0">
      <selection activeCell="B48" sqref="B48"/>
    </sheetView>
  </sheetViews>
  <sheetFormatPr defaultRowHeight="12.75" customHeight="1" x14ac:dyDescent="0.2"/>
  <cols>
    <col min="1" max="1" width="5.42578125" style="578" customWidth="1"/>
    <col min="2" max="2" width="9.140625" style="578" customWidth="1"/>
    <col min="3" max="3" width="12.85546875" style="578" customWidth="1"/>
    <col min="4" max="4" width="23" style="578" customWidth="1"/>
    <col min="5" max="6" width="12.5703125" style="578" customWidth="1"/>
    <col min="7" max="7" width="13.42578125" style="578" customWidth="1"/>
    <col min="8" max="8" width="11.7109375" style="578" customWidth="1"/>
    <col min="9" max="9" width="13.42578125" style="578" customWidth="1"/>
    <col min="10" max="10" width="12.85546875" style="578" hidden="1" customWidth="1"/>
    <col min="11" max="11" width="10.5703125" style="578" hidden="1" customWidth="1"/>
    <col min="12" max="12" width="10.7109375" style="578" customWidth="1"/>
    <col min="13" max="13" width="10.85546875" style="578" hidden="1" customWidth="1"/>
    <col min="14" max="253" width="9.140625" style="573"/>
    <col min="254" max="254" width="3.85546875" style="573" customWidth="1"/>
    <col min="255" max="255" width="20.7109375" style="573" customWidth="1"/>
    <col min="256" max="256" width="12.7109375" style="573" customWidth="1"/>
    <col min="257" max="257" width="12.42578125" style="573" customWidth="1"/>
    <col min="258" max="258" width="13.28515625" style="573" customWidth="1"/>
    <col min="259" max="259" width="16" style="573" customWidth="1"/>
    <col min="260" max="260" width="12.7109375" style="573" customWidth="1"/>
    <col min="261" max="261" width="13.42578125" style="573" customWidth="1"/>
    <col min="262" max="262" width="9.42578125" style="573" customWidth="1"/>
    <col min="263" max="263" width="10" style="573" customWidth="1"/>
    <col min="264" max="268" width="10.7109375" style="573" customWidth="1"/>
    <col min="269" max="509" width="9.140625" style="573"/>
    <col min="510" max="510" width="3.85546875" style="573" customWidth="1"/>
    <col min="511" max="511" width="20.7109375" style="573" customWidth="1"/>
    <col min="512" max="512" width="12.7109375" style="573" customWidth="1"/>
    <col min="513" max="513" width="12.42578125" style="573" customWidth="1"/>
    <col min="514" max="514" width="13.28515625" style="573" customWidth="1"/>
    <col min="515" max="515" width="16" style="573" customWidth="1"/>
    <col min="516" max="516" width="12.7109375" style="573" customWidth="1"/>
    <col min="517" max="517" width="13.42578125" style="573" customWidth="1"/>
    <col min="518" max="518" width="9.42578125" style="573" customWidth="1"/>
    <col min="519" max="519" width="10" style="573" customWidth="1"/>
    <col min="520" max="524" width="10.7109375" style="573" customWidth="1"/>
    <col min="525" max="765" width="9.140625" style="573"/>
    <col min="766" max="766" width="3.85546875" style="573" customWidth="1"/>
    <col min="767" max="767" width="20.7109375" style="573" customWidth="1"/>
    <col min="768" max="768" width="12.7109375" style="573" customWidth="1"/>
    <col min="769" max="769" width="12.42578125" style="573" customWidth="1"/>
    <col min="770" max="770" width="13.28515625" style="573" customWidth="1"/>
    <col min="771" max="771" width="16" style="573" customWidth="1"/>
    <col min="772" max="772" width="12.7109375" style="573" customWidth="1"/>
    <col min="773" max="773" width="13.42578125" style="573" customWidth="1"/>
    <col min="774" max="774" width="9.42578125" style="573" customWidth="1"/>
    <col min="775" max="775" width="10" style="573" customWidth="1"/>
    <col min="776" max="780" width="10.7109375" style="573" customWidth="1"/>
    <col min="781" max="1021" width="9.140625" style="573"/>
    <col min="1022" max="1022" width="3.85546875" style="573" customWidth="1"/>
    <col min="1023" max="1023" width="20.7109375" style="573" customWidth="1"/>
    <col min="1024" max="1024" width="12.7109375" style="573" customWidth="1"/>
    <col min="1025" max="1025" width="12.42578125" style="573" customWidth="1"/>
    <col min="1026" max="1026" width="13.28515625" style="573" customWidth="1"/>
    <col min="1027" max="1027" width="16" style="573" customWidth="1"/>
    <col min="1028" max="1028" width="12.7109375" style="573" customWidth="1"/>
    <col min="1029" max="1029" width="13.42578125" style="573" customWidth="1"/>
    <col min="1030" max="1030" width="9.42578125" style="573" customWidth="1"/>
    <col min="1031" max="1031" width="10" style="573" customWidth="1"/>
    <col min="1032" max="1036" width="10.7109375" style="573" customWidth="1"/>
    <col min="1037" max="1277" width="9.140625" style="573"/>
    <col min="1278" max="1278" width="3.85546875" style="573" customWidth="1"/>
    <col min="1279" max="1279" width="20.7109375" style="573" customWidth="1"/>
    <col min="1280" max="1280" width="12.7109375" style="573" customWidth="1"/>
    <col min="1281" max="1281" width="12.42578125" style="573" customWidth="1"/>
    <col min="1282" max="1282" width="13.28515625" style="573" customWidth="1"/>
    <col min="1283" max="1283" width="16" style="573" customWidth="1"/>
    <col min="1284" max="1284" width="12.7109375" style="573" customWidth="1"/>
    <col min="1285" max="1285" width="13.42578125" style="573" customWidth="1"/>
    <col min="1286" max="1286" width="9.42578125" style="573" customWidth="1"/>
    <col min="1287" max="1287" width="10" style="573" customWidth="1"/>
    <col min="1288" max="1292" width="10.7109375" style="573" customWidth="1"/>
    <col min="1293" max="1533" width="9.140625" style="573"/>
    <col min="1534" max="1534" width="3.85546875" style="573" customWidth="1"/>
    <col min="1535" max="1535" width="20.7109375" style="573" customWidth="1"/>
    <col min="1536" max="1536" width="12.7109375" style="573" customWidth="1"/>
    <col min="1537" max="1537" width="12.42578125" style="573" customWidth="1"/>
    <col min="1538" max="1538" width="13.28515625" style="573" customWidth="1"/>
    <col min="1539" max="1539" width="16" style="573" customWidth="1"/>
    <col min="1540" max="1540" width="12.7109375" style="573" customWidth="1"/>
    <col min="1541" max="1541" width="13.42578125" style="573" customWidth="1"/>
    <col min="1542" max="1542" width="9.42578125" style="573" customWidth="1"/>
    <col min="1543" max="1543" width="10" style="573" customWidth="1"/>
    <col min="1544" max="1548" width="10.7109375" style="573" customWidth="1"/>
    <col min="1549" max="1789" width="9.140625" style="573"/>
    <col min="1790" max="1790" width="3.85546875" style="573" customWidth="1"/>
    <col min="1791" max="1791" width="20.7109375" style="573" customWidth="1"/>
    <col min="1792" max="1792" width="12.7109375" style="573" customWidth="1"/>
    <col min="1793" max="1793" width="12.42578125" style="573" customWidth="1"/>
    <col min="1794" max="1794" width="13.28515625" style="573" customWidth="1"/>
    <col min="1795" max="1795" width="16" style="573" customWidth="1"/>
    <col min="1796" max="1796" width="12.7109375" style="573" customWidth="1"/>
    <col min="1797" max="1797" width="13.42578125" style="573" customWidth="1"/>
    <col min="1798" max="1798" width="9.42578125" style="573" customWidth="1"/>
    <col min="1799" max="1799" width="10" style="573" customWidth="1"/>
    <col min="1800" max="1804" width="10.7109375" style="573" customWidth="1"/>
    <col min="1805" max="2045" width="9.140625" style="573"/>
    <col min="2046" max="2046" width="3.85546875" style="573" customWidth="1"/>
    <col min="2047" max="2047" width="20.7109375" style="573" customWidth="1"/>
    <col min="2048" max="2048" width="12.7109375" style="573" customWidth="1"/>
    <col min="2049" max="2049" width="12.42578125" style="573" customWidth="1"/>
    <col min="2050" max="2050" width="13.28515625" style="573" customWidth="1"/>
    <col min="2051" max="2051" width="16" style="573" customWidth="1"/>
    <col min="2052" max="2052" width="12.7109375" style="573" customWidth="1"/>
    <col min="2053" max="2053" width="13.42578125" style="573" customWidth="1"/>
    <col min="2054" max="2054" width="9.42578125" style="573" customWidth="1"/>
    <col min="2055" max="2055" width="10" style="573" customWidth="1"/>
    <col min="2056" max="2060" width="10.7109375" style="573" customWidth="1"/>
    <col min="2061" max="2301" width="9.140625" style="573"/>
    <col min="2302" max="2302" width="3.85546875" style="573" customWidth="1"/>
    <col min="2303" max="2303" width="20.7109375" style="573" customWidth="1"/>
    <col min="2304" max="2304" width="12.7109375" style="573" customWidth="1"/>
    <col min="2305" max="2305" width="12.42578125" style="573" customWidth="1"/>
    <col min="2306" max="2306" width="13.28515625" style="573" customWidth="1"/>
    <col min="2307" max="2307" width="16" style="573" customWidth="1"/>
    <col min="2308" max="2308" width="12.7109375" style="573" customWidth="1"/>
    <col min="2309" max="2309" width="13.42578125" style="573" customWidth="1"/>
    <col min="2310" max="2310" width="9.42578125" style="573" customWidth="1"/>
    <col min="2311" max="2311" width="10" style="573" customWidth="1"/>
    <col min="2312" max="2316" width="10.7109375" style="573" customWidth="1"/>
    <col min="2317" max="2557" width="9.140625" style="573"/>
    <col min="2558" max="2558" width="3.85546875" style="573" customWidth="1"/>
    <col min="2559" max="2559" width="20.7109375" style="573" customWidth="1"/>
    <col min="2560" max="2560" width="12.7109375" style="573" customWidth="1"/>
    <col min="2561" max="2561" width="12.42578125" style="573" customWidth="1"/>
    <col min="2562" max="2562" width="13.28515625" style="573" customWidth="1"/>
    <col min="2563" max="2563" width="16" style="573" customWidth="1"/>
    <col min="2564" max="2564" width="12.7109375" style="573" customWidth="1"/>
    <col min="2565" max="2565" width="13.42578125" style="573" customWidth="1"/>
    <col min="2566" max="2566" width="9.42578125" style="573" customWidth="1"/>
    <col min="2567" max="2567" width="10" style="573" customWidth="1"/>
    <col min="2568" max="2572" width="10.7109375" style="573" customWidth="1"/>
    <col min="2573" max="2813" width="9.140625" style="573"/>
    <col min="2814" max="2814" width="3.85546875" style="573" customWidth="1"/>
    <col min="2815" max="2815" width="20.7109375" style="573" customWidth="1"/>
    <col min="2816" max="2816" width="12.7109375" style="573" customWidth="1"/>
    <col min="2817" max="2817" width="12.42578125" style="573" customWidth="1"/>
    <col min="2818" max="2818" width="13.28515625" style="573" customWidth="1"/>
    <col min="2819" max="2819" width="16" style="573" customWidth="1"/>
    <col min="2820" max="2820" width="12.7109375" style="573" customWidth="1"/>
    <col min="2821" max="2821" width="13.42578125" style="573" customWidth="1"/>
    <col min="2822" max="2822" width="9.42578125" style="573" customWidth="1"/>
    <col min="2823" max="2823" width="10" style="573" customWidth="1"/>
    <col min="2824" max="2828" width="10.7109375" style="573" customWidth="1"/>
    <col min="2829" max="3069" width="9.140625" style="573"/>
    <col min="3070" max="3070" width="3.85546875" style="573" customWidth="1"/>
    <col min="3071" max="3071" width="20.7109375" style="573" customWidth="1"/>
    <col min="3072" max="3072" width="12.7109375" style="573" customWidth="1"/>
    <col min="3073" max="3073" width="12.42578125" style="573" customWidth="1"/>
    <col min="3074" max="3074" width="13.28515625" style="573" customWidth="1"/>
    <col min="3075" max="3075" width="16" style="573" customWidth="1"/>
    <col min="3076" max="3076" width="12.7109375" style="573" customWidth="1"/>
    <col min="3077" max="3077" width="13.42578125" style="573" customWidth="1"/>
    <col min="3078" max="3078" width="9.42578125" style="573" customWidth="1"/>
    <col min="3079" max="3079" width="10" style="573" customWidth="1"/>
    <col min="3080" max="3084" width="10.7109375" style="573" customWidth="1"/>
    <col min="3085" max="3325" width="9.140625" style="573"/>
    <col min="3326" max="3326" width="3.85546875" style="573" customWidth="1"/>
    <col min="3327" max="3327" width="20.7109375" style="573" customWidth="1"/>
    <col min="3328" max="3328" width="12.7109375" style="573" customWidth="1"/>
    <col min="3329" max="3329" width="12.42578125" style="573" customWidth="1"/>
    <col min="3330" max="3330" width="13.28515625" style="573" customWidth="1"/>
    <col min="3331" max="3331" width="16" style="573" customWidth="1"/>
    <col min="3332" max="3332" width="12.7109375" style="573" customWidth="1"/>
    <col min="3333" max="3333" width="13.42578125" style="573" customWidth="1"/>
    <col min="3334" max="3334" width="9.42578125" style="573" customWidth="1"/>
    <col min="3335" max="3335" width="10" style="573" customWidth="1"/>
    <col min="3336" max="3340" width="10.7109375" style="573" customWidth="1"/>
    <col min="3341" max="3581" width="9.140625" style="573"/>
    <col min="3582" max="3582" width="3.85546875" style="573" customWidth="1"/>
    <col min="3583" max="3583" width="20.7109375" style="573" customWidth="1"/>
    <col min="3584" max="3584" width="12.7109375" style="573" customWidth="1"/>
    <col min="3585" max="3585" width="12.42578125" style="573" customWidth="1"/>
    <col min="3586" max="3586" width="13.28515625" style="573" customWidth="1"/>
    <col min="3587" max="3587" width="16" style="573" customWidth="1"/>
    <col min="3588" max="3588" width="12.7109375" style="573" customWidth="1"/>
    <col min="3589" max="3589" width="13.42578125" style="573" customWidth="1"/>
    <col min="3590" max="3590" width="9.42578125" style="573" customWidth="1"/>
    <col min="3591" max="3591" width="10" style="573" customWidth="1"/>
    <col min="3592" max="3596" width="10.7109375" style="573" customWidth="1"/>
    <col min="3597" max="3837" width="9.140625" style="573"/>
    <col min="3838" max="3838" width="3.85546875" style="573" customWidth="1"/>
    <col min="3839" max="3839" width="20.7109375" style="573" customWidth="1"/>
    <col min="3840" max="3840" width="12.7109375" style="573" customWidth="1"/>
    <col min="3841" max="3841" width="12.42578125" style="573" customWidth="1"/>
    <col min="3842" max="3842" width="13.28515625" style="573" customWidth="1"/>
    <col min="3843" max="3843" width="16" style="573" customWidth="1"/>
    <col min="3844" max="3844" width="12.7109375" style="573" customWidth="1"/>
    <col min="3845" max="3845" width="13.42578125" style="573" customWidth="1"/>
    <col min="3846" max="3846" width="9.42578125" style="573" customWidth="1"/>
    <col min="3847" max="3847" width="10" style="573" customWidth="1"/>
    <col min="3848" max="3852" width="10.7109375" style="573" customWidth="1"/>
    <col min="3853" max="4093" width="9.140625" style="573"/>
    <col min="4094" max="4094" width="3.85546875" style="573" customWidth="1"/>
    <col min="4095" max="4095" width="20.7109375" style="573" customWidth="1"/>
    <col min="4096" max="4096" width="12.7109375" style="573" customWidth="1"/>
    <col min="4097" max="4097" width="12.42578125" style="573" customWidth="1"/>
    <col min="4098" max="4098" width="13.28515625" style="573" customWidth="1"/>
    <col min="4099" max="4099" width="16" style="573" customWidth="1"/>
    <col min="4100" max="4100" width="12.7109375" style="573" customWidth="1"/>
    <col min="4101" max="4101" width="13.42578125" style="573" customWidth="1"/>
    <col min="4102" max="4102" width="9.42578125" style="573" customWidth="1"/>
    <col min="4103" max="4103" width="10" style="573" customWidth="1"/>
    <col min="4104" max="4108" width="10.7109375" style="573" customWidth="1"/>
    <col min="4109" max="4349" width="9.140625" style="573"/>
    <col min="4350" max="4350" width="3.85546875" style="573" customWidth="1"/>
    <col min="4351" max="4351" width="20.7109375" style="573" customWidth="1"/>
    <col min="4352" max="4352" width="12.7109375" style="573" customWidth="1"/>
    <col min="4353" max="4353" width="12.42578125" style="573" customWidth="1"/>
    <col min="4354" max="4354" width="13.28515625" style="573" customWidth="1"/>
    <col min="4355" max="4355" width="16" style="573" customWidth="1"/>
    <col min="4356" max="4356" width="12.7109375" style="573" customWidth="1"/>
    <col min="4357" max="4357" width="13.42578125" style="573" customWidth="1"/>
    <col min="4358" max="4358" width="9.42578125" style="573" customWidth="1"/>
    <col min="4359" max="4359" width="10" style="573" customWidth="1"/>
    <col min="4360" max="4364" width="10.7109375" style="573" customWidth="1"/>
    <col min="4365" max="4605" width="9.140625" style="573"/>
    <col min="4606" max="4606" width="3.85546875" style="573" customWidth="1"/>
    <col min="4607" max="4607" width="20.7109375" style="573" customWidth="1"/>
    <col min="4608" max="4608" width="12.7109375" style="573" customWidth="1"/>
    <col min="4609" max="4609" width="12.42578125" style="573" customWidth="1"/>
    <col min="4610" max="4610" width="13.28515625" style="573" customWidth="1"/>
    <col min="4611" max="4611" width="16" style="573" customWidth="1"/>
    <col min="4612" max="4612" width="12.7109375" style="573" customWidth="1"/>
    <col min="4613" max="4613" width="13.42578125" style="573" customWidth="1"/>
    <col min="4614" max="4614" width="9.42578125" style="573" customWidth="1"/>
    <col min="4615" max="4615" width="10" style="573" customWidth="1"/>
    <col min="4616" max="4620" width="10.7109375" style="573" customWidth="1"/>
    <col min="4621" max="4861" width="9.140625" style="573"/>
    <col min="4862" max="4862" width="3.85546875" style="573" customWidth="1"/>
    <col min="4863" max="4863" width="20.7109375" style="573" customWidth="1"/>
    <col min="4864" max="4864" width="12.7109375" style="573" customWidth="1"/>
    <col min="4865" max="4865" width="12.42578125" style="573" customWidth="1"/>
    <col min="4866" max="4866" width="13.28515625" style="573" customWidth="1"/>
    <col min="4867" max="4867" width="16" style="573" customWidth="1"/>
    <col min="4868" max="4868" width="12.7109375" style="573" customWidth="1"/>
    <col min="4869" max="4869" width="13.42578125" style="573" customWidth="1"/>
    <col min="4870" max="4870" width="9.42578125" style="573" customWidth="1"/>
    <col min="4871" max="4871" width="10" style="573" customWidth="1"/>
    <col min="4872" max="4876" width="10.7109375" style="573" customWidth="1"/>
    <col min="4877" max="5117" width="9.140625" style="573"/>
    <col min="5118" max="5118" width="3.85546875" style="573" customWidth="1"/>
    <col min="5119" max="5119" width="20.7109375" style="573" customWidth="1"/>
    <col min="5120" max="5120" width="12.7109375" style="573" customWidth="1"/>
    <col min="5121" max="5121" width="12.42578125" style="573" customWidth="1"/>
    <col min="5122" max="5122" width="13.28515625" style="573" customWidth="1"/>
    <col min="5123" max="5123" width="16" style="573" customWidth="1"/>
    <col min="5124" max="5124" width="12.7109375" style="573" customWidth="1"/>
    <col min="5125" max="5125" width="13.42578125" style="573" customWidth="1"/>
    <col min="5126" max="5126" width="9.42578125" style="573" customWidth="1"/>
    <col min="5127" max="5127" width="10" style="573" customWidth="1"/>
    <col min="5128" max="5132" width="10.7109375" style="573" customWidth="1"/>
    <col min="5133" max="5373" width="9.140625" style="573"/>
    <col min="5374" max="5374" width="3.85546875" style="573" customWidth="1"/>
    <col min="5375" max="5375" width="20.7109375" style="573" customWidth="1"/>
    <col min="5376" max="5376" width="12.7109375" style="573" customWidth="1"/>
    <col min="5377" max="5377" width="12.42578125" style="573" customWidth="1"/>
    <col min="5378" max="5378" width="13.28515625" style="573" customWidth="1"/>
    <col min="5379" max="5379" width="16" style="573" customWidth="1"/>
    <col min="5380" max="5380" width="12.7109375" style="573" customWidth="1"/>
    <col min="5381" max="5381" width="13.42578125" style="573" customWidth="1"/>
    <col min="5382" max="5382" width="9.42578125" style="573" customWidth="1"/>
    <col min="5383" max="5383" width="10" style="573" customWidth="1"/>
    <col min="5384" max="5388" width="10.7109375" style="573" customWidth="1"/>
    <col min="5389" max="5629" width="9.140625" style="573"/>
    <col min="5630" max="5630" width="3.85546875" style="573" customWidth="1"/>
    <col min="5631" max="5631" width="20.7109375" style="573" customWidth="1"/>
    <col min="5632" max="5632" width="12.7109375" style="573" customWidth="1"/>
    <col min="5633" max="5633" width="12.42578125" style="573" customWidth="1"/>
    <col min="5634" max="5634" width="13.28515625" style="573" customWidth="1"/>
    <col min="5635" max="5635" width="16" style="573" customWidth="1"/>
    <col min="5636" max="5636" width="12.7109375" style="573" customWidth="1"/>
    <col min="5637" max="5637" width="13.42578125" style="573" customWidth="1"/>
    <col min="5638" max="5638" width="9.42578125" style="573" customWidth="1"/>
    <col min="5639" max="5639" width="10" style="573" customWidth="1"/>
    <col min="5640" max="5644" width="10.7109375" style="573" customWidth="1"/>
    <col min="5645" max="5885" width="9.140625" style="573"/>
    <col min="5886" max="5886" width="3.85546875" style="573" customWidth="1"/>
    <col min="5887" max="5887" width="20.7109375" style="573" customWidth="1"/>
    <col min="5888" max="5888" width="12.7109375" style="573" customWidth="1"/>
    <col min="5889" max="5889" width="12.42578125" style="573" customWidth="1"/>
    <col min="5890" max="5890" width="13.28515625" style="573" customWidth="1"/>
    <col min="5891" max="5891" width="16" style="573" customWidth="1"/>
    <col min="5892" max="5892" width="12.7109375" style="573" customWidth="1"/>
    <col min="5893" max="5893" width="13.42578125" style="573" customWidth="1"/>
    <col min="5894" max="5894" width="9.42578125" style="573" customWidth="1"/>
    <col min="5895" max="5895" width="10" style="573" customWidth="1"/>
    <col min="5896" max="5900" width="10.7109375" style="573" customWidth="1"/>
    <col min="5901" max="6141" width="9.140625" style="573"/>
    <col min="6142" max="6142" width="3.85546875" style="573" customWidth="1"/>
    <col min="6143" max="6143" width="20.7109375" style="573" customWidth="1"/>
    <col min="6144" max="6144" width="12.7109375" style="573" customWidth="1"/>
    <col min="6145" max="6145" width="12.42578125" style="573" customWidth="1"/>
    <col min="6146" max="6146" width="13.28515625" style="573" customWidth="1"/>
    <col min="6147" max="6147" width="16" style="573" customWidth="1"/>
    <col min="6148" max="6148" width="12.7109375" style="573" customWidth="1"/>
    <col min="6149" max="6149" width="13.42578125" style="573" customWidth="1"/>
    <col min="6150" max="6150" width="9.42578125" style="573" customWidth="1"/>
    <col min="6151" max="6151" width="10" style="573" customWidth="1"/>
    <col min="6152" max="6156" width="10.7109375" style="573" customWidth="1"/>
    <col min="6157" max="6397" width="9.140625" style="573"/>
    <col min="6398" max="6398" width="3.85546875" style="573" customWidth="1"/>
    <col min="6399" max="6399" width="20.7109375" style="573" customWidth="1"/>
    <col min="6400" max="6400" width="12.7109375" style="573" customWidth="1"/>
    <col min="6401" max="6401" width="12.42578125" style="573" customWidth="1"/>
    <col min="6402" max="6402" width="13.28515625" style="573" customWidth="1"/>
    <col min="6403" max="6403" width="16" style="573" customWidth="1"/>
    <col min="6404" max="6404" width="12.7109375" style="573" customWidth="1"/>
    <col min="6405" max="6405" width="13.42578125" style="573" customWidth="1"/>
    <col min="6406" max="6406" width="9.42578125" style="573" customWidth="1"/>
    <col min="6407" max="6407" width="10" style="573" customWidth="1"/>
    <col min="6408" max="6412" width="10.7109375" style="573" customWidth="1"/>
    <col min="6413" max="6653" width="9.140625" style="573"/>
    <col min="6654" max="6654" width="3.85546875" style="573" customWidth="1"/>
    <col min="6655" max="6655" width="20.7109375" style="573" customWidth="1"/>
    <col min="6656" max="6656" width="12.7109375" style="573" customWidth="1"/>
    <col min="6657" max="6657" width="12.42578125" style="573" customWidth="1"/>
    <col min="6658" max="6658" width="13.28515625" style="573" customWidth="1"/>
    <col min="6659" max="6659" width="16" style="573" customWidth="1"/>
    <col min="6660" max="6660" width="12.7109375" style="573" customWidth="1"/>
    <col min="6661" max="6661" width="13.42578125" style="573" customWidth="1"/>
    <col min="6662" max="6662" width="9.42578125" style="573" customWidth="1"/>
    <col min="6663" max="6663" width="10" style="573" customWidth="1"/>
    <col min="6664" max="6668" width="10.7109375" style="573" customWidth="1"/>
    <col min="6669" max="6909" width="9.140625" style="573"/>
    <col min="6910" max="6910" width="3.85546875" style="573" customWidth="1"/>
    <col min="6911" max="6911" width="20.7109375" style="573" customWidth="1"/>
    <col min="6912" max="6912" width="12.7109375" style="573" customWidth="1"/>
    <col min="6913" max="6913" width="12.42578125" style="573" customWidth="1"/>
    <col min="6914" max="6914" width="13.28515625" style="573" customWidth="1"/>
    <col min="6915" max="6915" width="16" style="573" customWidth="1"/>
    <col min="6916" max="6916" width="12.7109375" style="573" customWidth="1"/>
    <col min="6917" max="6917" width="13.42578125" style="573" customWidth="1"/>
    <col min="6918" max="6918" width="9.42578125" style="573" customWidth="1"/>
    <col min="6919" max="6919" width="10" style="573" customWidth="1"/>
    <col min="6920" max="6924" width="10.7109375" style="573" customWidth="1"/>
    <col min="6925" max="7165" width="9.140625" style="573"/>
    <col min="7166" max="7166" width="3.85546875" style="573" customWidth="1"/>
    <col min="7167" max="7167" width="20.7109375" style="573" customWidth="1"/>
    <col min="7168" max="7168" width="12.7109375" style="573" customWidth="1"/>
    <col min="7169" max="7169" width="12.42578125" style="573" customWidth="1"/>
    <col min="7170" max="7170" width="13.28515625" style="573" customWidth="1"/>
    <col min="7171" max="7171" width="16" style="573" customWidth="1"/>
    <col min="7172" max="7172" width="12.7109375" style="573" customWidth="1"/>
    <col min="7173" max="7173" width="13.42578125" style="573" customWidth="1"/>
    <col min="7174" max="7174" width="9.42578125" style="573" customWidth="1"/>
    <col min="7175" max="7175" width="10" style="573" customWidth="1"/>
    <col min="7176" max="7180" width="10.7109375" style="573" customWidth="1"/>
    <col min="7181" max="7421" width="9.140625" style="573"/>
    <col min="7422" max="7422" width="3.85546875" style="573" customWidth="1"/>
    <col min="7423" max="7423" width="20.7109375" style="573" customWidth="1"/>
    <col min="7424" max="7424" width="12.7109375" style="573" customWidth="1"/>
    <col min="7425" max="7425" width="12.42578125" style="573" customWidth="1"/>
    <col min="7426" max="7426" width="13.28515625" style="573" customWidth="1"/>
    <col min="7427" max="7427" width="16" style="573" customWidth="1"/>
    <col min="7428" max="7428" width="12.7109375" style="573" customWidth="1"/>
    <col min="7429" max="7429" width="13.42578125" style="573" customWidth="1"/>
    <col min="7430" max="7430" width="9.42578125" style="573" customWidth="1"/>
    <col min="7431" max="7431" width="10" style="573" customWidth="1"/>
    <col min="7432" max="7436" width="10.7109375" style="573" customWidth="1"/>
    <col min="7437" max="7677" width="9.140625" style="573"/>
    <col min="7678" max="7678" width="3.85546875" style="573" customWidth="1"/>
    <col min="7679" max="7679" width="20.7109375" style="573" customWidth="1"/>
    <col min="7680" max="7680" width="12.7109375" style="573" customWidth="1"/>
    <col min="7681" max="7681" width="12.42578125" style="573" customWidth="1"/>
    <col min="7682" max="7682" width="13.28515625" style="573" customWidth="1"/>
    <col min="7683" max="7683" width="16" style="573" customWidth="1"/>
    <col min="7684" max="7684" width="12.7109375" style="573" customWidth="1"/>
    <col min="7685" max="7685" width="13.42578125" style="573" customWidth="1"/>
    <col min="7686" max="7686" width="9.42578125" style="573" customWidth="1"/>
    <col min="7687" max="7687" width="10" style="573" customWidth="1"/>
    <col min="7688" max="7692" width="10.7109375" style="573" customWidth="1"/>
    <col min="7693" max="7933" width="9.140625" style="573"/>
    <col min="7934" max="7934" width="3.85546875" style="573" customWidth="1"/>
    <col min="7935" max="7935" width="20.7109375" style="573" customWidth="1"/>
    <col min="7936" max="7936" width="12.7109375" style="573" customWidth="1"/>
    <col min="7937" max="7937" width="12.42578125" style="573" customWidth="1"/>
    <col min="7938" max="7938" width="13.28515625" style="573" customWidth="1"/>
    <col min="7939" max="7939" width="16" style="573" customWidth="1"/>
    <col min="7940" max="7940" width="12.7109375" style="573" customWidth="1"/>
    <col min="7941" max="7941" width="13.42578125" style="573" customWidth="1"/>
    <col min="7942" max="7942" width="9.42578125" style="573" customWidth="1"/>
    <col min="7943" max="7943" width="10" style="573" customWidth="1"/>
    <col min="7944" max="7948" width="10.7109375" style="573" customWidth="1"/>
    <col min="7949" max="8189" width="9.140625" style="573"/>
    <col min="8190" max="8190" width="3.85546875" style="573" customWidth="1"/>
    <col min="8191" max="8191" width="20.7109375" style="573" customWidth="1"/>
    <col min="8192" max="8192" width="12.7109375" style="573" customWidth="1"/>
    <col min="8193" max="8193" width="12.42578125" style="573" customWidth="1"/>
    <col min="8194" max="8194" width="13.28515625" style="573" customWidth="1"/>
    <col min="8195" max="8195" width="16" style="573" customWidth="1"/>
    <col min="8196" max="8196" width="12.7109375" style="573" customWidth="1"/>
    <col min="8197" max="8197" width="13.42578125" style="573" customWidth="1"/>
    <col min="8198" max="8198" width="9.42578125" style="573" customWidth="1"/>
    <col min="8199" max="8199" width="10" style="573" customWidth="1"/>
    <col min="8200" max="8204" width="10.7109375" style="573" customWidth="1"/>
    <col min="8205" max="8445" width="9.140625" style="573"/>
    <col min="8446" max="8446" width="3.85546875" style="573" customWidth="1"/>
    <col min="8447" max="8447" width="20.7109375" style="573" customWidth="1"/>
    <col min="8448" max="8448" width="12.7109375" style="573" customWidth="1"/>
    <col min="8449" max="8449" width="12.42578125" style="573" customWidth="1"/>
    <col min="8450" max="8450" width="13.28515625" style="573" customWidth="1"/>
    <col min="8451" max="8451" width="16" style="573" customWidth="1"/>
    <col min="8452" max="8452" width="12.7109375" style="573" customWidth="1"/>
    <col min="8453" max="8453" width="13.42578125" style="573" customWidth="1"/>
    <col min="8454" max="8454" width="9.42578125" style="573" customWidth="1"/>
    <col min="8455" max="8455" width="10" style="573" customWidth="1"/>
    <col min="8456" max="8460" width="10.7109375" style="573" customWidth="1"/>
    <col min="8461" max="8701" width="9.140625" style="573"/>
    <col min="8702" max="8702" width="3.85546875" style="573" customWidth="1"/>
    <col min="8703" max="8703" width="20.7109375" style="573" customWidth="1"/>
    <col min="8704" max="8704" width="12.7109375" style="573" customWidth="1"/>
    <col min="8705" max="8705" width="12.42578125" style="573" customWidth="1"/>
    <col min="8706" max="8706" width="13.28515625" style="573" customWidth="1"/>
    <col min="8707" max="8707" width="16" style="573" customWidth="1"/>
    <col min="8708" max="8708" width="12.7109375" style="573" customWidth="1"/>
    <col min="8709" max="8709" width="13.42578125" style="573" customWidth="1"/>
    <col min="8710" max="8710" width="9.42578125" style="573" customWidth="1"/>
    <col min="8711" max="8711" width="10" style="573" customWidth="1"/>
    <col min="8712" max="8716" width="10.7109375" style="573" customWidth="1"/>
    <col min="8717" max="8957" width="9.140625" style="573"/>
    <col min="8958" max="8958" width="3.85546875" style="573" customWidth="1"/>
    <col min="8959" max="8959" width="20.7109375" style="573" customWidth="1"/>
    <col min="8960" max="8960" width="12.7109375" style="573" customWidth="1"/>
    <col min="8961" max="8961" width="12.42578125" style="573" customWidth="1"/>
    <col min="8962" max="8962" width="13.28515625" style="573" customWidth="1"/>
    <col min="8963" max="8963" width="16" style="573" customWidth="1"/>
    <col min="8964" max="8964" width="12.7109375" style="573" customWidth="1"/>
    <col min="8965" max="8965" width="13.42578125" style="573" customWidth="1"/>
    <col min="8966" max="8966" width="9.42578125" style="573" customWidth="1"/>
    <col min="8967" max="8967" width="10" style="573" customWidth="1"/>
    <col min="8968" max="8972" width="10.7109375" style="573" customWidth="1"/>
    <col min="8973" max="9213" width="9.140625" style="573"/>
    <col min="9214" max="9214" width="3.85546875" style="573" customWidth="1"/>
    <col min="9215" max="9215" width="20.7109375" style="573" customWidth="1"/>
    <col min="9216" max="9216" width="12.7109375" style="573" customWidth="1"/>
    <col min="9217" max="9217" width="12.42578125" style="573" customWidth="1"/>
    <col min="9218" max="9218" width="13.28515625" style="573" customWidth="1"/>
    <col min="9219" max="9219" width="16" style="573" customWidth="1"/>
    <col min="9220" max="9220" width="12.7109375" style="573" customWidth="1"/>
    <col min="9221" max="9221" width="13.42578125" style="573" customWidth="1"/>
    <col min="9222" max="9222" width="9.42578125" style="573" customWidth="1"/>
    <col min="9223" max="9223" width="10" style="573" customWidth="1"/>
    <col min="9224" max="9228" width="10.7109375" style="573" customWidth="1"/>
    <col min="9229" max="9469" width="9.140625" style="573"/>
    <col min="9470" max="9470" width="3.85546875" style="573" customWidth="1"/>
    <col min="9471" max="9471" width="20.7109375" style="573" customWidth="1"/>
    <col min="9472" max="9472" width="12.7109375" style="573" customWidth="1"/>
    <col min="9473" max="9473" width="12.42578125" style="573" customWidth="1"/>
    <col min="9474" max="9474" width="13.28515625" style="573" customWidth="1"/>
    <col min="9475" max="9475" width="16" style="573" customWidth="1"/>
    <col min="9476" max="9476" width="12.7109375" style="573" customWidth="1"/>
    <col min="9477" max="9477" width="13.42578125" style="573" customWidth="1"/>
    <col min="9478" max="9478" width="9.42578125" style="573" customWidth="1"/>
    <col min="9479" max="9479" width="10" style="573" customWidth="1"/>
    <col min="9480" max="9484" width="10.7109375" style="573" customWidth="1"/>
    <col min="9485" max="9725" width="9.140625" style="573"/>
    <col min="9726" max="9726" width="3.85546875" style="573" customWidth="1"/>
    <col min="9727" max="9727" width="20.7109375" style="573" customWidth="1"/>
    <col min="9728" max="9728" width="12.7109375" style="573" customWidth="1"/>
    <col min="9729" max="9729" width="12.42578125" style="573" customWidth="1"/>
    <col min="9730" max="9730" width="13.28515625" style="573" customWidth="1"/>
    <col min="9731" max="9731" width="16" style="573" customWidth="1"/>
    <col min="9732" max="9732" width="12.7109375" style="573" customWidth="1"/>
    <col min="9733" max="9733" width="13.42578125" style="573" customWidth="1"/>
    <col min="9734" max="9734" width="9.42578125" style="573" customWidth="1"/>
    <col min="9735" max="9735" width="10" style="573" customWidth="1"/>
    <col min="9736" max="9740" width="10.7109375" style="573" customWidth="1"/>
    <col min="9741" max="9981" width="9.140625" style="573"/>
    <col min="9982" max="9982" width="3.85546875" style="573" customWidth="1"/>
    <col min="9983" max="9983" width="20.7109375" style="573" customWidth="1"/>
    <col min="9984" max="9984" width="12.7109375" style="573" customWidth="1"/>
    <col min="9985" max="9985" width="12.42578125" style="573" customWidth="1"/>
    <col min="9986" max="9986" width="13.28515625" style="573" customWidth="1"/>
    <col min="9987" max="9987" width="16" style="573" customWidth="1"/>
    <col min="9988" max="9988" width="12.7109375" style="573" customWidth="1"/>
    <col min="9989" max="9989" width="13.42578125" style="573" customWidth="1"/>
    <col min="9990" max="9990" width="9.42578125" style="573" customWidth="1"/>
    <col min="9991" max="9991" width="10" style="573" customWidth="1"/>
    <col min="9992" max="9996" width="10.7109375" style="573" customWidth="1"/>
    <col min="9997" max="10237" width="9.140625" style="573"/>
    <col min="10238" max="10238" width="3.85546875" style="573" customWidth="1"/>
    <col min="10239" max="10239" width="20.7109375" style="573" customWidth="1"/>
    <col min="10240" max="10240" width="12.7109375" style="573" customWidth="1"/>
    <col min="10241" max="10241" width="12.42578125" style="573" customWidth="1"/>
    <col min="10242" max="10242" width="13.28515625" style="573" customWidth="1"/>
    <col min="10243" max="10243" width="16" style="573" customWidth="1"/>
    <col min="10244" max="10244" width="12.7109375" style="573" customWidth="1"/>
    <col min="10245" max="10245" width="13.42578125" style="573" customWidth="1"/>
    <col min="10246" max="10246" width="9.42578125" style="573" customWidth="1"/>
    <col min="10247" max="10247" width="10" style="573" customWidth="1"/>
    <col min="10248" max="10252" width="10.7109375" style="573" customWidth="1"/>
    <col min="10253" max="10493" width="9.140625" style="573"/>
    <col min="10494" max="10494" width="3.85546875" style="573" customWidth="1"/>
    <col min="10495" max="10495" width="20.7109375" style="573" customWidth="1"/>
    <col min="10496" max="10496" width="12.7109375" style="573" customWidth="1"/>
    <col min="10497" max="10497" width="12.42578125" style="573" customWidth="1"/>
    <col min="10498" max="10498" width="13.28515625" style="573" customWidth="1"/>
    <col min="10499" max="10499" width="16" style="573" customWidth="1"/>
    <col min="10500" max="10500" width="12.7109375" style="573" customWidth="1"/>
    <col min="10501" max="10501" width="13.42578125" style="573" customWidth="1"/>
    <col min="10502" max="10502" width="9.42578125" style="573" customWidth="1"/>
    <col min="10503" max="10503" width="10" style="573" customWidth="1"/>
    <col min="10504" max="10508" width="10.7109375" style="573" customWidth="1"/>
    <col min="10509" max="10749" width="9.140625" style="573"/>
    <col min="10750" max="10750" width="3.85546875" style="573" customWidth="1"/>
    <col min="10751" max="10751" width="20.7109375" style="573" customWidth="1"/>
    <col min="10752" max="10752" width="12.7109375" style="573" customWidth="1"/>
    <col min="10753" max="10753" width="12.42578125" style="573" customWidth="1"/>
    <col min="10754" max="10754" width="13.28515625" style="573" customWidth="1"/>
    <col min="10755" max="10755" width="16" style="573" customWidth="1"/>
    <col min="10756" max="10756" width="12.7109375" style="573" customWidth="1"/>
    <col min="10757" max="10757" width="13.42578125" style="573" customWidth="1"/>
    <col min="10758" max="10758" width="9.42578125" style="573" customWidth="1"/>
    <col min="10759" max="10759" width="10" style="573" customWidth="1"/>
    <col min="10760" max="10764" width="10.7109375" style="573" customWidth="1"/>
    <col min="10765" max="11005" width="9.140625" style="573"/>
    <col min="11006" max="11006" width="3.85546875" style="573" customWidth="1"/>
    <col min="11007" max="11007" width="20.7109375" style="573" customWidth="1"/>
    <col min="11008" max="11008" width="12.7109375" style="573" customWidth="1"/>
    <col min="11009" max="11009" width="12.42578125" style="573" customWidth="1"/>
    <col min="11010" max="11010" width="13.28515625" style="573" customWidth="1"/>
    <col min="11011" max="11011" width="16" style="573" customWidth="1"/>
    <col min="11012" max="11012" width="12.7109375" style="573" customWidth="1"/>
    <col min="11013" max="11013" width="13.42578125" style="573" customWidth="1"/>
    <col min="11014" max="11014" width="9.42578125" style="573" customWidth="1"/>
    <col min="11015" max="11015" width="10" style="573" customWidth="1"/>
    <col min="11016" max="11020" width="10.7109375" style="573" customWidth="1"/>
    <col min="11021" max="11261" width="9.140625" style="573"/>
    <col min="11262" max="11262" width="3.85546875" style="573" customWidth="1"/>
    <col min="11263" max="11263" width="20.7109375" style="573" customWidth="1"/>
    <col min="11264" max="11264" width="12.7109375" style="573" customWidth="1"/>
    <col min="11265" max="11265" width="12.42578125" style="573" customWidth="1"/>
    <col min="11266" max="11266" width="13.28515625" style="573" customWidth="1"/>
    <col min="11267" max="11267" width="16" style="573" customWidth="1"/>
    <col min="11268" max="11268" width="12.7109375" style="573" customWidth="1"/>
    <col min="11269" max="11269" width="13.42578125" style="573" customWidth="1"/>
    <col min="11270" max="11270" width="9.42578125" style="573" customWidth="1"/>
    <col min="11271" max="11271" width="10" style="573" customWidth="1"/>
    <col min="11272" max="11276" width="10.7109375" style="573" customWidth="1"/>
    <col min="11277" max="11517" width="9.140625" style="573"/>
    <col min="11518" max="11518" width="3.85546875" style="573" customWidth="1"/>
    <col min="11519" max="11519" width="20.7109375" style="573" customWidth="1"/>
    <col min="11520" max="11520" width="12.7109375" style="573" customWidth="1"/>
    <col min="11521" max="11521" width="12.42578125" style="573" customWidth="1"/>
    <col min="11522" max="11522" width="13.28515625" style="573" customWidth="1"/>
    <col min="11523" max="11523" width="16" style="573" customWidth="1"/>
    <col min="11524" max="11524" width="12.7109375" style="573" customWidth="1"/>
    <col min="11525" max="11525" width="13.42578125" style="573" customWidth="1"/>
    <col min="11526" max="11526" width="9.42578125" style="573" customWidth="1"/>
    <col min="11527" max="11527" width="10" style="573" customWidth="1"/>
    <col min="11528" max="11532" width="10.7109375" style="573" customWidth="1"/>
    <col min="11533" max="11773" width="9.140625" style="573"/>
    <col min="11774" max="11774" width="3.85546875" style="573" customWidth="1"/>
    <col min="11775" max="11775" width="20.7109375" style="573" customWidth="1"/>
    <col min="11776" max="11776" width="12.7109375" style="573" customWidth="1"/>
    <col min="11777" max="11777" width="12.42578125" style="573" customWidth="1"/>
    <col min="11778" max="11778" width="13.28515625" style="573" customWidth="1"/>
    <col min="11779" max="11779" width="16" style="573" customWidth="1"/>
    <col min="11780" max="11780" width="12.7109375" style="573" customWidth="1"/>
    <col min="11781" max="11781" width="13.42578125" style="573" customWidth="1"/>
    <col min="11782" max="11782" width="9.42578125" style="573" customWidth="1"/>
    <col min="11783" max="11783" width="10" style="573" customWidth="1"/>
    <col min="11784" max="11788" width="10.7109375" style="573" customWidth="1"/>
    <col min="11789" max="12029" width="9.140625" style="573"/>
    <col min="12030" max="12030" width="3.85546875" style="573" customWidth="1"/>
    <col min="12031" max="12031" width="20.7109375" style="573" customWidth="1"/>
    <col min="12032" max="12032" width="12.7109375" style="573" customWidth="1"/>
    <col min="12033" max="12033" width="12.42578125" style="573" customWidth="1"/>
    <col min="12034" max="12034" width="13.28515625" style="573" customWidth="1"/>
    <col min="12035" max="12035" width="16" style="573" customWidth="1"/>
    <col min="12036" max="12036" width="12.7109375" style="573" customWidth="1"/>
    <col min="12037" max="12037" width="13.42578125" style="573" customWidth="1"/>
    <col min="12038" max="12038" width="9.42578125" style="573" customWidth="1"/>
    <col min="12039" max="12039" width="10" style="573" customWidth="1"/>
    <col min="12040" max="12044" width="10.7109375" style="573" customWidth="1"/>
    <col min="12045" max="12285" width="9.140625" style="573"/>
    <col min="12286" max="12286" width="3.85546875" style="573" customWidth="1"/>
    <col min="12287" max="12287" width="20.7109375" style="573" customWidth="1"/>
    <col min="12288" max="12288" width="12.7109375" style="573" customWidth="1"/>
    <col min="12289" max="12289" width="12.42578125" style="573" customWidth="1"/>
    <col min="12290" max="12290" width="13.28515625" style="573" customWidth="1"/>
    <col min="12291" max="12291" width="16" style="573" customWidth="1"/>
    <col min="12292" max="12292" width="12.7109375" style="573" customWidth="1"/>
    <col min="12293" max="12293" width="13.42578125" style="573" customWidth="1"/>
    <col min="12294" max="12294" width="9.42578125" style="573" customWidth="1"/>
    <col min="12295" max="12295" width="10" style="573" customWidth="1"/>
    <col min="12296" max="12300" width="10.7109375" style="573" customWidth="1"/>
    <col min="12301" max="12541" width="9.140625" style="573"/>
    <col min="12542" max="12542" width="3.85546875" style="573" customWidth="1"/>
    <col min="12543" max="12543" width="20.7109375" style="573" customWidth="1"/>
    <col min="12544" max="12544" width="12.7109375" style="573" customWidth="1"/>
    <col min="12545" max="12545" width="12.42578125" style="573" customWidth="1"/>
    <col min="12546" max="12546" width="13.28515625" style="573" customWidth="1"/>
    <col min="12547" max="12547" width="16" style="573" customWidth="1"/>
    <col min="12548" max="12548" width="12.7109375" style="573" customWidth="1"/>
    <col min="12549" max="12549" width="13.42578125" style="573" customWidth="1"/>
    <col min="12550" max="12550" width="9.42578125" style="573" customWidth="1"/>
    <col min="12551" max="12551" width="10" style="573" customWidth="1"/>
    <col min="12552" max="12556" width="10.7109375" style="573" customWidth="1"/>
    <col min="12557" max="12797" width="9.140625" style="573"/>
    <col min="12798" max="12798" width="3.85546875" style="573" customWidth="1"/>
    <col min="12799" max="12799" width="20.7109375" style="573" customWidth="1"/>
    <col min="12800" max="12800" width="12.7109375" style="573" customWidth="1"/>
    <col min="12801" max="12801" width="12.42578125" style="573" customWidth="1"/>
    <col min="12802" max="12802" width="13.28515625" style="573" customWidth="1"/>
    <col min="12803" max="12803" width="16" style="573" customWidth="1"/>
    <col min="12804" max="12804" width="12.7109375" style="573" customWidth="1"/>
    <col min="12805" max="12805" width="13.42578125" style="573" customWidth="1"/>
    <col min="12806" max="12806" width="9.42578125" style="573" customWidth="1"/>
    <col min="12807" max="12807" width="10" style="573" customWidth="1"/>
    <col min="12808" max="12812" width="10.7109375" style="573" customWidth="1"/>
    <col min="12813" max="13053" width="9.140625" style="573"/>
    <col min="13054" max="13054" width="3.85546875" style="573" customWidth="1"/>
    <col min="13055" max="13055" width="20.7109375" style="573" customWidth="1"/>
    <col min="13056" max="13056" width="12.7109375" style="573" customWidth="1"/>
    <col min="13057" max="13057" width="12.42578125" style="573" customWidth="1"/>
    <col min="13058" max="13058" width="13.28515625" style="573" customWidth="1"/>
    <col min="13059" max="13059" width="16" style="573" customWidth="1"/>
    <col min="13060" max="13060" width="12.7109375" style="573" customWidth="1"/>
    <col min="13061" max="13061" width="13.42578125" style="573" customWidth="1"/>
    <col min="13062" max="13062" width="9.42578125" style="573" customWidth="1"/>
    <col min="13063" max="13063" width="10" style="573" customWidth="1"/>
    <col min="13064" max="13068" width="10.7109375" style="573" customWidth="1"/>
    <col min="13069" max="13309" width="9.140625" style="573"/>
    <col min="13310" max="13310" width="3.85546875" style="573" customWidth="1"/>
    <col min="13311" max="13311" width="20.7109375" style="573" customWidth="1"/>
    <col min="13312" max="13312" width="12.7109375" style="573" customWidth="1"/>
    <col min="13313" max="13313" width="12.42578125" style="573" customWidth="1"/>
    <col min="13314" max="13314" width="13.28515625" style="573" customWidth="1"/>
    <col min="13315" max="13315" width="16" style="573" customWidth="1"/>
    <col min="13316" max="13316" width="12.7109375" style="573" customWidth="1"/>
    <col min="13317" max="13317" width="13.42578125" style="573" customWidth="1"/>
    <col min="13318" max="13318" width="9.42578125" style="573" customWidth="1"/>
    <col min="13319" max="13319" width="10" style="573" customWidth="1"/>
    <col min="13320" max="13324" width="10.7109375" style="573" customWidth="1"/>
    <col min="13325" max="13565" width="9.140625" style="573"/>
    <col min="13566" max="13566" width="3.85546875" style="573" customWidth="1"/>
    <col min="13567" max="13567" width="20.7109375" style="573" customWidth="1"/>
    <col min="13568" max="13568" width="12.7109375" style="573" customWidth="1"/>
    <col min="13569" max="13569" width="12.42578125" style="573" customWidth="1"/>
    <col min="13570" max="13570" width="13.28515625" style="573" customWidth="1"/>
    <col min="13571" max="13571" width="16" style="573" customWidth="1"/>
    <col min="13572" max="13572" width="12.7109375" style="573" customWidth="1"/>
    <col min="13573" max="13573" width="13.42578125" style="573" customWidth="1"/>
    <col min="13574" max="13574" width="9.42578125" style="573" customWidth="1"/>
    <col min="13575" max="13575" width="10" style="573" customWidth="1"/>
    <col min="13576" max="13580" width="10.7109375" style="573" customWidth="1"/>
    <col min="13581" max="13821" width="9.140625" style="573"/>
    <col min="13822" max="13822" width="3.85546875" style="573" customWidth="1"/>
    <col min="13823" max="13823" width="20.7109375" style="573" customWidth="1"/>
    <col min="13824" max="13824" width="12.7109375" style="573" customWidth="1"/>
    <col min="13825" max="13825" width="12.42578125" style="573" customWidth="1"/>
    <col min="13826" max="13826" width="13.28515625" style="573" customWidth="1"/>
    <col min="13827" max="13827" width="16" style="573" customWidth="1"/>
    <col min="13828" max="13828" width="12.7109375" style="573" customWidth="1"/>
    <col min="13829" max="13829" width="13.42578125" style="573" customWidth="1"/>
    <col min="13830" max="13830" width="9.42578125" style="573" customWidth="1"/>
    <col min="13831" max="13831" width="10" style="573" customWidth="1"/>
    <col min="13832" max="13836" width="10.7109375" style="573" customWidth="1"/>
    <col min="13837" max="14077" width="9.140625" style="573"/>
    <col min="14078" max="14078" width="3.85546875" style="573" customWidth="1"/>
    <col min="14079" max="14079" width="20.7109375" style="573" customWidth="1"/>
    <col min="14080" max="14080" width="12.7109375" style="573" customWidth="1"/>
    <col min="14081" max="14081" width="12.42578125" style="573" customWidth="1"/>
    <col min="14082" max="14082" width="13.28515625" style="573" customWidth="1"/>
    <col min="14083" max="14083" width="16" style="573" customWidth="1"/>
    <col min="14084" max="14084" width="12.7109375" style="573" customWidth="1"/>
    <col min="14085" max="14085" width="13.42578125" style="573" customWidth="1"/>
    <col min="14086" max="14086" width="9.42578125" style="573" customWidth="1"/>
    <col min="14087" max="14087" width="10" style="573" customWidth="1"/>
    <col min="14088" max="14092" width="10.7109375" style="573" customWidth="1"/>
    <col min="14093" max="14333" width="9.140625" style="573"/>
    <col min="14334" max="14334" width="3.85546875" style="573" customWidth="1"/>
    <col min="14335" max="14335" width="20.7109375" style="573" customWidth="1"/>
    <col min="14336" max="14336" width="12.7109375" style="573" customWidth="1"/>
    <col min="14337" max="14337" width="12.42578125" style="573" customWidth="1"/>
    <col min="14338" max="14338" width="13.28515625" style="573" customWidth="1"/>
    <col min="14339" max="14339" width="16" style="573" customWidth="1"/>
    <col min="14340" max="14340" width="12.7109375" style="573" customWidth="1"/>
    <col min="14341" max="14341" width="13.42578125" style="573" customWidth="1"/>
    <col min="14342" max="14342" width="9.42578125" style="573" customWidth="1"/>
    <col min="14343" max="14343" width="10" style="573" customWidth="1"/>
    <col min="14344" max="14348" width="10.7109375" style="573" customWidth="1"/>
    <col min="14349" max="14589" width="9.140625" style="573"/>
    <col min="14590" max="14590" width="3.85546875" style="573" customWidth="1"/>
    <col min="14591" max="14591" width="20.7109375" style="573" customWidth="1"/>
    <col min="14592" max="14592" width="12.7109375" style="573" customWidth="1"/>
    <col min="14593" max="14593" width="12.42578125" style="573" customWidth="1"/>
    <col min="14594" max="14594" width="13.28515625" style="573" customWidth="1"/>
    <col min="14595" max="14595" width="16" style="573" customWidth="1"/>
    <col min="14596" max="14596" width="12.7109375" style="573" customWidth="1"/>
    <col min="14597" max="14597" width="13.42578125" style="573" customWidth="1"/>
    <col min="14598" max="14598" width="9.42578125" style="573" customWidth="1"/>
    <col min="14599" max="14599" width="10" style="573" customWidth="1"/>
    <col min="14600" max="14604" width="10.7109375" style="573" customWidth="1"/>
    <col min="14605" max="14845" width="9.140625" style="573"/>
    <col min="14846" max="14846" width="3.85546875" style="573" customWidth="1"/>
    <col min="14847" max="14847" width="20.7109375" style="573" customWidth="1"/>
    <col min="14848" max="14848" width="12.7109375" style="573" customWidth="1"/>
    <col min="14849" max="14849" width="12.42578125" style="573" customWidth="1"/>
    <col min="14850" max="14850" width="13.28515625" style="573" customWidth="1"/>
    <col min="14851" max="14851" width="16" style="573" customWidth="1"/>
    <col min="14852" max="14852" width="12.7109375" style="573" customWidth="1"/>
    <col min="14853" max="14853" width="13.42578125" style="573" customWidth="1"/>
    <col min="14854" max="14854" width="9.42578125" style="573" customWidth="1"/>
    <col min="14855" max="14855" width="10" style="573" customWidth="1"/>
    <col min="14856" max="14860" width="10.7109375" style="573" customWidth="1"/>
    <col min="14861" max="15101" width="9.140625" style="573"/>
    <col min="15102" max="15102" width="3.85546875" style="573" customWidth="1"/>
    <col min="15103" max="15103" width="20.7109375" style="573" customWidth="1"/>
    <col min="15104" max="15104" width="12.7109375" style="573" customWidth="1"/>
    <col min="15105" max="15105" width="12.42578125" style="573" customWidth="1"/>
    <col min="15106" max="15106" width="13.28515625" style="573" customWidth="1"/>
    <col min="15107" max="15107" width="16" style="573" customWidth="1"/>
    <col min="15108" max="15108" width="12.7109375" style="573" customWidth="1"/>
    <col min="15109" max="15109" width="13.42578125" style="573" customWidth="1"/>
    <col min="15110" max="15110" width="9.42578125" style="573" customWidth="1"/>
    <col min="15111" max="15111" width="10" style="573" customWidth="1"/>
    <col min="15112" max="15116" width="10.7109375" style="573" customWidth="1"/>
    <col min="15117" max="15357" width="9.140625" style="573"/>
    <col min="15358" max="15358" width="3.85546875" style="573" customWidth="1"/>
    <col min="15359" max="15359" width="20.7109375" style="573" customWidth="1"/>
    <col min="15360" max="15360" width="12.7109375" style="573" customWidth="1"/>
    <col min="15361" max="15361" width="12.42578125" style="573" customWidth="1"/>
    <col min="15362" max="15362" width="13.28515625" style="573" customWidth="1"/>
    <col min="15363" max="15363" width="16" style="573" customWidth="1"/>
    <col min="15364" max="15364" width="12.7109375" style="573" customWidth="1"/>
    <col min="15365" max="15365" width="13.42578125" style="573" customWidth="1"/>
    <col min="15366" max="15366" width="9.42578125" style="573" customWidth="1"/>
    <col min="15367" max="15367" width="10" style="573" customWidth="1"/>
    <col min="15368" max="15372" width="10.7109375" style="573" customWidth="1"/>
    <col min="15373" max="15613" width="9.140625" style="573"/>
    <col min="15614" max="15614" width="3.85546875" style="573" customWidth="1"/>
    <col min="15615" max="15615" width="20.7109375" style="573" customWidth="1"/>
    <col min="15616" max="15616" width="12.7109375" style="573" customWidth="1"/>
    <col min="15617" max="15617" width="12.42578125" style="573" customWidth="1"/>
    <col min="15618" max="15618" width="13.28515625" style="573" customWidth="1"/>
    <col min="15619" max="15619" width="16" style="573" customWidth="1"/>
    <col min="15620" max="15620" width="12.7109375" style="573" customWidth="1"/>
    <col min="15621" max="15621" width="13.42578125" style="573" customWidth="1"/>
    <col min="15622" max="15622" width="9.42578125" style="573" customWidth="1"/>
    <col min="15623" max="15623" width="10" style="573" customWidth="1"/>
    <col min="15624" max="15628" width="10.7109375" style="573" customWidth="1"/>
    <col min="15629" max="15869" width="9.140625" style="573"/>
    <col min="15870" max="15870" width="3.85546875" style="573" customWidth="1"/>
    <col min="15871" max="15871" width="20.7109375" style="573" customWidth="1"/>
    <col min="15872" max="15872" width="12.7109375" style="573" customWidth="1"/>
    <col min="15873" max="15873" width="12.42578125" style="573" customWidth="1"/>
    <col min="15874" max="15874" width="13.28515625" style="573" customWidth="1"/>
    <col min="15875" max="15875" width="16" style="573" customWidth="1"/>
    <col min="15876" max="15876" width="12.7109375" style="573" customWidth="1"/>
    <col min="15877" max="15877" width="13.42578125" style="573" customWidth="1"/>
    <col min="15878" max="15878" width="9.42578125" style="573" customWidth="1"/>
    <col min="15879" max="15879" width="10" style="573" customWidth="1"/>
    <col min="15880" max="15884" width="10.7109375" style="573" customWidth="1"/>
    <col min="15885" max="16125" width="9.140625" style="573"/>
    <col min="16126" max="16126" width="3.85546875" style="573" customWidth="1"/>
    <col min="16127" max="16127" width="20.7109375" style="573" customWidth="1"/>
    <col min="16128" max="16128" width="12.7109375" style="573" customWidth="1"/>
    <col min="16129" max="16129" width="12.42578125" style="573" customWidth="1"/>
    <col min="16130" max="16130" width="13.28515625" style="573" customWidth="1"/>
    <col min="16131" max="16131" width="16" style="573" customWidth="1"/>
    <col min="16132" max="16132" width="12.7109375" style="573" customWidth="1"/>
    <col min="16133" max="16133" width="13.42578125" style="573" customWidth="1"/>
    <col min="16134" max="16134" width="9.42578125" style="573" customWidth="1"/>
    <col min="16135" max="16135" width="10" style="573" customWidth="1"/>
    <col min="16136" max="16140" width="10.7109375" style="573" customWidth="1"/>
    <col min="16141" max="16384" width="9.140625" style="573"/>
  </cols>
  <sheetData>
    <row r="1" spans="1:245" s="587" customFormat="1" x14ac:dyDescent="0.25">
      <c r="A1" s="584" t="s">
        <v>181</v>
      </c>
      <c r="B1" s="584" t="s">
        <v>182</v>
      </c>
      <c r="C1" s="584"/>
      <c r="D1" s="584"/>
      <c r="E1" s="585" t="s">
        <v>229</v>
      </c>
      <c r="F1" s="585"/>
      <c r="G1" s="585"/>
      <c r="H1" s="586"/>
      <c r="I1" s="586"/>
      <c r="J1" s="586"/>
      <c r="K1" s="586"/>
      <c r="L1" s="586"/>
      <c r="M1" s="586"/>
    </row>
    <row r="2" spans="1:245" ht="12.75" customHeight="1" x14ac:dyDescent="0.25">
      <c r="A2" s="573"/>
      <c r="B2" s="573"/>
      <c r="C2" s="573"/>
      <c r="D2" s="573"/>
      <c r="E2" s="573"/>
      <c r="F2" s="573"/>
      <c r="G2" s="573"/>
      <c r="H2" s="573"/>
      <c r="I2" s="573"/>
      <c r="J2" s="573"/>
      <c r="K2" s="573"/>
      <c r="L2" s="573"/>
      <c r="M2" s="573"/>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2"/>
      <c r="FD2" s="572"/>
      <c r="FE2" s="572"/>
      <c r="FF2" s="572"/>
      <c r="FG2" s="572"/>
      <c r="FH2" s="572"/>
      <c r="FI2" s="572"/>
      <c r="FJ2" s="572"/>
      <c r="FK2" s="572"/>
      <c r="FL2" s="572"/>
      <c r="FM2" s="572"/>
      <c r="FN2" s="572"/>
      <c r="FO2" s="572"/>
      <c r="FP2" s="572"/>
      <c r="FQ2" s="572"/>
      <c r="FR2" s="572"/>
      <c r="FS2" s="572"/>
      <c r="FT2" s="572"/>
      <c r="FU2" s="572"/>
      <c r="FV2" s="572"/>
      <c r="FW2" s="572"/>
      <c r="FX2" s="572"/>
      <c r="FY2" s="572"/>
      <c r="FZ2" s="572"/>
      <c r="GA2" s="572"/>
      <c r="GB2" s="572"/>
      <c r="GC2" s="572"/>
      <c r="GD2" s="572"/>
      <c r="GE2" s="572"/>
      <c r="GF2" s="572"/>
      <c r="GG2" s="572"/>
      <c r="GH2" s="572"/>
      <c r="GI2" s="572"/>
      <c r="GJ2" s="572"/>
      <c r="GK2" s="572"/>
      <c r="GL2" s="572"/>
      <c r="GM2" s="572"/>
      <c r="GN2" s="572"/>
      <c r="GO2" s="572"/>
      <c r="GP2" s="572"/>
      <c r="GQ2" s="572"/>
      <c r="GR2" s="572"/>
      <c r="GS2" s="572"/>
      <c r="GT2" s="572"/>
      <c r="GU2" s="572"/>
      <c r="GV2" s="572"/>
      <c r="GW2" s="572"/>
      <c r="GX2" s="572"/>
      <c r="GY2" s="572"/>
      <c r="GZ2" s="572"/>
      <c r="HA2" s="572"/>
      <c r="HB2" s="572"/>
      <c r="HC2" s="572"/>
      <c r="HD2" s="572"/>
      <c r="HE2" s="572"/>
      <c r="HF2" s="572"/>
      <c r="HG2" s="572"/>
      <c r="HH2" s="572"/>
      <c r="HI2" s="572"/>
      <c r="HJ2" s="572"/>
      <c r="HK2" s="572"/>
      <c r="HL2" s="572"/>
      <c r="HM2" s="572"/>
      <c r="HN2" s="572"/>
      <c r="HO2" s="572"/>
      <c r="HP2" s="572"/>
      <c r="HQ2" s="572"/>
      <c r="HR2" s="572"/>
      <c r="HS2" s="572"/>
      <c r="HT2" s="572"/>
      <c r="HU2" s="572"/>
      <c r="HV2" s="572"/>
      <c r="HW2" s="572"/>
      <c r="HX2" s="572"/>
      <c r="HY2" s="572"/>
      <c r="HZ2" s="572"/>
      <c r="IA2" s="572"/>
      <c r="IB2" s="572"/>
      <c r="IC2" s="572"/>
      <c r="ID2" s="572"/>
      <c r="IE2" s="572"/>
      <c r="IF2" s="572"/>
      <c r="IG2" s="572"/>
      <c r="IH2" s="572"/>
      <c r="II2" s="572"/>
      <c r="IJ2" s="572"/>
      <c r="IK2" s="572"/>
    </row>
    <row r="3" spans="1:245" ht="12.75" customHeight="1" x14ac:dyDescent="0.25">
      <c r="A3" s="573"/>
      <c r="B3" s="574" t="s">
        <v>183</v>
      </c>
      <c r="C3" s="574"/>
      <c r="D3" s="575" t="s">
        <v>184</v>
      </c>
      <c r="E3" s="572"/>
      <c r="F3" s="572"/>
      <c r="G3" s="572"/>
      <c r="H3" s="572"/>
      <c r="I3" s="573"/>
      <c r="J3" s="573"/>
      <c r="K3" s="573"/>
      <c r="L3" s="573"/>
      <c r="M3" s="573"/>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2"/>
      <c r="DH3" s="572"/>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2"/>
      <c r="EZ3" s="572"/>
      <c r="FA3" s="572"/>
      <c r="FB3" s="572"/>
      <c r="FC3" s="572"/>
      <c r="FD3" s="572"/>
      <c r="FE3" s="572"/>
      <c r="FF3" s="572"/>
      <c r="FG3" s="572"/>
      <c r="FH3" s="572"/>
      <c r="FI3" s="572"/>
      <c r="FJ3" s="572"/>
      <c r="FK3" s="572"/>
      <c r="FL3" s="572"/>
      <c r="FM3" s="572"/>
      <c r="FN3" s="572"/>
      <c r="FO3" s="572"/>
      <c r="FP3" s="572"/>
      <c r="FQ3" s="572"/>
      <c r="FR3" s="572"/>
      <c r="FS3" s="572"/>
      <c r="FT3" s="572"/>
      <c r="FU3" s="572"/>
      <c r="FV3" s="572"/>
      <c r="FW3" s="572"/>
      <c r="FX3" s="572"/>
      <c r="FY3" s="572"/>
      <c r="FZ3" s="572"/>
      <c r="GA3" s="572"/>
      <c r="GB3" s="572"/>
      <c r="GC3" s="572"/>
      <c r="GD3" s="572"/>
      <c r="GE3" s="572"/>
      <c r="GF3" s="572"/>
      <c r="GG3" s="572"/>
      <c r="GH3" s="572"/>
      <c r="GI3" s="572"/>
      <c r="GJ3" s="572"/>
      <c r="GK3" s="572"/>
      <c r="GL3" s="572"/>
      <c r="GM3" s="572"/>
      <c r="GN3" s="572"/>
      <c r="GO3" s="572"/>
      <c r="GP3" s="572"/>
      <c r="GQ3" s="572"/>
      <c r="GR3" s="572"/>
      <c r="GS3" s="572"/>
      <c r="GT3" s="572"/>
      <c r="GU3" s="572"/>
      <c r="GV3" s="572"/>
      <c r="GW3" s="572"/>
      <c r="GX3" s="572"/>
      <c r="GY3" s="572"/>
      <c r="GZ3" s="572"/>
      <c r="HA3" s="572"/>
      <c r="HB3" s="572"/>
      <c r="HC3" s="572"/>
      <c r="HD3" s="572"/>
      <c r="HE3" s="572"/>
      <c r="HF3" s="572"/>
      <c r="HG3" s="572"/>
      <c r="HH3" s="572"/>
      <c r="HI3" s="572"/>
      <c r="HJ3" s="572"/>
      <c r="HK3" s="572"/>
      <c r="HL3" s="572"/>
      <c r="HM3" s="572"/>
      <c r="HN3" s="572"/>
      <c r="HO3" s="572"/>
      <c r="HP3" s="572"/>
      <c r="HQ3" s="572"/>
      <c r="HR3" s="572"/>
      <c r="HS3" s="572"/>
      <c r="HT3" s="572"/>
      <c r="HU3" s="572"/>
      <c r="HV3" s="572"/>
      <c r="HW3" s="572"/>
      <c r="HX3" s="572"/>
      <c r="HY3" s="572"/>
      <c r="HZ3" s="572"/>
      <c r="IA3" s="572"/>
      <c r="IB3" s="572"/>
      <c r="IC3" s="572"/>
      <c r="ID3" s="572"/>
      <c r="IE3" s="572"/>
      <c r="IF3" s="572"/>
      <c r="IG3" s="572"/>
      <c r="IH3" s="572"/>
      <c r="II3" s="572"/>
      <c r="IJ3" s="572"/>
      <c r="IK3" s="572"/>
    </row>
    <row r="4" spans="1:245" ht="12.75" customHeight="1" x14ac:dyDescent="0.25">
      <c r="A4" s="573"/>
      <c r="B4" s="574" t="s">
        <v>185</v>
      </c>
      <c r="C4" s="574"/>
      <c r="D4" s="575" t="s">
        <v>186</v>
      </c>
      <c r="E4" s="572"/>
      <c r="F4" s="572"/>
      <c r="G4" s="572"/>
      <c r="H4" s="572"/>
      <c r="I4" s="573"/>
      <c r="J4" s="573"/>
      <c r="K4" s="573"/>
      <c r="L4" s="573"/>
      <c r="M4" s="573"/>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572"/>
      <c r="BH4" s="572"/>
      <c r="BI4" s="572"/>
      <c r="BJ4" s="572"/>
      <c r="BK4" s="572"/>
      <c r="BL4" s="572"/>
      <c r="BM4" s="572"/>
      <c r="BN4" s="572"/>
      <c r="BO4" s="572"/>
      <c r="BP4" s="572"/>
      <c r="BQ4" s="572"/>
      <c r="BR4" s="572"/>
      <c r="BS4" s="572"/>
      <c r="BT4" s="572"/>
      <c r="BU4" s="572"/>
      <c r="BV4" s="572"/>
      <c r="BW4" s="572"/>
      <c r="BX4" s="572"/>
      <c r="BY4" s="572"/>
      <c r="BZ4" s="572"/>
      <c r="CA4" s="572"/>
      <c r="CB4" s="572"/>
      <c r="CC4" s="572"/>
      <c r="CD4" s="572"/>
      <c r="CE4" s="572"/>
      <c r="CF4" s="572"/>
      <c r="CG4" s="572"/>
      <c r="CH4" s="572"/>
      <c r="CI4" s="572"/>
      <c r="CJ4" s="572"/>
      <c r="CK4" s="572"/>
      <c r="CL4" s="572"/>
      <c r="CM4" s="572"/>
      <c r="CN4" s="572"/>
      <c r="CO4" s="572"/>
      <c r="CP4" s="572"/>
      <c r="CQ4" s="572"/>
      <c r="CR4" s="572"/>
      <c r="CS4" s="572"/>
      <c r="CT4" s="572"/>
      <c r="CU4" s="572"/>
      <c r="CV4" s="572"/>
      <c r="CW4" s="572"/>
      <c r="CX4" s="572"/>
      <c r="CY4" s="572"/>
      <c r="CZ4" s="572"/>
      <c r="DA4" s="572"/>
      <c r="DB4" s="572"/>
      <c r="DC4" s="572"/>
      <c r="DD4" s="572"/>
      <c r="DE4" s="572"/>
      <c r="DF4" s="572"/>
      <c r="DG4" s="572"/>
      <c r="DH4" s="572"/>
      <c r="DI4" s="572"/>
      <c r="DJ4" s="572"/>
      <c r="DK4" s="572"/>
      <c r="DL4" s="572"/>
      <c r="DM4" s="572"/>
      <c r="DN4" s="572"/>
      <c r="DO4" s="572"/>
      <c r="DP4" s="572"/>
      <c r="DQ4" s="572"/>
      <c r="DR4" s="572"/>
      <c r="DS4" s="572"/>
      <c r="DT4" s="572"/>
      <c r="DU4" s="572"/>
      <c r="DV4" s="572"/>
      <c r="DW4" s="572"/>
      <c r="DX4" s="572"/>
      <c r="DY4" s="572"/>
      <c r="DZ4" s="572"/>
      <c r="EA4" s="572"/>
      <c r="EB4" s="572"/>
      <c r="EC4" s="572"/>
      <c r="ED4" s="572"/>
      <c r="EE4" s="572"/>
      <c r="EF4" s="572"/>
      <c r="EG4" s="572"/>
      <c r="EH4" s="572"/>
      <c r="EI4" s="572"/>
      <c r="EJ4" s="572"/>
      <c r="EK4" s="572"/>
      <c r="EL4" s="572"/>
      <c r="EM4" s="572"/>
      <c r="EN4" s="572"/>
      <c r="EO4" s="572"/>
      <c r="EP4" s="572"/>
      <c r="EQ4" s="572"/>
      <c r="ER4" s="572"/>
      <c r="ES4" s="572"/>
      <c r="ET4" s="572"/>
      <c r="EU4" s="572"/>
      <c r="EV4" s="572"/>
      <c r="EW4" s="572"/>
      <c r="EX4" s="572"/>
      <c r="EY4" s="572"/>
      <c r="EZ4" s="572"/>
      <c r="FA4" s="572"/>
      <c r="FB4" s="572"/>
      <c r="FC4" s="572"/>
      <c r="FD4" s="572"/>
      <c r="FE4" s="572"/>
      <c r="FF4" s="572"/>
      <c r="FG4" s="572"/>
      <c r="FH4" s="572"/>
      <c r="FI4" s="572"/>
      <c r="FJ4" s="572"/>
      <c r="FK4" s="572"/>
      <c r="FL4" s="572"/>
      <c r="FM4" s="572"/>
      <c r="FN4" s="572"/>
      <c r="FO4" s="572"/>
      <c r="FP4" s="572"/>
      <c r="FQ4" s="572"/>
      <c r="FR4" s="572"/>
      <c r="FS4" s="572"/>
      <c r="FT4" s="572"/>
      <c r="FU4" s="572"/>
      <c r="FV4" s="572"/>
      <c r="FW4" s="572"/>
      <c r="FX4" s="572"/>
      <c r="FY4" s="572"/>
      <c r="FZ4" s="572"/>
      <c r="GA4" s="572"/>
      <c r="GB4" s="572"/>
      <c r="GC4" s="572"/>
      <c r="GD4" s="572"/>
      <c r="GE4" s="572"/>
      <c r="GF4" s="572"/>
      <c r="GG4" s="572"/>
      <c r="GH4" s="572"/>
      <c r="GI4" s="572"/>
      <c r="GJ4" s="572"/>
      <c r="GK4" s="572"/>
      <c r="GL4" s="572"/>
      <c r="GM4" s="572"/>
      <c r="GN4" s="572"/>
      <c r="GO4" s="572"/>
      <c r="GP4" s="572"/>
      <c r="GQ4" s="572"/>
      <c r="GR4" s="572"/>
      <c r="GS4" s="572"/>
      <c r="GT4" s="572"/>
      <c r="GU4" s="572"/>
      <c r="GV4" s="572"/>
      <c r="GW4" s="572"/>
      <c r="GX4" s="572"/>
      <c r="GY4" s="572"/>
      <c r="GZ4" s="572"/>
      <c r="HA4" s="572"/>
      <c r="HB4" s="572"/>
      <c r="HC4" s="572"/>
      <c r="HD4" s="572"/>
      <c r="HE4" s="572"/>
      <c r="HF4" s="572"/>
      <c r="HG4" s="572"/>
      <c r="HH4" s="572"/>
      <c r="HI4" s="572"/>
      <c r="HJ4" s="572"/>
      <c r="HK4" s="572"/>
      <c r="HL4" s="572"/>
      <c r="HM4" s="572"/>
      <c r="HN4" s="572"/>
      <c r="HO4" s="572"/>
      <c r="HP4" s="572"/>
      <c r="HQ4" s="572"/>
      <c r="HR4" s="572"/>
      <c r="HS4" s="572"/>
      <c r="HT4" s="572"/>
      <c r="HU4" s="572"/>
      <c r="HV4" s="572"/>
      <c r="HW4" s="572"/>
      <c r="HX4" s="572"/>
      <c r="HY4" s="572"/>
      <c r="HZ4" s="572"/>
      <c r="IA4" s="572"/>
      <c r="IB4" s="572"/>
      <c r="IC4" s="572"/>
      <c r="ID4" s="572"/>
      <c r="IE4" s="572"/>
      <c r="IF4" s="572"/>
      <c r="IG4" s="572"/>
      <c r="IH4" s="572"/>
      <c r="II4" s="572"/>
      <c r="IJ4" s="572"/>
      <c r="IK4" s="572"/>
    </row>
    <row r="5" spans="1:245" s="588" customFormat="1" ht="12.75" customHeight="1" x14ac:dyDescent="0.2">
      <c r="B5" s="574"/>
      <c r="C5" s="574"/>
      <c r="D5" s="589"/>
      <c r="E5" s="590"/>
      <c r="H5" s="573"/>
      <c r="I5" s="573"/>
      <c r="J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573"/>
      <c r="BA5" s="573"/>
      <c r="BB5" s="573"/>
      <c r="BC5" s="573"/>
      <c r="BD5" s="573"/>
      <c r="BE5" s="573"/>
      <c r="BF5" s="573"/>
      <c r="BG5" s="573"/>
      <c r="BH5" s="573"/>
      <c r="BI5" s="573"/>
      <c r="BJ5" s="573"/>
      <c r="BK5" s="573"/>
      <c r="BL5" s="573"/>
      <c r="BM5" s="573"/>
      <c r="BN5" s="573"/>
      <c r="BO5" s="573"/>
      <c r="BP5" s="573"/>
      <c r="BQ5" s="573"/>
      <c r="BR5" s="573"/>
      <c r="BS5" s="573"/>
      <c r="BT5" s="573"/>
      <c r="BU5" s="573"/>
      <c r="BV5" s="573"/>
      <c r="BW5" s="573"/>
      <c r="BX5" s="573"/>
      <c r="BY5" s="573"/>
      <c r="BZ5" s="573"/>
      <c r="CA5" s="573"/>
      <c r="CB5" s="573"/>
      <c r="CC5" s="573"/>
      <c r="CD5" s="573"/>
      <c r="CE5" s="573"/>
      <c r="CF5" s="573"/>
      <c r="CG5" s="573"/>
      <c r="CH5" s="573"/>
      <c r="CI5" s="573"/>
      <c r="CJ5" s="573"/>
      <c r="CK5" s="573"/>
      <c r="CL5" s="573"/>
      <c r="CM5" s="573"/>
      <c r="CN5" s="573"/>
      <c r="CO5" s="573"/>
      <c r="CP5" s="573"/>
      <c r="CQ5" s="573"/>
      <c r="CR5" s="573"/>
      <c r="CS5" s="573"/>
      <c r="CT5" s="573"/>
      <c r="CU5" s="573"/>
      <c r="CV5" s="573"/>
      <c r="CW5" s="573"/>
      <c r="CX5" s="573"/>
      <c r="CY5" s="573"/>
      <c r="CZ5" s="573"/>
      <c r="DA5" s="573"/>
      <c r="DB5" s="573"/>
      <c r="DC5" s="573"/>
      <c r="DD5" s="573"/>
      <c r="DE5" s="573"/>
      <c r="DF5" s="573"/>
      <c r="DG5" s="573"/>
      <c r="DH5" s="573"/>
      <c r="DI5" s="573"/>
      <c r="DJ5" s="573"/>
      <c r="DK5" s="573"/>
      <c r="DL5" s="573"/>
      <c r="DM5" s="573"/>
      <c r="DN5" s="573"/>
      <c r="DO5" s="573"/>
      <c r="DP5" s="573"/>
      <c r="DQ5" s="573"/>
      <c r="DR5" s="573"/>
      <c r="DS5" s="573"/>
      <c r="DT5" s="573"/>
      <c r="DU5" s="573"/>
      <c r="DV5" s="573"/>
      <c r="DW5" s="573"/>
      <c r="DX5" s="573"/>
      <c r="DY5" s="573"/>
      <c r="DZ5" s="573"/>
      <c r="EA5" s="573"/>
      <c r="EB5" s="573"/>
      <c r="EC5" s="573"/>
      <c r="ED5" s="573"/>
      <c r="EE5" s="573"/>
      <c r="EF5" s="573"/>
      <c r="EG5" s="573"/>
      <c r="EH5" s="573"/>
      <c r="EI5" s="573"/>
      <c r="EJ5" s="573"/>
      <c r="EK5" s="573"/>
      <c r="EL5" s="573"/>
      <c r="EM5" s="573"/>
      <c r="EN5" s="573"/>
      <c r="EO5" s="573"/>
      <c r="EP5" s="573"/>
      <c r="EQ5" s="573"/>
      <c r="ER5" s="573"/>
      <c r="ES5" s="573"/>
      <c r="ET5" s="573"/>
      <c r="EU5" s="573"/>
      <c r="EV5" s="573"/>
      <c r="EW5" s="573"/>
      <c r="EX5" s="573"/>
      <c r="EY5" s="573"/>
      <c r="EZ5" s="573"/>
      <c r="FA5" s="573"/>
      <c r="FB5" s="573"/>
      <c r="FC5" s="573"/>
      <c r="FD5" s="573"/>
      <c r="FE5" s="573"/>
      <c r="FF5" s="573"/>
      <c r="FG5" s="573"/>
      <c r="FH5" s="573"/>
      <c r="FI5" s="573"/>
      <c r="FJ5" s="573"/>
      <c r="FK5" s="573"/>
      <c r="FL5" s="573"/>
      <c r="FM5" s="573"/>
      <c r="FN5" s="573"/>
      <c r="FO5" s="573"/>
      <c r="FP5" s="573"/>
      <c r="FQ5" s="573"/>
      <c r="FR5" s="573"/>
      <c r="FS5" s="573"/>
      <c r="FT5" s="573"/>
      <c r="FU5" s="573"/>
      <c r="FV5" s="573"/>
      <c r="FW5" s="573"/>
      <c r="FX5" s="573"/>
      <c r="FY5" s="573"/>
      <c r="FZ5" s="573"/>
      <c r="GA5" s="573"/>
      <c r="GB5" s="573"/>
      <c r="GC5" s="573"/>
      <c r="GD5" s="573"/>
      <c r="GE5" s="573"/>
      <c r="GF5" s="573"/>
      <c r="GG5" s="573"/>
      <c r="GH5" s="573"/>
      <c r="GI5" s="573"/>
      <c r="GJ5" s="573"/>
      <c r="GK5" s="573"/>
      <c r="GL5" s="573"/>
      <c r="GM5" s="573"/>
      <c r="GN5" s="573"/>
      <c r="GO5" s="573"/>
      <c r="GP5" s="573"/>
      <c r="GQ5" s="573"/>
      <c r="GR5" s="573"/>
      <c r="GS5" s="573"/>
      <c r="GT5" s="573"/>
      <c r="GU5" s="573"/>
      <c r="GV5" s="573"/>
      <c r="GW5" s="573"/>
      <c r="GX5" s="573"/>
      <c r="GY5" s="573"/>
      <c r="GZ5" s="573"/>
      <c r="HA5" s="573"/>
      <c r="HB5" s="573"/>
      <c r="HC5" s="573"/>
      <c r="HD5" s="573"/>
      <c r="HE5" s="573"/>
      <c r="HF5" s="573"/>
      <c r="HG5" s="573"/>
      <c r="HH5" s="573"/>
      <c r="HI5" s="573"/>
      <c r="HJ5" s="573"/>
      <c r="HK5" s="573"/>
      <c r="HL5" s="573"/>
      <c r="HM5" s="573"/>
      <c r="HN5" s="573"/>
      <c r="HO5" s="573"/>
      <c r="HP5" s="573"/>
      <c r="HQ5" s="573"/>
      <c r="HR5" s="573"/>
      <c r="HS5" s="573"/>
      <c r="HT5" s="573"/>
      <c r="HU5" s="573"/>
      <c r="HV5" s="573"/>
      <c r="HW5" s="573"/>
      <c r="HX5" s="573"/>
      <c r="HY5" s="573"/>
      <c r="HZ5" s="573"/>
      <c r="IA5" s="573"/>
      <c r="IB5" s="573"/>
      <c r="IC5" s="573"/>
      <c r="ID5" s="573"/>
      <c r="IE5" s="573"/>
      <c r="IF5" s="573"/>
      <c r="IG5" s="573"/>
      <c r="IH5" s="573"/>
      <c r="II5" s="573"/>
      <c r="IJ5" s="573"/>
      <c r="IK5" s="573"/>
    </row>
    <row r="6" spans="1:245" s="588" customFormat="1" ht="12.75" customHeight="1" thickBot="1" x14ac:dyDescent="0.25">
      <c r="B6" s="574" t="s">
        <v>187</v>
      </c>
      <c r="C6" s="581"/>
      <c r="D6" s="576"/>
      <c r="E6" s="581"/>
      <c r="F6" s="581"/>
      <c r="H6" s="573"/>
      <c r="I6" s="573"/>
      <c r="J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573"/>
      <c r="BO6" s="573"/>
      <c r="BP6" s="573"/>
      <c r="BQ6" s="573"/>
      <c r="BR6" s="573"/>
      <c r="BS6" s="573"/>
      <c r="BT6" s="573"/>
      <c r="BU6" s="573"/>
      <c r="BV6" s="573"/>
      <c r="BW6" s="573"/>
      <c r="BX6" s="573"/>
      <c r="BY6" s="573"/>
      <c r="BZ6" s="573"/>
      <c r="CA6" s="573"/>
      <c r="CB6" s="573"/>
      <c r="CC6" s="573"/>
      <c r="CD6" s="573"/>
      <c r="CE6" s="573"/>
      <c r="CF6" s="573"/>
      <c r="CG6" s="573"/>
      <c r="CH6" s="573"/>
      <c r="CI6" s="573"/>
      <c r="CJ6" s="573"/>
      <c r="CK6" s="573"/>
      <c r="CL6" s="573"/>
      <c r="CM6" s="573"/>
      <c r="CN6" s="573"/>
      <c r="CO6" s="573"/>
      <c r="CP6" s="573"/>
      <c r="CQ6" s="573"/>
      <c r="CR6" s="573"/>
      <c r="CS6" s="573"/>
      <c r="CT6" s="573"/>
      <c r="CU6" s="573"/>
      <c r="CV6" s="573"/>
      <c r="CW6" s="573"/>
      <c r="CX6" s="573"/>
      <c r="CY6" s="573"/>
      <c r="CZ6" s="573"/>
      <c r="DA6" s="573"/>
      <c r="DB6" s="573"/>
      <c r="DC6" s="573"/>
      <c r="DD6" s="573"/>
      <c r="DE6" s="573"/>
      <c r="DF6" s="573"/>
      <c r="DG6" s="573"/>
      <c r="DH6" s="573"/>
      <c r="DI6" s="573"/>
      <c r="DJ6" s="573"/>
      <c r="DK6" s="573"/>
      <c r="DL6" s="573"/>
      <c r="DM6" s="573"/>
      <c r="DN6" s="573"/>
      <c r="DO6" s="573"/>
      <c r="DP6" s="573"/>
      <c r="DQ6" s="573"/>
      <c r="DR6" s="573"/>
      <c r="DS6" s="573"/>
      <c r="DT6" s="573"/>
      <c r="DU6" s="573"/>
      <c r="DV6" s="573"/>
      <c r="DW6" s="573"/>
      <c r="DX6" s="573"/>
      <c r="DY6" s="573"/>
      <c r="DZ6" s="573"/>
      <c r="EA6" s="573"/>
      <c r="EB6" s="573"/>
      <c r="EC6" s="573"/>
      <c r="ED6" s="573"/>
      <c r="EE6" s="573"/>
      <c r="EF6" s="573"/>
      <c r="EG6" s="573"/>
      <c r="EH6" s="573"/>
      <c r="EI6" s="573"/>
      <c r="EJ6" s="573"/>
      <c r="EK6" s="573"/>
      <c r="EL6" s="573"/>
      <c r="EM6" s="573"/>
      <c r="EN6" s="573"/>
      <c r="EO6" s="573"/>
      <c r="EP6" s="573"/>
      <c r="EQ6" s="573"/>
      <c r="ER6" s="573"/>
      <c r="ES6" s="573"/>
      <c r="ET6" s="573"/>
      <c r="EU6" s="573"/>
      <c r="EV6" s="573"/>
      <c r="EW6" s="573"/>
      <c r="EX6" s="573"/>
      <c r="EY6" s="573"/>
      <c r="EZ6" s="573"/>
      <c r="FA6" s="573"/>
      <c r="FB6" s="573"/>
      <c r="FC6" s="573"/>
      <c r="FD6" s="573"/>
      <c r="FE6" s="573"/>
      <c r="FF6" s="573"/>
      <c r="FG6" s="573"/>
      <c r="FH6" s="573"/>
      <c r="FI6" s="573"/>
      <c r="FJ6" s="573"/>
      <c r="FK6" s="573"/>
      <c r="FL6" s="573"/>
      <c r="FM6" s="573"/>
      <c r="FN6" s="573"/>
      <c r="FO6" s="573"/>
      <c r="FP6" s="573"/>
      <c r="FQ6" s="573"/>
      <c r="FR6" s="573"/>
      <c r="FS6" s="573"/>
      <c r="FT6" s="573"/>
      <c r="FU6" s="573"/>
      <c r="FV6" s="573"/>
      <c r="FW6" s="573"/>
      <c r="FX6" s="573"/>
      <c r="FY6" s="573"/>
      <c r="FZ6" s="573"/>
      <c r="GA6" s="573"/>
      <c r="GB6" s="573"/>
      <c r="GC6" s="573"/>
      <c r="GD6" s="573"/>
      <c r="GE6" s="573"/>
      <c r="GF6" s="573"/>
      <c r="GG6" s="573"/>
      <c r="GH6" s="573"/>
      <c r="GI6" s="573"/>
      <c r="GJ6" s="573"/>
      <c r="GK6" s="573"/>
      <c r="GL6" s="573"/>
      <c r="GM6" s="573"/>
      <c r="GN6" s="573"/>
      <c r="GO6" s="573"/>
      <c r="GP6" s="573"/>
      <c r="GQ6" s="573"/>
      <c r="GR6" s="573"/>
      <c r="GS6" s="573"/>
      <c r="GT6" s="573"/>
      <c r="GU6" s="573"/>
      <c r="GV6" s="573"/>
      <c r="GW6" s="573"/>
      <c r="GX6" s="573"/>
      <c r="GY6" s="573"/>
      <c r="GZ6" s="573"/>
      <c r="HA6" s="573"/>
      <c r="HB6" s="573"/>
      <c r="HC6" s="573"/>
      <c r="HD6" s="573"/>
      <c r="HE6" s="573"/>
      <c r="HF6" s="573"/>
      <c r="HG6" s="573"/>
      <c r="HH6" s="573"/>
      <c r="HI6" s="573"/>
      <c r="HJ6" s="573"/>
      <c r="HK6" s="573"/>
      <c r="HL6" s="573"/>
      <c r="HM6" s="573"/>
      <c r="HN6" s="573"/>
      <c r="HO6" s="573"/>
      <c r="HP6" s="573"/>
      <c r="HQ6" s="573"/>
      <c r="HR6" s="573"/>
      <c r="HS6" s="573"/>
      <c r="HT6" s="573"/>
      <c r="HU6" s="573"/>
      <c r="HV6" s="573"/>
      <c r="HW6" s="573"/>
      <c r="HX6" s="573"/>
      <c r="HY6" s="573"/>
      <c r="HZ6" s="573"/>
      <c r="IA6" s="573"/>
      <c r="IB6" s="573"/>
      <c r="IC6" s="573"/>
      <c r="ID6" s="573"/>
      <c r="IE6" s="573"/>
      <c r="IF6" s="573"/>
      <c r="IG6" s="573"/>
      <c r="IH6" s="573"/>
      <c r="II6" s="573"/>
      <c r="IJ6" s="573"/>
      <c r="IK6" s="573"/>
    </row>
    <row r="7" spans="1:245" s="588" customFormat="1" ht="12.75" customHeight="1" thickTop="1" thickBot="1" x14ac:dyDescent="0.25">
      <c r="B7" s="1063" t="s">
        <v>188</v>
      </c>
      <c r="C7" s="1064"/>
      <c r="D7" s="1064"/>
      <c r="E7" s="1065"/>
      <c r="F7" s="1066" t="s">
        <v>189</v>
      </c>
      <c r="G7" s="1067"/>
      <c r="H7" s="573"/>
      <c r="I7" s="573"/>
      <c r="J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c r="BD7" s="573"/>
      <c r="BE7" s="573"/>
      <c r="BF7" s="573"/>
      <c r="BG7" s="573"/>
      <c r="BH7" s="573"/>
      <c r="BI7" s="573"/>
      <c r="BJ7" s="573"/>
      <c r="BK7" s="573"/>
      <c r="BL7" s="573"/>
      <c r="BM7" s="573"/>
      <c r="BN7" s="573"/>
      <c r="BO7" s="573"/>
      <c r="BP7" s="573"/>
      <c r="BQ7" s="573"/>
      <c r="BR7" s="573"/>
      <c r="BS7" s="573"/>
      <c r="BT7" s="573"/>
      <c r="BU7" s="573"/>
      <c r="BV7" s="573"/>
      <c r="BW7" s="573"/>
      <c r="BX7" s="573"/>
      <c r="BY7" s="573"/>
      <c r="BZ7" s="573"/>
      <c r="CA7" s="573"/>
      <c r="CB7" s="573"/>
      <c r="CC7" s="573"/>
      <c r="CD7" s="573"/>
      <c r="CE7" s="573"/>
      <c r="CF7" s="573"/>
      <c r="CG7" s="573"/>
      <c r="CH7" s="573"/>
      <c r="CI7" s="573"/>
      <c r="CJ7" s="573"/>
      <c r="CK7" s="573"/>
      <c r="CL7" s="573"/>
      <c r="CM7" s="573"/>
      <c r="CN7" s="573"/>
      <c r="CO7" s="573"/>
      <c r="CP7" s="573"/>
      <c r="CQ7" s="573"/>
      <c r="CR7" s="573"/>
      <c r="CS7" s="573"/>
      <c r="CT7" s="573"/>
      <c r="CU7" s="573"/>
      <c r="CV7" s="573"/>
      <c r="CW7" s="573"/>
      <c r="CX7" s="573"/>
      <c r="CY7" s="573"/>
      <c r="CZ7" s="573"/>
      <c r="DA7" s="573"/>
      <c r="DB7" s="573"/>
      <c r="DC7" s="573"/>
      <c r="DD7" s="573"/>
      <c r="DE7" s="573"/>
      <c r="DF7" s="573"/>
      <c r="DG7" s="573"/>
      <c r="DH7" s="573"/>
      <c r="DI7" s="573"/>
      <c r="DJ7" s="573"/>
      <c r="DK7" s="573"/>
      <c r="DL7" s="573"/>
      <c r="DM7" s="573"/>
      <c r="DN7" s="573"/>
      <c r="DO7" s="573"/>
      <c r="DP7" s="573"/>
      <c r="DQ7" s="573"/>
      <c r="DR7" s="573"/>
      <c r="DS7" s="573"/>
      <c r="DT7" s="573"/>
      <c r="DU7" s="573"/>
      <c r="DV7" s="573"/>
      <c r="DW7" s="573"/>
      <c r="DX7" s="573"/>
      <c r="DY7" s="573"/>
      <c r="DZ7" s="573"/>
      <c r="EA7" s="573"/>
      <c r="EB7" s="573"/>
      <c r="EC7" s="573"/>
      <c r="ED7" s="573"/>
      <c r="EE7" s="573"/>
      <c r="EF7" s="573"/>
      <c r="EG7" s="573"/>
      <c r="EH7" s="573"/>
      <c r="EI7" s="573"/>
      <c r="EJ7" s="573"/>
      <c r="EK7" s="573"/>
      <c r="EL7" s="573"/>
      <c r="EM7" s="573"/>
      <c r="EN7" s="573"/>
      <c r="EO7" s="573"/>
      <c r="EP7" s="573"/>
      <c r="EQ7" s="573"/>
      <c r="ER7" s="573"/>
      <c r="ES7" s="573"/>
      <c r="ET7" s="573"/>
      <c r="EU7" s="573"/>
      <c r="EV7" s="573"/>
      <c r="EW7" s="573"/>
      <c r="EX7" s="573"/>
      <c r="EY7" s="573"/>
      <c r="EZ7" s="573"/>
      <c r="FA7" s="573"/>
      <c r="FB7" s="573"/>
      <c r="FC7" s="573"/>
      <c r="FD7" s="573"/>
      <c r="FE7" s="573"/>
      <c r="FF7" s="573"/>
      <c r="FG7" s="573"/>
      <c r="FH7" s="573"/>
      <c r="FI7" s="573"/>
      <c r="FJ7" s="573"/>
      <c r="FK7" s="573"/>
      <c r="FL7" s="573"/>
      <c r="FM7" s="573"/>
      <c r="FN7" s="573"/>
      <c r="FO7" s="573"/>
      <c r="FP7" s="573"/>
      <c r="FQ7" s="573"/>
      <c r="FR7" s="573"/>
      <c r="FS7" s="573"/>
      <c r="FT7" s="573"/>
      <c r="FU7" s="573"/>
      <c r="FV7" s="573"/>
      <c r="FW7" s="573"/>
      <c r="FX7" s="573"/>
      <c r="FY7" s="573"/>
      <c r="FZ7" s="573"/>
      <c r="GA7" s="573"/>
      <c r="GB7" s="573"/>
      <c r="GC7" s="573"/>
      <c r="GD7" s="573"/>
      <c r="GE7" s="573"/>
      <c r="GF7" s="573"/>
      <c r="GG7" s="573"/>
      <c r="GH7" s="573"/>
      <c r="GI7" s="573"/>
      <c r="GJ7" s="573"/>
      <c r="GK7" s="573"/>
      <c r="GL7" s="573"/>
      <c r="GM7" s="573"/>
      <c r="GN7" s="573"/>
      <c r="GO7" s="573"/>
      <c r="GP7" s="573"/>
      <c r="GQ7" s="573"/>
      <c r="GR7" s="573"/>
      <c r="GS7" s="573"/>
      <c r="GT7" s="573"/>
      <c r="GU7" s="573"/>
      <c r="GV7" s="573"/>
      <c r="GW7" s="573"/>
      <c r="GX7" s="573"/>
      <c r="GY7" s="573"/>
      <c r="GZ7" s="573"/>
      <c r="HA7" s="573"/>
      <c r="HB7" s="573"/>
      <c r="HC7" s="573"/>
      <c r="HD7" s="573"/>
      <c r="HE7" s="573"/>
      <c r="HF7" s="573"/>
      <c r="HG7" s="573"/>
      <c r="HH7" s="573"/>
      <c r="HI7" s="573"/>
      <c r="HJ7" s="573"/>
      <c r="HK7" s="573"/>
      <c r="HL7" s="573"/>
      <c r="HM7" s="573"/>
      <c r="HN7" s="573"/>
      <c r="HO7" s="573"/>
      <c r="HP7" s="573"/>
      <c r="HQ7" s="573"/>
      <c r="HR7" s="573"/>
      <c r="HS7" s="573"/>
      <c r="HT7" s="573"/>
      <c r="HU7" s="573"/>
      <c r="HV7" s="573"/>
      <c r="HW7" s="573"/>
      <c r="HX7" s="573"/>
      <c r="HY7" s="573"/>
      <c r="HZ7" s="573"/>
      <c r="IA7" s="573"/>
      <c r="IB7" s="573"/>
      <c r="IC7" s="573"/>
      <c r="ID7" s="573"/>
      <c r="IE7" s="573"/>
      <c r="IF7" s="573"/>
      <c r="IG7" s="573"/>
      <c r="IH7" s="573"/>
      <c r="II7" s="573"/>
      <c r="IJ7" s="573"/>
      <c r="IK7" s="573"/>
    </row>
    <row r="8" spans="1:245" s="588" customFormat="1" ht="12.75" customHeight="1" thickTop="1" thickBot="1" x14ac:dyDescent="0.25">
      <c r="B8" s="1068" t="s">
        <v>190</v>
      </c>
      <c r="C8" s="1069"/>
      <c r="D8" s="1069"/>
      <c r="E8" s="1070"/>
      <c r="F8" s="1071" t="s">
        <v>191</v>
      </c>
      <c r="G8" s="1072"/>
      <c r="H8" s="573"/>
      <c r="I8" s="573"/>
      <c r="J8" s="573"/>
      <c r="N8" s="573"/>
      <c r="O8" s="573"/>
      <c r="P8" s="573"/>
      <c r="Q8" s="573"/>
      <c r="R8" s="573"/>
      <c r="S8" s="573"/>
      <c r="T8" s="573"/>
      <c r="U8" s="573"/>
      <c r="V8" s="573"/>
      <c r="W8" s="573"/>
      <c r="X8" s="573"/>
      <c r="Y8" s="573"/>
      <c r="Z8" s="573"/>
      <c r="AA8" s="573"/>
      <c r="AB8" s="573"/>
      <c r="AC8" s="573"/>
      <c r="AD8" s="573"/>
      <c r="AE8" s="573"/>
      <c r="AF8" s="573"/>
      <c r="AG8" s="573"/>
      <c r="AH8" s="573"/>
      <c r="AI8" s="573"/>
      <c r="AJ8" s="573"/>
      <c r="AK8" s="573"/>
      <c r="AL8" s="573"/>
      <c r="AM8" s="573"/>
      <c r="AN8" s="573"/>
      <c r="AO8" s="573"/>
      <c r="AP8" s="573"/>
      <c r="AQ8" s="573"/>
      <c r="AR8" s="573"/>
      <c r="AS8" s="573"/>
      <c r="AT8" s="573"/>
      <c r="AU8" s="573"/>
      <c r="AV8" s="573"/>
      <c r="AW8" s="573"/>
      <c r="AX8" s="573"/>
      <c r="AY8" s="573"/>
      <c r="AZ8" s="573"/>
      <c r="BA8" s="573"/>
      <c r="BB8" s="573"/>
      <c r="BC8" s="573"/>
      <c r="BD8" s="573"/>
      <c r="BE8" s="573"/>
      <c r="BF8" s="573"/>
      <c r="BG8" s="573"/>
      <c r="BH8" s="573"/>
      <c r="BI8" s="573"/>
      <c r="BJ8" s="573"/>
      <c r="BK8" s="573"/>
      <c r="BL8" s="573"/>
      <c r="BM8" s="573"/>
      <c r="BN8" s="573"/>
      <c r="BO8" s="573"/>
      <c r="BP8" s="573"/>
      <c r="BQ8" s="573"/>
      <c r="BR8" s="573"/>
      <c r="BS8" s="573"/>
      <c r="BT8" s="573"/>
      <c r="BU8" s="573"/>
      <c r="BV8" s="573"/>
      <c r="BW8" s="573"/>
      <c r="BX8" s="573"/>
      <c r="BY8" s="573"/>
      <c r="BZ8" s="573"/>
      <c r="CA8" s="573"/>
      <c r="CB8" s="573"/>
      <c r="CC8" s="573"/>
      <c r="CD8" s="573"/>
      <c r="CE8" s="573"/>
      <c r="CF8" s="573"/>
      <c r="CG8" s="573"/>
      <c r="CH8" s="573"/>
      <c r="CI8" s="573"/>
      <c r="CJ8" s="573"/>
      <c r="CK8" s="573"/>
      <c r="CL8" s="573"/>
      <c r="CM8" s="573"/>
      <c r="CN8" s="573"/>
      <c r="CO8" s="573"/>
      <c r="CP8" s="573"/>
      <c r="CQ8" s="573"/>
      <c r="CR8" s="573"/>
      <c r="CS8" s="573"/>
      <c r="CT8" s="573"/>
      <c r="CU8" s="573"/>
      <c r="CV8" s="573"/>
      <c r="CW8" s="573"/>
      <c r="CX8" s="573"/>
      <c r="CY8" s="573"/>
      <c r="CZ8" s="573"/>
      <c r="DA8" s="573"/>
      <c r="DB8" s="573"/>
      <c r="DC8" s="573"/>
      <c r="DD8" s="573"/>
      <c r="DE8" s="573"/>
      <c r="DF8" s="573"/>
      <c r="DG8" s="573"/>
      <c r="DH8" s="573"/>
      <c r="DI8" s="573"/>
      <c r="DJ8" s="573"/>
      <c r="DK8" s="573"/>
      <c r="DL8" s="573"/>
      <c r="DM8" s="573"/>
      <c r="DN8" s="573"/>
      <c r="DO8" s="573"/>
      <c r="DP8" s="573"/>
      <c r="DQ8" s="573"/>
      <c r="DR8" s="573"/>
      <c r="DS8" s="573"/>
      <c r="DT8" s="573"/>
      <c r="DU8" s="573"/>
      <c r="DV8" s="573"/>
      <c r="DW8" s="573"/>
      <c r="DX8" s="573"/>
      <c r="DY8" s="573"/>
      <c r="DZ8" s="573"/>
      <c r="EA8" s="573"/>
      <c r="EB8" s="573"/>
      <c r="EC8" s="573"/>
      <c r="ED8" s="573"/>
      <c r="EE8" s="573"/>
      <c r="EF8" s="573"/>
      <c r="EG8" s="573"/>
      <c r="EH8" s="573"/>
      <c r="EI8" s="573"/>
      <c r="EJ8" s="573"/>
      <c r="EK8" s="573"/>
      <c r="EL8" s="573"/>
      <c r="EM8" s="573"/>
      <c r="EN8" s="573"/>
      <c r="EO8" s="573"/>
      <c r="EP8" s="573"/>
      <c r="EQ8" s="573"/>
      <c r="ER8" s="573"/>
      <c r="ES8" s="573"/>
      <c r="ET8" s="573"/>
      <c r="EU8" s="573"/>
      <c r="EV8" s="573"/>
      <c r="EW8" s="573"/>
      <c r="EX8" s="573"/>
      <c r="EY8" s="573"/>
      <c r="EZ8" s="573"/>
      <c r="FA8" s="573"/>
      <c r="FB8" s="573"/>
      <c r="FC8" s="573"/>
      <c r="FD8" s="573"/>
      <c r="FE8" s="573"/>
      <c r="FF8" s="573"/>
      <c r="FG8" s="573"/>
      <c r="FH8" s="573"/>
      <c r="FI8" s="573"/>
      <c r="FJ8" s="573"/>
      <c r="FK8" s="573"/>
      <c r="FL8" s="573"/>
      <c r="FM8" s="573"/>
      <c r="FN8" s="573"/>
      <c r="FO8" s="573"/>
      <c r="FP8" s="573"/>
      <c r="FQ8" s="573"/>
      <c r="FR8" s="573"/>
      <c r="FS8" s="573"/>
      <c r="FT8" s="573"/>
      <c r="FU8" s="573"/>
      <c r="FV8" s="573"/>
      <c r="FW8" s="573"/>
      <c r="FX8" s="573"/>
      <c r="FY8" s="573"/>
      <c r="FZ8" s="573"/>
      <c r="GA8" s="573"/>
      <c r="GB8" s="573"/>
      <c r="GC8" s="573"/>
      <c r="GD8" s="573"/>
      <c r="GE8" s="573"/>
      <c r="GF8" s="573"/>
      <c r="GG8" s="573"/>
      <c r="GH8" s="573"/>
      <c r="GI8" s="573"/>
      <c r="GJ8" s="573"/>
      <c r="GK8" s="573"/>
      <c r="GL8" s="573"/>
      <c r="GM8" s="573"/>
      <c r="GN8" s="573"/>
      <c r="GO8" s="573"/>
      <c r="GP8" s="573"/>
      <c r="GQ8" s="573"/>
      <c r="GR8" s="573"/>
      <c r="GS8" s="573"/>
      <c r="GT8" s="573"/>
      <c r="GU8" s="573"/>
      <c r="GV8" s="573"/>
      <c r="GW8" s="573"/>
      <c r="GX8" s="573"/>
      <c r="GY8" s="573"/>
      <c r="GZ8" s="573"/>
      <c r="HA8" s="573"/>
      <c r="HB8" s="573"/>
      <c r="HC8" s="573"/>
      <c r="HD8" s="573"/>
      <c r="HE8" s="573"/>
      <c r="HF8" s="573"/>
      <c r="HG8" s="573"/>
      <c r="HH8" s="573"/>
      <c r="HI8" s="573"/>
      <c r="HJ8" s="573"/>
      <c r="HK8" s="573"/>
      <c r="HL8" s="573"/>
      <c r="HM8" s="573"/>
      <c r="HN8" s="573"/>
      <c r="HO8" s="573"/>
      <c r="HP8" s="573"/>
      <c r="HQ8" s="573"/>
      <c r="HR8" s="573"/>
      <c r="HS8" s="573"/>
      <c r="HT8" s="573"/>
      <c r="HU8" s="573"/>
      <c r="HV8" s="573"/>
      <c r="HW8" s="573"/>
      <c r="HX8" s="573"/>
      <c r="HY8" s="573"/>
      <c r="HZ8" s="573"/>
      <c r="IA8" s="573"/>
      <c r="IB8" s="573"/>
      <c r="IC8" s="573"/>
      <c r="ID8" s="573"/>
      <c r="IE8" s="573"/>
      <c r="IF8" s="573"/>
      <c r="IG8" s="573"/>
      <c r="IH8" s="573"/>
      <c r="II8" s="573"/>
      <c r="IJ8" s="573"/>
      <c r="IK8" s="573"/>
    </row>
    <row r="9" spans="1:245" ht="12.75" customHeight="1" thickTop="1" x14ac:dyDescent="0.25">
      <c r="A9" s="573"/>
      <c r="B9" s="591"/>
      <c r="C9" s="591"/>
      <c r="D9" s="592"/>
      <c r="E9" s="592"/>
      <c r="F9" s="592"/>
      <c r="G9" s="593"/>
      <c r="H9" s="593"/>
      <c r="I9" s="593"/>
      <c r="J9" s="593"/>
      <c r="K9" s="593"/>
      <c r="L9" s="593"/>
      <c r="M9" s="593"/>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2"/>
      <c r="AY9" s="572"/>
      <c r="AZ9" s="572"/>
      <c r="BA9" s="572"/>
      <c r="BB9" s="572"/>
      <c r="BC9" s="572"/>
      <c r="BD9" s="572"/>
      <c r="BE9" s="572"/>
      <c r="BF9" s="572"/>
      <c r="BG9" s="572"/>
      <c r="BH9" s="572"/>
      <c r="BI9" s="572"/>
      <c r="BJ9" s="572"/>
      <c r="BK9" s="572"/>
      <c r="BL9" s="572"/>
      <c r="BM9" s="572"/>
      <c r="BN9" s="572"/>
      <c r="BO9" s="572"/>
      <c r="BP9" s="572"/>
      <c r="BQ9" s="572"/>
      <c r="BR9" s="572"/>
      <c r="BS9" s="572"/>
      <c r="BT9" s="572"/>
      <c r="BU9" s="572"/>
      <c r="BV9" s="572"/>
      <c r="BW9" s="572"/>
      <c r="BX9" s="572"/>
      <c r="BY9" s="572"/>
      <c r="BZ9" s="572"/>
      <c r="CA9" s="572"/>
      <c r="CB9" s="572"/>
      <c r="CC9" s="572"/>
      <c r="CD9" s="572"/>
      <c r="CE9" s="572"/>
      <c r="CF9" s="572"/>
      <c r="CG9" s="572"/>
      <c r="CH9" s="572"/>
      <c r="CI9" s="572"/>
      <c r="CJ9" s="572"/>
      <c r="CK9" s="572"/>
      <c r="CL9" s="572"/>
      <c r="CM9" s="572"/>
      <c r="CN9" s="572"/>
      <c r="CO9" s="572"/>
      <c r="CP9" s="572"/>
      <c r="CQ9" s="572"/>
      <c r="CR9" s="572"/>
      <c r="CS9" s="572"/>
      <c r="CT9" s="572"/>
      <c r="CU9" s="572"/>
      <c r="CV9" s="572"/>
      <c r="CW9" s="572"/>
      <c r="CX9" s="572"/>
      <c r="CY9" s="572"/>
      <c r="CZ9" s="572"/>
      <c r="DA9" s="572"/>
      <c r="DB9" s="572"/>
      <c r="DC9" s="572"/>
      <c r="DD9" s="572"/>
      <c r="DE9" s="572"/>
      <c r="DF9" s="572"/>
      <c r="DG9" s="572"/>
      <c r="DH9" s="572"/>
      <c r="DI9" s="572"/>
      <c r="DJ9" s="572"/>
      <c r="DK9" s="572"/>
      <c r="DL9" s="572"/>
      <c r="DM9" s="572"/>
      <c r="DN9" s="572"/>
      <c r="DO9" s="572"/>
      <c r="DP9" s="572"/>
      <c r="DQ9" s="572"/>
      <c r="DR9" s="572"/>
      <c r="DS9" s="572"/>
      <c r="DT9" s="572"/>
      <c r="DU9" s="572"/>
      <c r="DV9" s="572"/>
      <c r="DW9" s="572"/>
      <c r="DX9" s="572"/>
      <c r="DY9" s="572"/>
      <c r="DZ9" s="572"/>
      <c r="EA9" s="572"/>
      <c r="EB9" s="572"/>
      <c r="EC9" s="572"/>
      <c r="ED9" s="572"/>
      <c r="EE9" s="572"/>
      <c r="EF9" s="572"/>
      <c r="EG9" s="572"/>
      <c r="EH9" s="572"/>
      <c r="EI9" s="572"/>
      <c r="EJ9" s="572"/>
      <c r="EK9" s="572"/>
      <c r="EL9" s="572"/>
      <c r="EM9" s="572"/>
      <c r="EN9" s="572"/>
      <c r="EO9" s="572"/>
      <c r="EP9" s="572"/>
      <c r="EQ9" s="572"/>
      <c r="ER9" s="572"/>
      <c r="ES9" s="572"/>
      <c r="ET9" s="572"/>
      <c r="EU9" s="572"/>
      <c r="EV9" s="572"/>
      <c r="EW9" s="572"/>
      <c r="EX9" s="572"/>
      <c r="EY9" s="572"/>
      <c r="EZ9" s="572"/>
      <c r="FA9" s="572"/>
      <c r="FB9" s="572"/>
      <c r="FC9" s="572"/>
      <c r="FD9" s="572"/>
      <c r="FE9" s="572"/>
      <c r="FF9" s="572"/>
      <c r="FG9" s="572"/>
      <c r="FH9" s="572"/>
      <c r="FI9" s="572"/>
      <c r="FJ9" s="572"/>
      <c r="FK9" s="572"/>
      <c r="FL9" s="572"/>
      <c r="FM9" s="572"/>
      <c r="FN9" s="572"/>
      <c r="FO9" s="572"/>
      <c r="FP9" s="572"/>
      <c r="FQ9" s="572"/>
      <c r="FR9" s="572"/>
      <c r="FS9" s="572"/>
      <c r="FT9" s="572"/>
      <c r="FU9" s="572"/>
      <c r="FV9" s="572"/>
      <c r="FW9" s="572"/>
      <c r="FX9" s="572"/>
      <c r="FY9" s="572"/>
      <c r="FZ9" s="572"/>
      <c r="GA9" s="572"/>
      <c r="GB9" s="572"/>
      <c r="GC9" s="572"/>
      <c r="GD9" s="572"/>
      <c r="GE9" s="572"/>
      <c r="GF9" s="572"/>
      <c r="GG9" s="572"/>
      <c r="GH9" s="572"/>
      <c r="GI9" s="572"/>
      <c r="GJ9" s="572"/>
      <c r="GK9" s="572"/>
      <c r="GL9" s="572"/>
      <c r="GM9" s="572"/>
      <c r="GN9" s="572"/>
      <c r="GO9" s="572"/>
      <c r="GP9" s="572"/>
      <c r="GQ9" s="572"/>
      <c r="GR9" s="572"/>
      <c r="GS9" s="572"/>
      <c r="GT9" s="572"/>
      <c r="GU9" s="572"/>
      <c r="GV9" s="572"/>
      <c r="GW9" s="572"/>
      <c r="GX9" s="572"/>
      <c r="GY9" s="572"/>
      <c r="GZ9" s="572"/>
      <c r="HA9" s="572"/>
      <c r="HB9" s="572"/>
      <c r="HC9" s="572"/>
      <c r="HD9" s="572"/>
      <c r="HE9" s="572"/>
      <c r="HF9" s="572"/>
      <c r="HG9" s="572"/>
      <c r="HH9" s="572"/>
      <c r="HI9" s="572"/>
      <c r="HJ9" s="572"/>
      <c r="HK9" s="572"/>
      <c r="HL9" s="572"/>
      <c r="HM9" s="572"/>
      <c r="HN9" s="572"/>
      <c r="HO9" s="572"/>
      <c r="HP9" s="572"/>
      <c r="HQ9" s="572"/>
      <c r="HR9" s="572"/>
      <c r="HS9" s="572"/>
      <c r="HT9" s="572"/>
      <c r="HU9" s="572"/>
      <c r="HV9" s="572"/>
      <c r="HW9" s="572"/>
      <c r="HX9" s="572"/>
      <c r="HY9" s="572"/>
      <c r="HZ9" s="572"/>
      <c r="IA9" s="572"/>
      <c r="IB9" s="572"/>
      <c r="IC9" s="572"/>
      <c r="ID9" s="572"/>
      <c r="IE9" s="572"/>
      <c r="IF9" s="572"/>
      <c r="IG9" s="572"/>
      <c r="IH9" s="572"/>
      <c r="II9" s="572"/>
      <c r="IJ9" s="572"/>
      <c r="IK9" s="572"/>
    </row>
    <row r="10" spans="1:245" ht="12.75" customHeight="1" x14ac:dyDescent="0.25">
      <c r="A10" s="573"/>
      <c r="C10" s="594"/>
      <c r="D10" s="595"/>
      <c r="E10" s="595"/>
      <c r="F10" s="595"/>
      <c r="G10" s="596"/>
      <c r="H10" s="596"/>
      <c r="I10" s="596"/>
      <c r="J10" s="596"/>
      <c r="K10" s="596"/>
      <c r="L10" s="573"/>
      <c r="M10" s="573"/>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2"/>
      <c r="DA10" s="572"/>
      <c r="DB10" s="572"/>
      <c r="DC10" s="572"/>
      <c r="DD10" s="572"/>
      <c r="DE10" s="572"/>
      <c r="DF10" s="572"/>
      <c r="DG10" s="572"/>
      <c r="DH10" s="572"/>
      <c r="DI10" s="572"/>
      <c r="DJ10" s="572"/>
      <c r="DK10" s="572"/>
      <c r="DL10" s="572"/>
      <c r="DM10" s="572"/>
      <c r="DN10" s="572"/>
      <c r="DO10" s="572"/>
      <c r="DP10" s="572"/>
      <c r="DQ10" s="572"/>
      <c r="DR10" s="572"/>
      <c r="DS10" s="572"/>
      <c r="DT10" s="572"/>
      <c r="DU10" s="572"/>
      <c r="DV10" s="572"/>
      <c r="DW10" s="572"/>
      <c r="DX10" s="572"/>
      <c r="DY10" s="572"/>
      <c r="DZ10" s="572"/>
      <c r="EA10" s="572"/>
      <c r="EB10" s="572"/>
      <c r="EC10" s="572"/>
      <c r="ED10" s="572"/>
      <c r="EE10" s="572"/>
      <c r="EF10" s="572"/>
      <c r="EG10" s="572"/>
      <c r="EH10" s="572"/>
      <c r="EI10" s="572"/>
      <c r="EJ10" s="572"/>
      <c r="EK10" s="572"/>
      <c r="EL10" s="572"/>
      <c r="EM10" s="572"/>
      <c r="EN10" s="572"/>
      <c r="EO10" s="572"/>
      <c r="EP10" s="572"/>
      <c r="EQ10" s="572"/>
      <c r="ER10" s="572"/>
      <c r="ES10" s="572"/>
      <c r="ET10" s="572"/>
      <c r="EU10" s="572"/>
      <c r="EV10" s="572"/>
      <c r="EW10" s="572"/>
      <c r="EX10" s="572"/>
      <c r="EY10" s="572"/>
      <c r="EZ10" s="572"/>
      <c r="FA10" s="572"/>
      <c r="FB10" s="572"/>
      <c r="FC10" s="572"/>
      <c r="FD10" s="572"/>
      <c r="FE10" s="572"/>
      <c r="FF10" s="572"/>
      <c r="FG10" s="572"/>
      <c r="FH10" s="572"/>
      <c r="FI10" s="572"/>
      <c r="FJ10" s="572"/>
      <c r="FK10" s="572"/>
      <c r="FL10" s="572"/>
      <c r="FM10" s="572"/>
      <c r="FN10" s="572"/>
      <c r="FO10" s="572"/>
      <c r="FP10" s="572"/>
      <c r="FQ10" s="572"/>
      <c r="FR10" s="572"/>
      <c r="FS10" s="572"/>
      <c r="FT10" s="572"/>
      <c r="FU10" s="572"/>
      <c r="FV10" s="572"/>
      <c r="FW10" s="572"/>
      <c r="FX10" s="572"/>
      <c r="FY10" s="572"/>
      <c r="FZ10" s="572"/>
      <c r="GA10" s="572"/>
      <c r="GB10" s="572"/>
      <c r="GC10" s="572"/>
      <c r="GD10" s="572"/>
      <c r="GE10" s="572"/>
      <c r="GF10" s="572"/>
      <c r="GG10" s="572"/>
      <c r="GH10" s="572"/>
      <c r="GI10" s="572"/>
      <c r="GJ10" s="572"/>
      <c r="GK10" s="572"/>
      <c r="GL10" s="572"/>
      <c r="GM10" s="572"/>
      <c r="GN10" s="572"/>
      <c r="GO10" s="572"/>
      <c r="GP10" s="572"/>
      <c r="GQ10" s="572"/>
      <c r="GR10" s="572"/>
      <c r="GS10" s="572"/>
      <c r="GT10" s="572"/>
      <c r="GU10" s="572"/>
      <c r="GV10" s="572"/>
      <c r="GW10" s="572"/>
      <c r="GX10" s="572"/>
      <c r="GY10" s="572"/>
      <c r="GZ10" s="572"/>
      <c r="HA10" s="572"/>
      <c r="HB10" s="572"/>
      <c r="HC10" s="572"/>
      <c r="HD10" s="572"/>
      <c r="HE10" s="572"/>
      <c r="HF10" s="572"/>
      <c r="HG10" s="572"/>
      <c r="HH10" s="572"/>
      <c r="HI10" s="572"/>
      <c r="HJ10" s="572"/>
      <c r="HK10" s="572"/>
      <c r="HL10" s="572"/>
      <c r="HM10" s="572"/>
      <c r="HN10" s="572"/>
      <c r="HO10" s="572"/>
      <c r="HP10" s="572"/>
      <c r="HQ10" s="572"/>
      <c r="HR10" s="572"/>
      <c r="HS10" s="572"/>
      <c r="HT10" s="572"/>
      <c r="HU10" s="572"/>
      <c r="HV10" s="572"/>
      <c r="HW10" s="572"/>
      <c r="HX10" s="572"/>
      <c r="HY10" s="572"/>
      <c r="HZ10" s="572"/>
      <c r="IA10" s="572"/>
      <c r="IB10" s="572"/>
      <c r="IC10" s="572"/>
      <c r="ID10" s="572"/>
      <c r="IE10" s="572"/>
      <c r="IF10" s="572"/>
      <c r="IG10" s="572"/>
      <c r="IH10" s="572"/>
      <c r="II10" s="572"/>
      <c r="IJ10" s="572"/>
      <c r="IK10" s="572"/>
    </row>
    <row r="11" spans="1:245" ht="12.75" customHeight="1" x14ac:dyDescent="0.25">
      <c r="A11" s="573"/>
      <c r="B11" s="574" t="s">
        <v>192</v>
      </c>
      <c r="C11" s="597" t="s">
        <v>193</v>
      </c>
      <c r="D11" s="572"/>
      <c r="E11" s="572"/>
      <c r="F11" s="572"/>
      <c r="G11" s="572"/>
      <c r="H11" s="572"/>
      <c r="I11" s="573"/>
      <c r="J11" s="573"/>
      <c r="K11" s="573"/>
      <c r="L11" s="573"/>
      <c r="M11" s="573"/>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2"/>
      <c r="BU11" s="572"/>
      <c r="BV11" s="572"/>
      <c r="BW11" s="572"/>
      <c r="BX11" s="572"/>
      <c r="BY11" s="572"/>
      <c r="BZ11" s="572"/>
      <c r="CA11" s="572"/>
      <c r="CB11" s="572"/>
      <c r="CC11" s="572"/>
      <c r="CD11" s="572"/>
      <c r="CE11" s="572"/>
      <c r="CF11" s="572"/>
      <c r="CG11" s="572"/>
      <c r="CH11" s="572"/>
      <c r="CI11" s="572"/>
      <c r="CJ11" s="572"/>
      <c r="CK11" s="572"/>
      <c r="CL11" s="572"/>
      <c r="CM11" s="572"/>
      <c r="CN11" s="572"/>
      <c r="CO11" s="572"/>
      <c r="CP11" s="572"/>
      <c r="CQ11" s="572"/>
      <c r="CR11" s="572"/>
      <c r="CS11" s="572"/>
      <c r="CT11" s="572"/>
      <c r="CU11" s="572"/>
      <c r="CV11" s="572"/>
      <c r="CW11" s="572"/>
      <c r="CX11" s="572"/>
      <c r="CY11" s="572"/>
      <c r="CZ11" s="572"/>
      <c r="DA11" s="572"/>
      <c r="DB11" s="572"/>
      <c r="DC11" s="572"/>
      <c r="DD11" s="572"/>
      <c r="DE11" s="572"/>
      <c r="DF11" s="572"/>
      <c r="DG11" s="572"/>
      <c r="DH11" s="572"/>
      <c r="DI11" s="572"/>
      <c r="DJ11" s="572"/>
      <c r="DK11" s="572"/>
      <c r="DL11" s="572"/>
      <c r="DM11" s="572"/>
      <c r="DN11" s="572"/>
      <c r="DO11" s="572"/>
      <c r="DP11" s="572"/>
      <c r="DQ11" s="572"/>
      <c r="DR11" s="572"/>
      <c r="DS11" s="572"/>
      <c r="DT11" s="572"/>
      <c r="DU11" s="572"/>
      <c r="DV11" s="572"/>
      <c r="DW11" s="572"/>
      <c r="DX11" s="572"/>
      <c r="DY11" s="572"/>
      <c r="DZ11" s="572"/>
      <c r="EA11" s="572"/>
      <c r="EB11" s="572"/>
      <c r="EC11" s="572"/>
      <c r="ED11" s="572"/>
      <c r="EE11" s="572"/>
      <c r="EF11" s="572"/>
      <c r="EG11" s="572"/>
      <c r="EH11" s="572"/>
      <c r="EI11" s="572"/>
      <c r="EJ11" s="572"/>
      <c r="EK11" s="572"/>
      <c r="EL11" s="572"/>
      <c r="EM11" s="572"/>
      <c r="EN11" s="572"/>
      <c r="EO11" s="572"/>
      <c r="EP11" s="572"/>
      <c r="EQ11" s="572"/>
      <c r="ER11" s="572"/>
      <c r="ES11" s="572"/>
      <c r="ET11" s="572"/>
      <c r="EU11" s="572"/>
      <c r="EV11" s="572"/>
      <c r="EW11" s="572"/>
      <c r="EX11" s="572"/>
      <c r="EY11" s="572"/>
      <c r="EZ11" s="572"/>
      <c r="FA11" s="572"/>
      <c r="FB11" s="572"/>
      <c r="FC11" s="572"/>
      <c r="FD11" s="572"/>
      <c r="FE11" s="572"/>
      <c r="FF11" s="572"/>
      <c r="FG11" s="572"/>
      <c r="FH11" s="572"/>
      <c r="FI11" s="572"/>
      <c r="FJ11" s="572"/>
      <c r="FK11" s="572"/>
      <c r="FL11" s="572"/>
      <c r="FM11" s="572"/>
      <c r="FN11" s="572"/>
      <c r="FO11" s="572"/>
      <c r="FP11" s="572"/>
      <c r="FQ11" s="572"/>
      <c r="FR11" s="572"/>
      <c r="FS11" s="572"/>
      <c r="FT11" s="572"/>
      <c r="FU11" s="572"/>
      <c r="FV11" s="572"/>
      <c r="FW11" s="572"/>
      <c r="FX11" s="572"/>
      <c r="FY11" s="572"/>
      <c r="FZ11" s="572"/>
      <c r="GA11" s="572"/>
      <c r="GB11" s="572"/>
      <c r="GC11" s="572"/>
      <c r="GD11" s="572"/>
      <c r="GE11" s="572"/>
      <c r="GF11" s="572"/>
      <c r="GG11" s="572"/>
      <c r="GH11" s="572"/>
      <c r="GI11" s="572"/>
      <c r="GJ11" s="572"/>
      <c r="GK11" s="572"/>
      <c r="GL11" s="572"/>
      <c r="GM11" s="572"/>
      <c r="GN11" s="572"/>
      <c r="GO11" s="572"/>
      <c r="GP11" s="572"/>
      <c r="GQ11" s="572"/>
      <c r="GR11" s="572"/>
      <c r="GS11" s="572"/>
      <c r="GT11" s="572"/>
      <c r="GU11" s="572"/>
      <c r="GV11" s="572"/>
      <c r="GW11" s="572"/>
      <c r="GX11" s="572"/>
      <c r="GY11" s="572"/>
      <c r="GZ11" s="572"/>
      <c r="HA11" s="572"/>
      <c r="HB11" s="572"/>
      <c r="HC11" s="572"/>
      <c r="HD11" s="572"/>
      <c r="HE11" s="572"/>
      <c r="HF11" s="572"/>
      <c r="HG11" s="572"/>
      <c r="HH11" s="572"/>
      <c r="HI11" s="572"/>
      <c r="HJ11" s="572"/>
      <c r="HK11" s="572"/>
      <c r="HL11" s="572"/>
      <c r="HM11" s="572"/>
      <c r="HN11" s="572"/>
      <c r="HO11" s="572"/>
      <c r="HP11" s="572"/>
      <c r="HQ11" s="572"/>
      <c r="HR11" s="572"/>
      <c r="HS11" s="572"/>
      <c r="HT11" s="572"/>
      <c r="HU11" s="572"/>
      <c r="HV11" s="572"/>
      <c r="HW11" s="572"/>
      <c r="HX11" s="572"/>
      <c r="HY11" s="572"/>
      <c r="HZ11" s="572"/>
      <c r="IA11" s="572"/>
      <c r="IB11" s="572"/>
      <c r="IC11" s="572"/>
      <c r="ID11" s="572"/>
      <c r="IE11" s="572"/>
      <c r="IF11" s="572"/>
      <c r="IG11" s="572"/>
      <c r="IH11" s="572"/>
      <c r="II11" s="572"/>
      <c r="IJ11" s="572"/>
      <c r="IK11" s="572"/>
    </row>
    <row r="12" spans="1:245" ht="12.75" customHeight="1" x14ac:dyDescent="0.25">
      <c r="A12" s="573"/>
      <c r="B12" s="574"/>
      <c r="C12" s="579"/>
      <c r="D12" s="572"/>
      <c r="E12" s="572"/>
      <c r="F12" s="572"/>
      <c r="G12" s="572"/>
      <c r="H12" s="572"/>
      <c r="I12" s="573"/>
      <c r="J12" s="573"/>
      <c r="K12" s="573"/>
      <c r="L12" s="573"/>
      <c r="M12" s="573"/>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M12" s="572"/>
      <c r="AN12" s="572"/>
      <c r="AO12" s="572"/>
      <c r="AP12" s="572"/>
      <c r="AQ12" s="572"/>
      <c r="AR12" s="572"/>
      <c r="AS12" s="572"/>
      <c r="AT12" s="572"/>
      <c r="AU12" s="572"/>
      <c r="AV12" s="572"/>
      <c r="AW12" s="572"/>
      <c r="AX12" s="572"/>
      <c r="AY12" s="572"/>
      <c r="AZ12" s="572"/>
      <c r="BA12" s="572"/>
      <c r="BB12" s="572"/>
      <c r="BC12" s="572"/>
      <c r="BD12" s="572"/>
      <c r="BE12" s="572"/>
      <c r="BF12" s="572"/>
      <c r="BG12" s="572"/>
      <c r="BH12" s="572"/>
      <c r="BI12" s="572"/>
      <c r="BJ12" s="572"/>
      <c r="BK12" s="572"/>
      <c r="BL12" s="572"/>
      <c r="BM12" s="572"/>
      <c r="BN12" s="572"/>
      <c r="BO12" s="572"/>
      <c r="BP12" s="572"/>
      <c r="BQ12" s="572"/>
      <c r="BR12" s="572"/>
      <c r="BS12" s="572"/>
      <c r="BT12" s="572"/>
      <c r="BU12" s="572"/>
      <c r="BV12" s="572"/>
      <c r="BW12" s="572"/>
      <c r="BX12" s="572"/>
      <c r="BY12" s="572"/>
      <c r="BZ12" s="572"/>
      <c r="CA12" s="572"/>
      <c r="CB12" s="572"/>
      <c r="CC12" s="572"/>
      <c r="CD12" s="572"/>
      <c r="CE12" s="572"/>
      <c r="CF12" s="572"/>
      <c r="CG12" s="572"/>
      <c r="CH12" s="572"/>
      <c r="CI12" s="572"/>
      <c r="CJ12" s="572"/>
      <c r="CK12" s="572"/>
      <c r="CL12" s="572"/>
      <c r="CM12" s="572"/>
      <c r="CN12" s="572"/>
      <c r="CO12" s="572"/>
      <c r="CP12" s="572"/>
      <c r="CQ12" s="572"/>
      <c r="CR12" s="572"/>
      <c r="CS12" s="572"/>
      <c r="CT12" s="572"/>
      <c r="CU12" s="572"/>
      <c r="CV12" s="572"/>
      <c r="CW12" s="572"/>
      <c r="CX12" s="572"/>
      <c r="CY12" s="572"/>
      <c r="CZ12" s="572"/>
      <c r="DA12" s="572"/>
      <c r="DB12" s="572"/>
      <c r="DC12" s="572"/>
      <c r="DD12" s="572"/>
      <c r="DE12" s="572"/>
      <c r="DF12" s="572"/>
      <c r="DG12" s="572"/>
      <c r="DH12" s="572"/>
      <c r="DI12" s="572"/>
      <c r="DJ12" s="572"/>
      <c r="DK12" s="572"/>
      <c r="DL12" s="572"/>
      <c r="DM12" s="572"/>
      <c r="DN12" s="572"/>
      <c r="DO12" s="572"/>
      <c r="DP12" s="572"/>
      <c r="DQ12" s="572"/>
      <c r="DR12" s="572"/>
      <c r="DS12" s="572"/>
      <c r="DT12" s="572"/>
      <c r="DU12" s="572"/>
      <c r="DV12" s="572"/>
      <c r="DW12" s="572"/>
      <c r="DX12" s="572"/>
      <c r="DY12" s="572"/>
      <c r="DZ12" s="572"/>
      <c r="EA12" s="572"/>
      <c r="EB12" s="572"/>
      <c r="EC12" s="572"/>
      <c r="ED12" s="572"/>
      <c r="EE12" s="572"/>
      <c r="EF12" s="572"/>
      <c r="EG12" s="572"/>
      <c r="EH12" s="572"/>
      <c r="EI12" s="572"/>
      <c r="EJ12" s="572"/>
      <c r="EK12" s="572"/>
      <c r="EL12" s="572"/>
      <c r="EM12" s="572"/>
      <c r="EN12" s="572"/>
      <c r="EO12" s="572"/>
      <c r="EP12" s="572"/>
      <c r="EQ12" s="572"/>
      <c r="ER12" s="572"/>
      <c r="ES12" s="572"/>
      <c r="ET12" s="572"/>
      <c r="EU12" s="572"/>
      <c r="EV12" s="572"/>
      <c r="EW12" s="572"/>
      <c r="EX12" s="572"/>
      <c r="EY12" s="572"/>
      <c r="EZ12" s="572"/>
      <c r="FA12" s="572"/>
      <c r="FB12" s="572"/>
      <c r="FC12" s="572"/>
      <c r="FD12" s="572"/>
      <c r="FE12" s="572"/>
      <c r="FF12" s="572"/>
      <c r="FG12" s="572"/>
      <c r="FH12" s="572"/>
      <c r="FI12" s="572"/>
      <c r="FJ12" s="572"/>
      <c r="FK12" s="572"/>
      <c r="FL12" s="572"/>
      <c r="FM12" s="572"/>
      <c r="FN12" s="572"/>
      <c r="FO12" s="572"/>
      <c r="FP12" s="572"/>
      <c r="FQ12" s="572"/>
      <c r="FR12" s="572"/>
      <c r="FS12" s="572"/>
      <c r="FT12" s="572"/>
      <c r="FU12" s="572"/>
      <c r="FV12" s="572"/>
      <c r="FW12" s="572"/>
      <c r="FX12" s="572"/>
      <c r="FY12" s="572"/>
      <c r="FZ12" s="572"/>
      <c r="GA12" s="572"/>
      <c r="GB12" s="572"/>
      <c r="GC12" s="572"/>
      <c r="GD12" s="572"/>
      <c r="GE12" s="572"/>
      <c r="GF12" s="572"/>
      <c r="GG12" s="572"/>
      <c r="GH12" s="572"/>
      <c r="GI12" s="572"/>
      <c r="GJ12" s="572"/>
      <c r="GK12" s="572"/>
      <c r="GL12" s="572"/>
      <c r="GM12" s="572"/>
      <c r="GN12" s="572"/>
      <c r="GO12" s="572"/>
      <c r="GP12" s="572"/>
      <c r="GQ12" s="572"/>
      <c r="GR12" s="572"/>
      <c r="GS12" s="572"/>
      <c r="GT12" s="572"/>
      <c r="GU12" s="572"/>
      <c r="GV12" s="572"/>
      <c r="GW12" s="572"/>
      <c r="GX12" s="572"/>
      <c r="GY12" s="572"/>
      <c r="GZ12" s="572"/>
      <c r="HA12" s="572"/>
      <c r="HB12" s="572"/>
      <c r="HC12" s="572"/>
      <c r="HD12" s="572"/>
      <c r="HE12" s="572"/>
      <c r="HF12" s="572"/>
      <c r="HG12" s="572"/>
      <c r="HH12" s="572"/>
      <c r="HI12" s="572"/>
      <c r="HJ12" s="572"/>
      <c r="HK12" s="572"/>
      <c r="HL12" s="572"/>
      <c r="HM12" s="572"/>
      <c r="HN12" s="572"/>
      <c r="HO12" s="572"/>
      <c r="HP12" s="572"/>
      <c r="HQ12" s="572"/>
      <c r="HR12" s="572"/>
      <c r="HS12" s="572"/>
      <c r="HT12" s="572"/>
      <c r="HU12" s="572"/>
      <c r="HV12" s="572"/>
      <c r="HW12" s="572"/>
      <c r="HX12" s="572"/>
      <c r="HY12" s="572"/>
      <c r="HZ12" s="572"/>
      <c r="IA12" s="572"/>
      <c r="IB12" s="572"/>
      <c r="IC12" s="572"/>
      <c r="ID12" s="572"/>
      <c r="IE12" s="572"/>
      <c r="IF12" s="572"/>
      <c r="IG12" s="572"/>
      <c r="IH12" s="572"/>
      <c r="II12" s="572"/>
      <c r="IJ12" s="572"/>
      <c r="IK12" s="572"/>
    </row>
    <row r="13" spans="1:245" ht="29.25" customHeight="1" x14ac:dyDescent="0.25">
      <c r="A13" s="573"/>
      <c r="B13" s="574" t="s">
        <v>194</v>
      </c>
      <c r="C13" s="1073" t="s">
        <v>289</v>
      </c>
      <c r="D13" s="1073"/>
      <c r="E13" s="1073"/>
      <c r="F13" s="1073"/>
      <c r="G13" s="1073"/>
      <c r="H13" s="1073"/>
      <c r="I13" s="1073"/>
      <c r="J13" s="1073"/>
      <c r="K13" s="1073"/>
      <c r="L13" s="1073"/>
      <c r="M13" s="573"/>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572"/>
      <c r="AM13" s="572"/>
      <c r="AN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2"/>
      <c r="BU13" s="572"/>
      <c r="BV13" s="572"/>
      <c r="BW13" s="572"/>
      <c r="BX13" s="572"/>
      <c r="BY13" s="572"/>
      <c r="BZ13" s="572"/>
      <c r="CA13" s="572"/>
      <c r="CB13" s="572"/>
      <c r="CC13" s="572"/>
      <c r="CD13" s="572"/>
      <c r="CE13" s="572"/>
      <c r="CF13" s="572"/>
      <c r="CG13" s="572"/>
      <c r="CH13" s="572"/>
      <c r="CI13" s="572"/>
      <c r="CJ13" s="572"/>
      <c r="CK13" s="572"/>
      <c r="CL13" s="572"/>
      <c r="CM13" s="572"/>
      <c r="CN13" s="572"/>
      <c r="CO13" s="572"/>
      <c r="CP13" s="572"/>
      <c r="CQ13" s="572"/>
      <c r="CR13" s="572"/>
      <c r="CS13" s="572"/>
      <c r="CT13" s="572"/>
      <c r="CU13" s="572"/>
      <c r="CV13" s="572"/>
      <c r="CW13" s="572"/>
      <c r="CX13" s="572"/>
      <c r="CY13" s="572"/>
      <c r="CZ13" s="572"/>
      <c r="DA13" s="572"/>
      <c r="DB13" s="572"/>
      <c r="DC13" s="572"/>
      <c r="DD13" s="572"/>
      <c r="DE13" s="572"/>
      <c r="DF13" s="572"/>
      <c r="DG13" s="572"/>
      <c r="DH13" s="572"/>
      <c r="DI13" s="572"/>
      <c r="DJ13" s="572"/>
      <c r="DK13" s="572"/>
      <c r="DL13" s="572"/>
      <c r="DM13" s="572"/>
      <c r="DN13" s="572"/>
      <c r="DO13" s="572"/>
      <c r="DP13" s="572"/>
      <c r="DQ13" s="572"/>
      <c r="DR13" s="572"/>
      <c r="DS13" s="572"/>
      <c r="DT13" s="572"/>
      <c r="DU13" s="572"/>
      <c r="DV13" s="572"/>
      <c r="DW13" s="572"/>
      <c r="DX13" s="572"/>
      <c r="DY13" s="572"/>
      <c r="DZ13" s="572"/>
      <c r="EA13" s="572"/>
      <c r="EB13" s="572"/>
      <c r="EC13" s="572"/>
      <c r="ED13" s="572"/>
      <c r="EE13" s="572"/>
      <c r="EF13" s="572"/>
      <c r="EG13" s="572"/>
      <c r="EH13" s="572"/>
      <c r="EI13" s="572"/>
      <c r="EJ13" s="572"/>
      <c r="EK13" s="572"/>
      <c r="EL13" s="572"/>
      <c r="EM13" s="572"/>
      <c r="EN13" s="572"/>
      <c r="EO13" s="572"/>
      <c r="EP13" s="572"/>
      <c r="EQ13" s="572"/>
      <c r="ER13" s="572"/>
      <c r="ES13" s="572"/>
      <c r="ET13" s="572"/>
      <c r="EU13" s="572"/>
      <c r="EV13" s="572"/>
      <c r="EW13" s="572"/>
      <c r="EX13" s="572"/>
      <c r="EY13" s="572"/>
      <c r="EZ13" s="572"/>
      <c r="FA13" s="572"/>
      <c r="FB13" s="572"/>
      <c r="FC13" s="572"/>
      <c r="FD13" s="572"/>
      <c r="FE13" s="572"/>
      <c r="FF13" s="572"/>
      <c r="FG13" s="572"/>
      <c r="FH13" s="572"/>
      <c r="FI13" s="572"/>
      <c r="FJ13" s="572"/>
      <c r="FK13" s="572"/>
      <c r="FL13" s="572"/>
      <c r="FM13" s="572"/>
      <c r="FN13" s="572"/>
      <c r="FO13" s="572"/>
      <c r="FP13" s="572"/>
      <c r="FQ13" s="572"/>
      <c r="FR13" s="572"/>
      <c r="FS13" s="572"/>
      <c r="FT13" s="572"/>
      <c r="FU13" s="572"/>
      <c r="FV13" s="572"/>
      <c r="FW13" s="572"/>
      <c r="FX13" s="572"/>
      <c r="FY13" s="572"/>
      <c r="FZ13" s="572"/>
      <c r="GA13" s="572"/>
      <c r="GB13" s="572"/>
      <c r="GC13" s="572"/>
      <c r="GD13" s="572"/>
      <c r="GE13" s="572"/>
      <c r="GF13" s="572"/>
      <c r="GG13" s="572"/>
      <c r="GH13" s="572"/>
      <c r="GI13" s="572"/>
      <c r="GJ13" s="572"/>
      <c r="GK13" s="572"/>
      <c r="GL13" s="572"/>
      <c r="GM13" s="572"/>
      <c r="GN13" s="572"/>
      <c r="GO13" s="572"/>
      <c r="GP13" s="572"/>
      <c r="GQ13" s="572"/>
      <c r="GR13" s="572"/>
      <c r="GS13" s="572"/>
      <c r="GT13" s="572"/>
      <c r="GU13" s="572"/>
      <c r="GV13" s="572"/>
      <c r="GW13" s="572"/>
      <c r="GX13" s="572"/>
      <c r="GY13" s="572"/>
      <c r="GZ13" s="572"/>
      <c r="HA13" s="572"/>
      <c r="HB13" s="572"/>
      <c r="HC13" s="572"/>
      <c r="HD13" s="572"/>
      <c r="HE13" s="572"/>
      <c r="HF13" s="572"/>
      <c r="HG13" s="572"/>
      <c r="HH13" s="572"/>
      <c r="HI13" s="572"/>
      <c r="HJ13" s="572"/>
      <c r="HK13" s="572"/>
      <c r="HL13" s="572"/>
      <c r="HM13" s="572"/>
      <c r="HN13" s="572"/>
      <c r="HO13" s="572"/>
      <c r="HP13" s="572"/>
      <c r="HQ13" s="572"/>
      <c r="HR13" s="572"/>
      <c r="HS13" s="572"/>
      <c r="HT13" s="572"/>
      <c r="HU13" s="572"/>
      <c r="HV13" s="572"/>
      <c r="HW13" s="572"/>
      <c r="HX13" s="572"/>
      <c r="HY13" s="572"/>
      <c r="HZ13" s="572"/>
      <c r="IA13" s="572"/>
      <c r="IB13" s="572"/>
      <c r="IC13" s="572"/>
      <c r="ID13" s="572"/>
      <c r="IE13" s="572"/>
      <c r="IF13" s="572"/>
      <c r="IG13" s="572"/>
      <c r="IH13" s="572"/>
      <c r="II13" s="572"/>
      <c r="IJ13" s="572"/>
      <c r="IK13" s="572"/>
    </row>
    <row r="14" spans="1:245" ht="12.75" customHeight="1" x14ac:dyDescent="0.25">
      <c r="A14" s="573"/>
      <c r="B14" s="574"/>
      <c r="C14" s="598"/>
      <c r="D14" s="572"/>
      <c r="E14" s="573"/>
      <c r="F14" s="599"/>
      <c r="G14" s="599"/>
      <c r="H14" s="600"/>
      <c r="I14" s="601"/>
      <c r="J14" s="601"/>
      <c r="K14" s="600"/>
      <c r="L14" s="573"/>
      <c r="M14" s="573"/>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2"/>
      <c r="AL14" s="572"/>
      <c r="AM14" s="572"/>
      <c r="AN14" s="572"/>
      <c r="AO14" s="572"/>
      <c r="AP14" s="572"/>
      <c r="AQ14" s="572"/>
      <c r="AR14" s="572"/>
      <c r="AS14" s="572"/>
      <c r="AT14" s="572"/>
      <c r="AU14" s="572"/>
      <c r="AV14" s="572"/>
      <c r="AW14" s="572"/>
      <c r="AX14" s="572"/>
      <c r="AY14" s="572"/>
      <c r="AZ14" s="572"/>
      <c r="BA14" s="572"/>
      <c r="BB14" s="572"/>
      <c r="BC14" s="572"/>
      <c r="BD14" s="572"/>
      <c r="BE14" s="572"/>
      <c r="BF14" s="572"/>
      <c r="BG14" s="572"/>
      <c r="BH14" s="572"/>
      <c r="BI14" s="572"/>
      <c r="BJ14" s="572"/>
      <c r="BK14" s="572"/>
      <c r="BL14" s="572"/>
      <c r="BM14" s="572"/>
      <c r="BN14" s="572"/>
      <c r="BO14" s="572"/>
      <c r="BP14" s="572"/>
      <c r="BQ14" s="572"/>
      <c r="BR14" s="572"/>
      <c r="BS14" s="572"/>
      <c r="BT14" s="572"/>
      <c r="BU14" s="572"/>
      <c r="BV14" s="572"/>
      <c r="BW14" s="572"/>
      <c r="BX14" s="572"/>
      <c r="BY14" s="572"/>
      <c r="BZ14" s="572"/>
      <c r="CA14" s="572"/>
      <c r="CB14" s="572"/>
      <c r="CC14" s="572"/>
      <c r="CD14" s="572"/>
      <c r="CE14" s="572"/>
      <c r="CF14" s="572"/>
      <c r="CG14" s="572"/>
      <c r="CH14" s="572"/>
      <c r="CI14" s="572"/>
      <c r="CJ14" s="572"/>
      <c r="CK14" s="572"/>
      <c r="CL14" s="572"/>
      <c r="CM14" s="572"/>
      <c r="CN14" s="572"/>
      <c r="CO14" s="572"/>
      <c r="CP14" s="572"/>
      <c r="CQ14" s="572"/>
      <c r="CR14" s="572"/>
      <c r="CS14" s="572"/>
      <c r="CT14" s="572"/>
      <c r="CU14" s="572"/>
      <c r="CV14" s="572"/>
      <c r="CW14" s="572"/>
      <c r="CX14" s="572"/>
      <c r="CY14" s="572"/>
      <c r="CZ14" s="572"/>
      <c r="DA14" s="572"/>
      <c r="DB14" s="572"/>
      <c r="DC14" s="572"/>
      <c r="DD14" s="572"/>
      <c r="DE14" s="572"/>
      <c r="DF14" s="572"/>
      <c r="DG14" s="572"/>
      <c r="DH14" s="572"/>
      <c r="DI14" s="572"/>
      <c r="DJ14" s="572"/>
      <c r="DK14" s="572"/>
      <c r="DL14" s="572"/>
      <c r="DM14" s="572"/>
      <c r="DN14" s="572"/>
      <c r="DO14" s="572"/>
      <c r="DP14" s="572"/>
      <c r="DQ14" s="572"/>
      <c r="DR14" s="572"/>
      <c r="DS14" s="572"/>
      <c r="DT14" s="572"/>
      <c r="DU14" s="572"/>
      <c r="DV14" s="572"/>
      <c r="DW14" s="572"/>
      <c r="DX14" s="572"/>
      <c r="DY14" s="572"/>
      <c r="DZ14" s="572"/>
      <c r="EA14" s="572"/>
      <c r="EB14" s="572"/>
      <c r="EC14" s="572"/>
      <c r="ED14" s="572"/>
      <c r="EE14" s="572"/>
      <c r="EF14" s="572"/>
      <c r="EG14" s="572"/>
      <c r="EH14" s="572"/>
      <c r="EI14" s="572"/>
      <c r="EJ14" s="572"/>
      <c r="EK14" s="572"/>
      <c r="EL14" s="572"/>
      <c r="EM14" s="572"/>
      <c r="EN14" s="572"/>
      <c r="EO14" s="572"/>
      <c r="EP14" s="572"/>
      <c r="EQ14" s="572"/>
      <c r="ER14" s="572"/>
      <c r="ES14" s="572"/>
      <c r="ET14" s="572"/>
      <c r="EU14" s="572"/>
      <c r="EV14" s="572"/>
      <c r="EW14" s="572"/>
      <c r="EX14" s="572"/>
      <c r="EY14" s="572"/>
      <c r="EZ14" s="572"/>
      <c r="FA14" s="572"/>
      <c r="FB14" s="572"/>
      <c r="FC14" s="572"/>
      <c r="FD14" s="572"/>
      <c r="FE14" s="572"/>
      <c r="FF14" s="572"/>
      <c r="FG14" s="572"/>
      <c r="FH14" s="572"/>
      <c r="FI14" s="572"/>
      <c r="FJ14" s="572"/>
      <c r="FK14" s="572"/>
      <c r="FL14" s="572"/>
      <c r="FM14" s="572"/>
      <c r="FN14" s="572"/>
      <c r="FO14" s="572"/>
      <c r="FP14" s="572"/>
      <c r="FQ14" s="572"/>
      <c r="FR14" s="572"/>
      <c r="FS14" s="572"/>
      <c r="FT14" s="572"/>
      <c r="FU14" s="572"/>
      <c r="FV14" s="572"/>
      <c r="FW14" s="572"/>
      <c r="FX14" s="572"/>
      <c r="FY14" s="572"/>
      <c r="FZ14" s="572"/>
      <c r="GA14" s="572"/>
      <c r="GB14" s="572"/>
      <c r="GC14" s="572"/>
      <c r="GD14" s="572"/>
      <c r="GE14" s="572"/>
      <c r="GF14" s="572"/>
      <c r="GG14" s="572"/>
      <c r="GH14" s="572"/>
      <c r="GI14" s="572"/>
      <c r="GJ14" s="572"/>
      <c r="GK14" s="572"/>
      <c r="GL14" s="572"/>
      <c r="GM14" s="572"/>
      <c r="GN14" s="572"/>
      <c r="GO14" s="572"/>
      <c r="GP14" s="572"/>
      <c r="GQ14" s="572"/>
      <c r="GR14" s="572"/>
      <c r="GS14" s="572"/>
      <c r="GT14" s="572"/>
      <c r="GU14" s="572"/>
      <c r="GV14" s="572"/>
      <c r="GW14" s="572"/>
      <c r="GX14" s="572"/>
      <c r="GY14" s="572"/>
      <c r="GZ14" s="572"/>
      <c r="HA14" s="572"/>
      <c r="HB14" s="572"/>
      <c r="HC14" s="572"/>
      <c r="HD14" s="572"/>
      <c r="HE14" s="572"/>
      <c r="HF14" s="572"/>
      <c r="HG14" s="572"/>
      <c r="HH14" s="572"/>
      <c r="HI14" s="572"/>
      <c r="HJ14" s="572"/>
      <c r="HK14" s="572"/>
      <c r="HL14" s="572"/>
      <c r="HM14" s="572"/>
      <c r="HN14" s="572"/>
      <c r="HO14" s="572"/>
      <c r="HP14" s="572"/>
      <c r="HQ14" s="572"/>
      <c r="HR14" s="572"/>
      <c r="HS14" s="572"/>
      <c r="HT14" s="572"/>
      <c r="HU14" s="572"/>
      <c r="HV14" s="572"/>
      <c r="HW14" s="572"/>
      <c r="HX14" s="572"/>
      <c r="HY14" s="572"/>
      <c r="HZ14" s="572"/>
      <c r="IA14" s="572"/>
      <c r="IB14" s="572"/>
      <c r="IC14" s="572"/>
      <c r="ID14" s="572"/>
      <c r="IE14" s="572"/>
      <c r="IF14" s="572"/>
      <c r="IG14" s="572"/>
      <c r="IH14" s="572"/>
      <c r="II14" s="572"/>
      <c r="IJ14" s="572"/>
      <c r="IK14" s="572"/>
    </row>
    <row r="15" spans="1:245" ht="12.75" customHeight="1" x14ac:dyDescent="0.25">
      <c r="A15" s="573"/>
      <c r="B15" s="574" t="s">
        <v>738</v>
      </c>
      <c r="C15" s="581"/>
      <c r="D15" s="572"/>
      <c r="E15" s="573"/>
      <c r="F15" s="599"/>
      <c r="G15" s="599"/>
      <c r="H15" s="600"/>
      <c r="I15" s="601"/>
      <c r="J15" s="601"/>
      <c r="K15" s="600"/>
      <c r="L15" s="573"/>
      <c r="M15" s="573"/>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M15" s="572"/>
      <c r="AN15" s="572"/>
      <c r="AO15" s="572"/>
      <c r="AP15" s="572"/>
      <c r="AQ15" s="572"/>
      <c r="AR15" s="572"/>
      <c r="AS15" s="572"/>
      <c r="AT15" s="572"/>
      <c r="AU15" s="572"/>
      <c r="AV15" s="572"/>
      <c r="AW15" s="572"/>
      <c r="AX15" s="572"/>
      <c r="AY15" s="572"/>
      <c r="AZ15" s="572"/>
      <c r="BA15" s="572"/>
      <c r="BB15" s="572"/>
      <c r="BC15" s="572"/>
      <c r="BD15" s="572"/>
      <c r="BE15" s="572"/>
      <c r="BF15" s="572"/>
      <c r="BG15" s="572"/>
      <c r="BH15" s="572"/>
      <c r="BI15" s="572"/>
      <c r="BJ15" s="572"/>
      <c r="BK15" s="572"/>
      <c r="BL15" s="572"/>
      <c r="BM15" s="572"/>
      <c r="BN15" s="572"/>
      <c r="BO15" s="572"/>
      <c r="BP15" s="572"/>
      <c r="BQ15" s="572"/>
      <c r="BR15" s="572"/>
      <c r="BS15" s="572"/>
      <c r="BT15" s="572"/>
      <c r="BU15" s="572"/>
      <c r="BV15" s="572"/>
      <c r="BW15" s="572"/>
      <c r="BX15" s="572"/>
      <c r="BY15" s="572"/>
      <c r="BZ15" s="572"/>
      <c r="CA15" s="572"/>
      <c r="CB15" s="572"/>
      <c r="CC15" s="572"/>
      <c r="CD15" s="572"/>
      <c r="CE15" s="572"/>
      <c r="CF15" s="572"/>
      <c r="CG15" s="572"/>
      <c r="CH15" s="572"/>
      <c r="CI15" s="572"/>
      <c r="CJ15" s="572"/>
      <c r="CK15" s="572"/>
      <c r="CL15" s="572"/>
      <c r="CM15" s="572"/>
      <c r="CN15" s="572"/>
      <c r="CO15" s="572"/>
      <c r="CP15" s="572"/>
      <c r="CQ15" s="572"/>
      <c r="CR15" s="572"/>
      <c r="CS15" s="572"/>
      <c r="CT15" s="572"/>
      <c r="CU15" s="572"/>
      <c r="CV15" s="572"/>
      <c r="CW15" s="572"/>
      <c r="CX15" s="572"/>
      <c r="CY15" s="572"/>
      <c r="CZ15" s="572"/>
      <c r="DA15" s="572"/>
      <c r="DB15" s="572"/>
      <c r="DC15" s="572"/>
      <c r="DD15" s="572"/>
      <c r="DE15" s="572"/>
      <c r="DF15" s="572"/>
      <c r="DG15" s="572"/>
      <c r="DH15" s="572"/>
      <c r="DI15" s="572"/>
      <c r="DJ15" s="572"/>
      <c r="DK15" s="572"/>
      <c r="DL15" s="572"/>
      <c r="DM15" s="572"/>
      <c r="DN15" s="572"/>
      <c r="DO15" s="572"/>
      <c r="DP15" s="572"/>
      <c r="DQ15" s="572"/>
      <c r="DR15" s="572"/>
      <c r="DS15" s="572"/>
      <c r="DT15" s="572"/>
      <c r="DU15" s="572"/>
      <c r="DV15" s="572"/>
      <c r="DW15" s="572"/>
      <c r="DX15" s="572"/>
      <c r="DY15" s="572"/>
      <c r="DZ15" s="572"/>
      <c r="EA15" s="572"/>
      <c r="EB15" s="572"/>
      <c r="EC15" s="572"/>
      <c r="ED15" s="572"/>
      <c r="EE15" s="572"/>
      <c r="EF15" s="572"/>
      <c r="EG15" s="572"/>
      <c r="EH15" s="572"/>
      <c r="EI15" s="572"/>
      <c r="EJ15" s="572"/>
      <c r="EK15" s="572"/>
      <c r="EL15" s="572"/>
      <c r="EM15" s="572"/>
      <c r="EN15" s="572"/>
      <c r="EO15" s="572"/>
      <c r="EP15" s="572"/>
      <c r="EQ15" s="572"/>
      <c r="ER15" s="572"/>
      <c r="ES15" s="572"/>
      <c r="ET15" s="572"/>
      <c r="EU15" s="572"/>
      <c r="EV15" s="572"/>
      <c r="EW15" s="572"/>
      <c r="EX15" s="572"/>
      <c r="EY15" s="572"/>
      <c r="EZ15" s="572"/>
      <c r="FA15" s="572"/>
      <c r="FB15" s="572"/>
      <c r="FC15" s="572"/>
      <c r="FD15" s="572"/>
      <c r="FE15" s="572"/>
      <c r="FF15" s="572"/>
      <c r="FG15" s="572"/>
      <c r="FH15" s="572"/>
      <c r="FI15" s="572"/>
      <c r="FJ15" s="572"/>
      <c r="FK15" s="572"/>
      <c r="FL15" s="572"/>
      <c r="FM15" s="572"/>
      <c r="FN15" s="572"/>
      <c r="FO15" s="572"/>
      <c r="FP15" s="572"/>
      <c r="FQ15" s="572"/>
      <c r="FR15" s="572"/>
      <c r="FS15" s="572"/>
      <c r="FT15" s="572"/>
      <c r="FU15" s="572"/>
      <c r="FV15" s="572"/>
      <c r="FW15" s="572"/>
      <c r="FX15" s="572"/>
      <c r="FY15" s="572"/>
      <c r="FZ15" s="572"/>
      <c r="GA15" s="572"/>
      <c r="GB15" s="572"/>
      <c r="GC15" s="572"/>
      <c r="GD15" s="572"/>
      <c r="GE15" s="572"/>
      <c r="GF15" s="572"/>
      <c r="GG15" s="572"/>
      <c r="GH15" s="572"/>
      <c r="GI15" s="572"/>
      <c r="GJ15" s="572"/>
      <c r="GK15" s="572"/>
      <c r="GL15" s="572"/>
      <c r="GM15" s="572"/>
      <c r="GN15" s="572"/>
      <c r="GO15" s="572"/>
      <c r="GP15" s="572"/>
      <c r="GQ15" s="572"/>
      <c r="GR15" s="572"/>
      <c r="GS15" s="572"/>
      <c r="GT15" s="572"/>
      <c r="GU15" s="572"/>
      <c r="GV15" s="572"/>
      <c r="GW15" s="572"/>
      <c r="GX15" s="572"/>
      <c r="GY15" s="572"/>
      <c r="GZ15" s="572"/>
      <c r="HA15" s="572"/>
      <c r="HB15" s="572"/>
      <c r="HC15" s="572"/>
      <c r="HD15" s="572"/>
      <c r="HE15" s="572"/>
      <c r="HF15" s="572"/>
      <c r="HG15" s="572"/>
      <c r="HH15" s="572"/>
      <c r="HI15" s="572"/>
      <c r="HJ15" s="572"/>
      <c r="HK15" s="572"/>
      <c r="HL15" s="572"/>
      <c r="HM15" s="572"/>
      <c r="HN15" s="572"/>
      <c r="HO15" s="572"/>
      <c r="HP15" s="572"/>
      <c r="HQ15" s="572"/>
      <c r="HR15" s="572"/>
      <c r="HS15" s="572"/>
      <c r="HT15" s="572"/>
      <c r="HU15" s="572"/>
      <c r="HV15" s="572"/>
      <c r="HW15" s="572"/>
      <c r="HX15" s="572"/>
      <c r="HY15" s="572"/>
      <c r="HZ15" s="572"/>
      <c r="IA15" s="572"/>
      <c r="IB15" s="572"/>
      <c r="IC15" s="572"/>
      <c r="ID15" s="572"/>
      <c r="IE15" s="572"/>
      <c r="IF15" s="572"/>
      <c r="IG15" s="572"/>
      <c r="IH15" s="572"/>
      <c r="II15" s="572"/>
      <c r="IJ15" s="572"/>
      <c r="IK15" s="572"/>
    </row>
    <row r="16" spans="1:245" ht="12.75" customHeight="1" x14ac:dyDescent="0.25">
      <c r="A16" s="573"/>
      <c r="B16" s="602"/>
      <c r="C16" s="602"/>
      <c r="D16" s="572"/>
      <c r="E16" s="572"/>
      <c r="F16" s="581"/>
      <c r="G16" s="572"/>
      <c r="H16" s="572"/>
      <c r="I16" s="573"/>
      <c r="J16" s="573"/>
      <c r="K16" s="573"/>
      <c r="L16" s="573"/>
      <c r="M16" s="573"/>
      <c r="N16" s="572"/>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572"/>
      <c r="AL16" s="572"/>
      <c r="AM16" s="572"/>
      <c r="AN16" s="572"/>
      <c r="AO16" s="572"/>
      <c r="AP16" s="572"/>
      <c r="AQ16" s="572"/>
      <c r="AR16" s="572"/>
      <c r="AS16" s="572"/>
      <c r="AT16" s="572"/>
      <c r="AU16" s="572"/>
      <c r="AV16" s="572"/>
      <c r="AW16" s="572"/>
      <c r="AX16" s="572"/>
      <c r="AY16" s="572"/>
      <c r="AZ16" s="572"/>
      <c r="BA16" s="572"/>
      <c r="BB16" s="572"/>
      <c r="BC16" s="572"/>
      <c r="BD16" s="572"/>
      <c r="BE16" s="572"/>
      <c r="BF16" s="572"/>
      <c r="BG16" s="572"/>
      <c r="BH16" s="572"/>
      <c r="BI16" s="572"/>
      <c r="BJ16" s="572"/>
      <c r="BK16" s="572"/>
      <c r="BL16" s="572"/>
      <c r="BM16" s="572"/>
      <c r="BN16" s="572"/>
      <c r="BO16" s="572"/>
      <c r="BP16" s="572"/>
      <c r="BQ16" s="572"/>
      <c r="BR16" s="572"/>
      <c r="BS16" s="572"/>
      <c r="BT16" s="572"/>
      <c r="BU16" s="572"/>
      <c r="BV16" s="572"/>
      <c r="BW16" s="572"/>
      <c r="BX16" s="572"/>
      <c r="BY16" s="572"/>
      <c r="BZ16" s="572"/>
      <c r="CA16" s="572"/>
      <c r="CB16" s="572"/>
      <c r="CC16" s="572"/>
      <c r="CD16" s="572"/>
      <c r="CE16" s="572"/>
      <c r="CF16" s="572"/>
      <c r="CG16" s="572"/>
      <c r="CH16" s="572"/>
      <c r="CI16" s="572"/>
      <c r="CJ16" s="572"/>
      <c r="CK16" s="572"/>
      <c r="CL16" s="572"/>
      <c r="CM16" s="572"/>
      <c r="CN16" s="572"/>
      <c r="CO16" s="572"/>
      <c r="CP16" s="572"/>
      <c r="CQ16" s="572"/>
      <c r="CR16" s="572"/>
      <c r="CS16" s="572"/>
      <c r="CT16" s="572"/>
      <c r="CU16" s="572"/>
      <c r="CV16" s="572"/>
      <c r="CW16" s="572"/>
      <c r="CX16" s="572"/>
      <c r="CY16" s="572"/>
      <c r="CZ16" s="572"/>
      <c r="DA16" s="572"/>
      <c r="DB16" s="572"/>
      <c r="DC16" s="572"/>
      <c r="DD16" s="572"/>
      <c r="DE16" s="572"/>
      <c r="DF16" s="572"/>
      <c r="DG16" s="572"/>
      <c r="DH16" s="572"/>
      <c r="DI16" s="572"/>
      <c r="DJ16" s="572"/>
      <c r="DK16" s="572"/>
      <c r="DL16" s="572"/>
      <c r="DM16" s="572"/>
      <c r="DN16" s="572"/>
      <c r="DO16" s="572"/>
      <c r="DP16" s="572"/>
      <c r="DQ16" s="572"/>
      <c r="DR16" s="572"/>
      <c r="DS16" s="572"/>
      <c r="DT16" s="572"/>
      <c r="DU16" s="572"/>
      <c r="DV16" s="572"/>
      <c r="DW16" s="572"/>
      <c r="DX16" s="572"/>
      <c r="DY16" s="572"/>
      <c r="DZ16" s="572"/>
      <c r="EA16" s="572"/>
      <c r="EB16" s="572"/>
      <c r="EC16" s="572"/>
      <c r="ED16" s="572"/>
      <c r="EE16" s="572"/>
      <c r="EF16" s="572"/>
      <c r="EG16" s="572"/>
      <c r="EH16" s="572"/>
      <c r="EI16" s="572"/>
      <c r="EJ16" s="572"/>
      <c r="EK16" s="572"/>
      <c r="EL16" s="572"/>
      <c r="EM16" s="572"/>
      <c r="EN16" s="572"/>
      <c r="EO16" s="572"/>
      <c r="EP16" s="572"/>
      <c r="EQ16" s="572"/>
      <c r="ER16" s="572"/>
      <c r="ES16" s="572"/>
      <c r="ET16" s="572"/>
      <c r="EU16" s="572"/>
      <c r="EV16" s="572"/>
      <c r="EW16" s="572"/>
      <c r="EX16" s="572"/>
      <c r="EY16" s="572"/>
      <c r="EZ16" s="572"/>
      <c r="FA16" s="572"/>
      <c r="FB16" s="572"/>
      <c r="FC16" s="572"/>
      <c r="FD16" s="572"/>
      <c r="FE16" s="572"/>
      <c r="FF16" s="572"/>
      <c r="FG16" s="572"/>
      <c r="FH16" s="572"/>
      <c r="FI16" s="572"/>
      <c r="FJ16" s="572"/>
      <c r="FK16" s="572"/>
      <c r="FL16" s="572"/>
      <c r="FM16" s="572"/>
      <c r="FN16" s="572"/>
      <c r="FO16" s="572"/>
      <c r="FP16" s="572"/>
      <c r="FQ16" s="572"/>
      <c r="FR16" s="572"/>
      <c r="FS16" s="572"/>
      <c r="FT16" s="572"/>
      <c r="FU16" s="572"/>
      <c r="FV16" s="572"/>
      <c r="FW16" s="572"/>
      <c r="FX16" s="572"/>
      <c r="FY16" s="572"/>
      <c r="FZ16" s="572"/>
      <c r="GA16" s="572"/>
      <c r="GB16" s="572"/>
      <c r="GC16" s="572"/>
      <c r="GD16" s="572"/>
      <c r="GE16" s="572"/>
      <c r="GF16" s="572"/>
      <c r="GG16" s="572"/>
      <c r="GH16" s="572"/>
      <c r="GI16" s="572"/>
      <c r="GJ16" s="572"/>
      <c r="GK16" s="572"/>
      <c r="GL16" s="572"/>
      <c r="GM16" s="572"/>
      <c r="GN16" s="572"/>
      <c r="GO16" s="572"/>
      <c r="GP16" s="572"/>
      <c r="GQ16" s="572"/>
      <c r="GR16" s="572"/>
      <c r="GS16" s="572"/>
      <c r="GT16" s="572"/>
      <c r="GU16" s="572"/>
      <c r="GV16" s="572"/>
      <c r="GW16" s="572"/>
      <c r="GX16" s="572"/>
      <c r="GY16" s="572"/>
      <c r="GZ16" s="572"/>
      <c r="HA16" s="572"/>
      <c r="HB16" s="572"/>
      <c r="HC16" s="572"/>
      <c r="HD16" s="572"/>
      <c r="HE16" s="572"/>
      <c r="HF16" s="572"/>
      <c r="HG16" s="572"/>
      <c r="HH16" s="572"/>
      <c r="HI16" s="572"/>
      <c r="HJ16" s="572"/>
      <c r="HK16" s="572"/>
      <c r="HL16" s="572"/>
      <c r="HM16" s="572"/>
      <c r="HN16" s="572"/>
      <c r="HO16" s="572"/>
      <c r="HP16" s="572"/>
      <c r="HQ16" s="572"/>
      <c r="HR16" s="572"/>
      <c r="HS16" s="572"/>
      <c r="HT16" s="572"/>
      <c r="HU16" s="572"/>
      <c r="HV16" s="572"/>
      <c r="HW16" s="572"/>
      <c r="HX16" s="572"/>
      <c r="HY16" s="572"/>
      <c r="HZ16" s="572"/>
      <c r="IA16" s="572"/>
      <c r="IB16" s="572"/>
      <c r="IC16" s="572"/>
      <c r="ID16" s="572"/>
      <c r="IE16" s="572"/>
      <c r="IF16" s="572"/>
      <c r="IG16" s="572"/>
      <c r="IH16" s="572"/>
      <c r="II16" s="572"/>
      <c r="IJ16" s="572"/>
      <c r="IK16" s="572"/>
    </row>
    <row r="17" spans="1:13" s="37" customFormat="1" x14ac:dyDescent="0.25">
      <c r="A17" s="603" t="s">
        <v>195</v>
      </c>
      <c r="B17" s="603" t="s">
        <v>196</v>
      </c>
      <c r="C17" s="603"/>
      <c r="D17" s="603"/>
      <c r="E17" s="604"/>
      <c r="F17" s="604"/>
      <c r="G17" s="604"/>
      <c r="H17" s="604"/>
      <c r="I17" s="604"/>
      <c r="J17" s="604"/>
      <c r="K17" s="604"/>
      <c r="L17" s="605"/>
      <c r="M17" s="605"/>
    </row>
    <row r="18" spans="1:13" ht="12.75" customHeight="1" x14ac:dyDescent="0.2">
      <c r="A18" s="606"/>
      <c r="B18" s="606"/>
      <c r="C18" s="606"/>
      <c r="D18" s="606"/>
      <c r="E18" s="606"/>
      <c r="F18" s="606"/>
      <c r="G18" s="606"/>
      <c r="H18" s="606"/>
      <c r="I18" s="606"/>
      <c r="J18" s="606"/>
      <c r="K18" s="606"/>
      <c r="L18" s="606"/>
      <c r="M18" s="606"/>
    </row>
    <row r="19" spans="1:13" ht="15" thickBot="1" x14ac:dyDescent="0.25">
      <c r="A19" s="580"/>
      <c r="B19" s="607" t="s">
        <v>197</v>
      </c>
      <c r="C19" s="608"/>
      <c r="D19" s="608"/>
      <c r="E19" s="608"/>
      <c r="F19" s="573"/>
      <c r="G19" s="573"/>
      <c r="H19" s="573"/>
      <c r="I19" s="573"/>
      <c r="J19" s="609"/>
      <c r="K19" s="573"/>
      <c r="L19" s="573"/>
      <c r="M19" s="573"/>
    </row>
    <row r="20" spans="1:13" s="610" customFormat="1" ht="15.75" thickTop="1" thickBot="1" x14ac:dyDescent="0.25">
      <c r="B20" s="662"/>
      <c r="C20" s="663"/>
      <c r="D20" s="663"/>
      <c r="E20" s="663"/>
      <c r="F20" s="663"/>
      <c r="G20" s="663"/>
      <c r="H20" s="664" t="s">
        <v>198</v>
      </c>
      <c r="I20" s="664" t="s">
        <v>199</v>
      </c>
      <c r="J20" s="664" t="s">
        <v>200</v>
      </c>
      <c r="K20" s="664" t="s">
        <v>201</v>
      </c>
      <c r="L20" s="665" t="s">
        <v>202</v>
      </c>
      <c r="M20" s="611" t="s">
        <v>203</v>
      </c>
    </row>
    <row r="21" spans="1:13" s="610" customFormat="1" ht="14.25" thickTop="1" thickBot="1" x14ac:dyDescent="0.3">
      <c r="B21" s="667" t="s">
        <v>739</v>
      </c>
      <c r="C21" s="667"/>
      <c r="D21" s="667"/>
      <c r="E21" s="667"/>
      <c r="F21" s="667"/>
      <c r="G21" s="667"/>
      <c r="H21" s="667">
        <v>7.4</v>
      </c>
      <c r="I21" s="667"/>
      <c r="J21" s="667"/>
      <c r="K21" s="667"/>
      <c r="L21" s="668">
        <v>0.16</v>
      </c>
      <c r="M21" s="611"/>
    </row>
    <row r="22" spans="1:13" ht="14.25" thickTop="1" thickBot="1" x14ac:dyDescent="0.25">
      <c r="A22" s="573"/>
      <c r="B22" s="612" t="s">
        <v>204</v>
      </c>
      <c r="C22" s="613"/>
      <c r="D22" s="613"/>
      <c r="E22" s="613"/>
      <c r="F22" s="613"/>
      <c r="G22" s="613"/>
      <c r="H22" s="614">
        <v>3.1E-2</v>
      </c>
      <c r="I22" s="614">
        <v>2.0500000000000002E-3</v>
      </c>
      <c r="J22" s="614">
        <v>6.6800000000000002E-3</v>
      </c>
      <c r="K22" s="614">
        <v>2.5141E-3</v>
      </c>
      <c r="L22" s="666">
        <v>2.2000000000000001E-3</v>
      </c>
      <c r="M22" s="615">
        <v>1.1499999999999999</v>
      </c>
    </row>
    <row r="23" spans="1:13" s="610" customFormat="1" ht="15" thickTop="1" x14ac:dyDescent="0.25">
      <c r="B23" s="616" t="s">
        <v>205</v>
      </c>
      <c r="C23" s="616"/>
      <c r="J23" s="617"/>
      <c r="K23" s="617"/>
    </row>
    <row r="24" spans="1:13" ht="12.75" customHeight="1" x14ac:dyDescent="0.2">
      <c r="A24" s="573"/>
      <c r="B24" s="618"/>
      <c r="C24" s="618"/>
      <c r="D24" s="618"/>
      <c r="E24" s="619"/>
      <c r="F24" s="619"/>
      <c r="G24" s="619"/>
      <c r="H24" s="619"/>
      <c r="I24" s="573"/>
      <c r="J24" s="573"/>
      <c r="K24" s="573"/>
      <c r="L24" s="573"/>
      <c r="M24" s="573"/>
    </row>
    <row r="25" spans="1:13" s="610" customFormat="1" ht="12.75" customHeight="1" x14ac:dyDescent="0.2">
      <c r="B25" s="582" t="s">
        <v>206</v>
      </c>
      <c r="C25" s="583"/>
      <c r="D25" s="573"/>
      <c r="E25" s="620"/>
      <c r="F25" s="573"/>
      <c r="G25" s="573"/>
    </row>
    <row r="26" spans="1:13" s="610" customFormat="1" ht="12.75" customHeight="1" x14ac:dyDescent="0.2">
      <c r="B26" s="608" t="s">
        <v>207</v>
      </c>
      <c r="C26" s="583"/>
      <c r="D26" s="573"/>
      <c r="E26" s="620"/>
      <c r="F26" s="573"/>
      <c r="G26" s="573"/>
    </row>
    <row r="27" spans="1:13" s="610" customFormat="1" ht="12.75" customHeight="1" x14ac:dyDescent="0.2">
      <c r="B27" s="621"/>
      <c r="C27" s="583"/>
      <c r="D27" s="573"/>
      <c r="E27" s="620"/>
      <c r="F27" s="573"/>
      <c r="G27" s="573"/>
    </row>
    <row r="28" spans="1:13" s="46" customFormat="1" x14ac:dyDescent="0.25">
      <c r="A28" s="622" t="s">
        <v>208</v>
      </c>
      <c r="B28" s="622"/>
      <c r="C28" s="622"/>
      <c r="D28" s="622"/>
      <c r="E28" s="623"/>
      <c r="F28" s="623"/>
      <c r="G28" s="623"/>
      <c r="H28" s="624"/>
      <c r="I28" s="624"/>
      <c r="J28" s="623"/>
      <c r="K28" s="623"/>
      <c r="L28" s="623"/>
      <c r="M28" s="623"/>
    </row>
    <row r="29" spans="1:13" ht="12.75" customHeight="1" thickBot="1" x14ac:dyDescent="0.25">
      <c r="A29" s="573"/>
      <c r="B29" s="573"/>
      <c r="C29" s="573"/>
      <c r="D29" s="573"/>
      <c r="E29" s="573"/>
      <c r="F29" s="573"/>
      <c r="G29" s="573"/>
      <c r="H29" s="573"/>
      <c r="I29" s="573"/>
      <c r="J29" s="573"/>
      <c r="K29" s="573"/>
      <c r="L29" s="573"/>
      <c r="M29" s="573"/>
    </row>
    <row r="30" spans="1:13" ht="16.5" customHeight="1" thickTop="1" x14ac:dyDescent="0.2">
      <c r="A30" s="577" t="s">
        <v>288</v>
      </c>
      <c r="B30" s="1053" t="s">
        <v>209</v>
      </c>
      <c r="C30" s="1056" t="s">
        <v>210</v>
      </c>
      <c r="D30" s="1056" t="s">
        <v>211</v>
      </c>
      <c r="E30" s="1059" t="s">
        <v>212</v>
      </c>
      <c r="F30" s="1059" t="s">
        <v>213</v>
      </c>
      <c r="G30" s="1056" t="s">
        <v>214</v>
      </c>
      <c r="H30" s="1074" t="s">
        <v>215</v>
      </c>
      <c r="I30" s="1074"/>
      <c r="J30" s="1074"/>
      <c r="K30" s="1074"/>
      <c r="L30" s="1074"/>
      <c r="M30" s="1075"/>
    </row>
    <row r="31" spans="1:13" ht="12.75" customHeight="1" x14ac:dyDescent="0.2">
      <c r="A31" s="577"/>
      <c r="B31" s="1054"/>
      <c r="C31" s="1057"/>
      <c r="D31" s="1057"/>
      <c r="E31" s="1060"/>
      <c r="F31" s="1060"/>
      <c r="G31" s="1057"/>
      <c r="H31" s="1076" t="s">
        <v>216</v>
      </c>
      <c r="I31" s="1076" t="s">
        <v>217</v>
      </c>
      <c r="J31" s="1076" t="s">
        <v>200</v>
      </c>
      <c r="K31" s="1076" t="s">
        <v>201</v>
      </c>
      <c r="L31" s="1076" t="s">
        <v>784</v>
      </c>
      <c r="M31" s="1080" t="s">
        <v>219</v>
      </c>
    </row>
    <row r="32" spans="1:13" ht="13.5" customHeight="1" thickBot="1" x14ac:dyDescent="0.25">
      <c r="A32" s="577"/>
      <c r="B32" s="1055"/>
      <c r="C32" s="1058"/>
      <c r="D32" s="1058"/>
      <c r="E32" s="1061"/>
      <c r="F32" s="1062"/>
      <c r="G32" s="1058"/>
      <c r="H32" s="1077"/>
      <c r="I32" s="1078"/>
      <c r="J32" s="1077"/>
      <c r="K32" s="1077"/>
      <c r="L32" s="1079"/>
      <c r="M32" s="1081"/>
    </row>
    <row r="33" spans="1:248" ht="12.75" customHeight="1" thickTop="1" thickBot="1" x14ac:dyDescent="0.25">
      <c r="A33" s="573">
        <v>31</v>
      </c>
      <c r="B33" s="625">
        <v>1572</v>
      </c>
      <c r="C33" s="626" t="s">
        <v>220</v>
      </c>
      <c r="D33" s="627">
        <v>1994</v>
      </c>
      <c r="E33" s="628" t="s">
        <v>221</v>
      </c>
      <c r="F33" s="628">
        <v>235</v>
      </c>
      <c r="G33" s="629">
        <v>500</v>
      </c>
      <c r="H33" s="630">
        <f>H$22*G33*F33</f>
        <v>3642.5</v>
      </c>
      <c r="I33" s="630">
        <f>I$22*$G33*$F33</f>
        <v>240.87500000000003</v>
      </c>
      <c r="J33" s="630">
        <f t="shared" ref="J33:M33" si="0">J$22*$G33*$F33</f>
        <v>784.90000000000009</v>
      </c>
      <c r="K33" s="630">
        <f t="shared" si="0"/>
        <v>295.40674999999999</v>
      </c>
      <c r="L33" s="630">
        <f t="shared" si="0"/>
        <v>258.5</v>
      </c>
      <c r="M33" s="631">
        <f t="shared" si="0"/>
        <v>135125</v>
      </c>
    </row>
    <row r="34" spans="1:248" ht="12.75" customHeight="1" thickTop="1" thickBot="1" x14ac:dyDescent="0.25">
      <c r="A34" s="573">
        <v>32</v>
      </c>
      <c r="B34" s="632">
        <v>1572</v>
      </c>
      <c r="C34" s="633" t="s">
        <v>220</v>
      </c>
      <c r="D34" s="634">
        <v>1994</v>
      </c>
      <c r="E34" s="635" t="s">
        <v>221</v>
      </c>
      <c r="F34" s="635">
        <v>235</v>
      </c>
      <c r="G34" s="636">
        <v>500</v>
      </c>
      <c r="H34" s="637">
        <f t="shared" ref="H34:H42" si="1">H$22*G34*F34</f>
        <v>3642.5</v>
      </c>
      <c r="I34" s="637">
        <f t="shared" ref="I34:M42" si="2">I$22*$G34*$F34</f>
        <v>240.87500000000003</v>
      </c>
      <c r="J34" s="637">
        <f t="shared" si="2"/>
        <v>784.90000000000009</v>
      </c>
      <c r="K34" s="637">
        <f t="shared" si="2"/>
        <v>295.40674999999999</v>
      </c>
      <c r="L34" s="637">
        <f t="shared" si="2"/>
        <v>258.5</v>
      </c>
      <c r="M34" s="631">
        <f t="shared" si="2"/>
        <v>135125</v>
      </c>
    </row>
    <row r="35" spans="1:248" ht="12.75" customHeight="1" thickTop="1" thickBot="1" x14ac:dyDescent="0.25">
      <c r="A35" s="577">
        <v>33</v>
      </c>
      <c r="B35" s="632">
        <v>1572</v>
      </c>
      <c r="C35" s="638" t="s">
        <v>220</v>
      </c>
      <c r="D35" s="639">
        <v>1994</v>
      </c>
      <c r="E35" s="635" t="s">
        <v>221</v>
      </c>
      <c r="F35" s="640">
        <v>235</v>
      </c>
      <c r="G35" s="636">
        <v>500</v>
      </c>
      <c r="H35" s="637">
        <f t="shared" si="1"/>
        <v>3642.5</v>
      </c>
      <c r="I35" s="637">
        <f t="shared" si="2"/>
        <v>240.87500000000003</v>
      </c>
      <c r="J35" s="637">
        <f t="shared" si="2"/>
        <v>784.90000000000009</v>
      </c>
      <c r="K35" s="637">
        <f t="shared" si="2"/>
        <v>295.40674999999999</v>
      </c>
      <c r="L35" s="637">
        <f t="shared" si="2"/>
        <v>258.5</v>
      </c>
      <c r="M35" s="631">
        <f t="shared" si="2"/>
        <v>135125</v>
      </c>
    </row>
    <row r="36" spans="1:248" ht="12.75" customHeight="1" thickTop="1" thickBot="1" x14ac:dyDescent="0.25">
      <c r="A36" s="577">
        <v>34</v>
      </c>
      <c r="B36" s="632">
        <v>1572</v>
      </c>
      <c r="C36" s="641" t="s">
        <v>220</v>
      </c>
      <c r="D36" s="639">
        <v>1994</v>
      </c>
      <c r="E36" s="635" t="s">
        <v>221</v>
      </c>
      <c r="F36" s="640">
        <v>235</v>
      </c>
      <c r="G36" s="636">
        <v>500</v>
      </c>
      <c r="H36" s="637">
        <f t="shared" si="1"/>
        <v>3642.5</v>
      </c>
      <c r="I36" s="637">
        <f t="shared" si="2"/>
        <v>240.87500000000003</v>
      </c>
      <c r="J36" s="637">
        <f t="shared" si="2"/>
        <v>784.90000000000009</v>
      </c>
      <c r="K36" s="637">
        <f t="shared" si="2"/>
        <v>295.40674999999999</v>
      </c>
      <c r="L36" s="637">
        <f t="shared" si="2"/>
        <v>258.5</v>
      </c>
      <c r="M36" s="631">
        <f t="shared" si="2"/>
        <v>135125</v>
      </c>
    </row>
    <row r="37" spans="1:248" s="643" customFormat="1" ht="12.75" customHeight="1" thickTop="1" thickBot="1" x14ac:dyDescent="0.25">
      <c r="A37" s="573">
        <v>35</v>
      </c>
      <c r="B37" s="632">
        <v>2080</v>
      </c>
      <c r="C37" s="642" t="s">
        <v>222</v>
      </c>
      <c r="D37" s="639">
        <v>1977</v>
      </c>
      <c r="E37" s="635" t="s">
        <v>223</v>
      </c>
      <c r="F37" s="640">
        <v>240</v>
      </c>
      <c r="G37" s="636">
        <v>500</v>
      </c>
      <c r="H37" s="637">
        <f t="shared" si="1"/>
        <v>3720</v>
      </c>
      <c r="I37" s="637">
        <f t="shared" si="2"/>
        <v>246.00000000000003</v>
      </c>
      <c r="J37" s="637">
        <f t="shared" si="2"/>
        <v>801.6</v>
      </c>
      <c r="K37" s="637">
        <f t="shared" si="2"/>
        <v>301.69200000000001</v>
      </c>
      <c r="L37" s="637">
        <f t="shared" si="2"/>
        <v>264</v>
      </c>
      <c r="M37" s="631">
        <f t="shared" si="2"/>
        <v>138000</v>
      </c>
      <c r="N37" s="573"/>
    </row>
    <row r="38" spans="1:248" s="643" customFormat="1" ht="12.75" customHeight="1" thickTop="1" thickBot="1" x14ac:dyDescent="0.25">
      <c r="A38" s="573">
        <v>36</v>
      </c>
      <c r="B38" s="644">
        <v>2080</v>
      </c>
      <c r="C38" s="642" t="s">
        <v>222</v>
      </c>
      <c r="D38" s="639">
        <v>1977</v>
      </c>
      <c r="E38" s="635" t="s">
        <v>223</v>
      </c>
      <c r="F38" s="640">
        <v>240</v>
      </c>
      <c r="G38" s="636">
        <v>500</v>
      </c>
      <c r="H38" s="637">
        <f t="shared" si="1"/>
        <v>3720</v>
      </c>
      <c r="I38" s="637">
        <f t="shared" si="2"/>
        <v>246.00000000000003</v>
      </c>
      <c r="J38" s="637">
        <f t="shared" si="2"/>
        <v>801.6</v>
      </c>
      <c r="K38" s="637">
        <f t="shared" si="2"/>
        <v>301.69200000000001</v>
      </c>
      <c r="L38" s="637">
        <f t="shared" si="2"/>
        <v>264</v>
      </c>
      <c r="M38" s="631">
        <f t="shared" si="2"/>
        <v>138000</v>
      </c>
      <c r="N38" s="573"/>
    </row>
    <row r="39" spans="1:248" s="643" customFormat="1" ht="12.75" customHeight="1" thickTop="1" thickBot="1" x14ac:dyDescent="0.25">
      <c r="A39" s="573">
        <v>30</v>
      </c>
      <c r="B39" s="644">
        <v>2089</v>
      </c>
      <c r="C39" s="642" t="s">
        <v>271</v>
      </c>
      <c r="D39" s="639">
        <v>2007</v>
      </c>
      <c r="E39" s="635" t="s">
        <v>224</v>
      </c>
      <c r="F39" s="640">
        <v>275</v>
      </c>
      <c r="G39" s="636">
        <v>500</v>
      </c>
      <c r="H39" s="637">
        <f>$F39*H21/1000*2.2*$G39</f>
        <v>2238.5</v>
      </c>
      <c r="I39" s="637">
        <f t="shared" si="2"/>
        <v>281.87500000000006</v>
      </c>
      <c r="J39" s="637">
        <f t="shared" si="2"/>
        <v>918.50000000000011</v>
      </c>
      <c r="K39" s="637">
        <f t="shared" si="2"/>
        <v>345.68875000000003</v>
      </c>
      <c r="L39" s="637">
        <f>$F39*L21/1000*2.2*$G39</f>
        <v>48.4</v>
      </c>
      <c r="M39" s="631">
        <f t="shared" si="2"/>
        <v>158125</v>
      </c>
    </row>
    <row r="40" spans="1:248" s="643" customFormat="1" ht="12.75" customHeight="1" thickTop="1" thickBot="1" x14ac:dyDescent="0.25">
      <c r="A40" s="573">
        <v>37</v>
      </c>
      <c r="B40" s="632">
        <v>3498</v>
      </c>
      <c r="C40" s="642" t="s">
        <v>220</v>
      </c>
      <c r="D40" s="639">
        <v>2005</v>
      </c>
      <c r="E40" s="645" t="s">
        <v>225</v>
      </c>
      <c r="F40" s="640">
        <v>94</v>
      </c>
      <c r="G40" s="636">
        <v>500</v>
      </c>
      <c r="H40" s="637">
        <f t="shared" si="1"/>
        <v>1457</v>
      </c>
      <c r="I40" s="637">
        <f t="shared" si="2"/>
        <v>96.350000000000009</v>
      </c>
      <c r="J40" s="637">
        <f t="shared" si="2"/>
        <v>313.96000000000004</v>
      </c>
      <c r="K40" s="637">
        <f t="shared" si="2"/>
        <v>118.1627</v>
      </c>
      <c r="L40" s="637">
        <f t="shared" si="2"/>
        <v>103.4</v>
      </c>
      <c r="M40" s="631">
        <f t="shared" si="2"/>
        <v>54050</v>
      </c>
      <c r="N40" s="573"/>
    </row>
    <row r="41" spans="1:248" s="643" customFormat="1" ht="12.75" customHeight="1" thickTop="1" thickBot="1" x14ac:dyDescent="0.25">
      <c r="A41" s="573">
        <v>38</v>
      </c>
      <c r="B41" s="632">
        <v>5009</v>
      </c>
      <c r="C41" s="642" t="s">
        <v>220</v>
      </c>
      <c r="D41" s="639">
        <v>1996</v>
      </c>
      <c r="E41" s="635" t="s">
        <v>226</v>
      </c>
      <c r="F41" s="635">
        <v>120</v>
      </c>
      <c r="G41" s="636">
        <v>500</v>
      </c>
      <c r="H41" s="637">
        <f t="shared" si="1"/>
        <v>1860</v>
      </c>
      <c r="I41" s="637">
        <f t="shared" si="2"/>
        <v>123.00000000000001</v>
      </c>
      <c r="J41" s="637">
        <f t="shared" si="2"/>
        <v>400.8</v>
      </c>
      <c r="K41" s="637">
        <f t="shared" si="2"/>
        <v>150.846</v>
      </c>
      <c r="L41" s="637">
        <f t="shared" si="2"/>
        <v>132</v>
      </c>
      <c r="M41" s="631">
        <f t="shared" si="2"/>
        <v>69000</v>
      </c>
      <c r="N41" s="573"/>
    </row>
    <row r="42" spans="1:248" s="643" customFormat="1" ht="12.75" customHeight="1" thickTop="1" thickBot="1" x14ac:dyDescent="0.25">
      <c r="A42" s="573">
        <v>39</v>
      </c>
      <c r="B42" s="646">
        <v>5009</v>
      </c>
      <c r="C42" s="642" t="s">
        <v>220</v>
      </c>
      <c r="D42" s="639">
        <v>1996</v>
      </c>
      <c r="E42" s="635" t="s">
        <v>226</v>
      </c>
      <c r="F42" s="635">
        <v>120</v>
      </c>
      <c r="G42" s="647">
        <v>500</v>
      </c>
      <c r="H42" s="648">
        <f t="shared" si="1"/>
        <v>1860</v>
      </c>
      <c r="I42" s="648">
        <f t="shared" si="2"/>
        <v>123.00000000000001</v>
      </c>
      <c r="J42" s="648">
        <f t="shared" si="2"/>
        <v>400.8</v>
      </c>
      <c r="K42" s="648">
        <f t="shared" si="2"/>
        <v>150.846</v>
      </c>
      <c r="L42" s="648">
        <f t="shared" si="2"/>
        <v>132</v>
      </c>
      <c r="M42" s="631">
        <f t="shared" si="2"/>
        <v>69000</v>
      </c>
      <c r="N42" s="573"/>
    </row>
    <row r="43" spans="1:248" s="643" customFormat="1" ht="12.75" customHeight="1" thickTop="1" x14ac:dyDescent="0.2">
      <c r="A43" s="573"/>
      <c r="B43" s="649" t="s">
        <v>227</v>
      </c>
      <c r="C43" s="650"/>
      <c r="D43" s="651"/>
      <c r="E43" s="651"/>
      <c r="F43" s="651"/>
      <c r="G43" s="652"/>
      <c r="H43" s="653">
        <f>SUM(H33:H42)</f>
        <v>29425.5</v>
      </c>
      <c r="I43" s="653">
        <f>SUM(I33:I42)</f>
        <v>2079.7250000000004</v>
      </c>
      <c r="J43" s="653">
        <f>SUM(J33:J42)</f>
        <v>6776.8600000000006</v>
      </c>
      <c r="K43" s="653">
        <f>SUM(K33:K42)</f>
        <v>2550.5544499999996</v>
      </c>
      <c r="L43" s="653">
        <f>SUM(L33:L42)</f>
        <v>1977.8000000000002</v>
      </c>
      <c r="M43" s="654">
        <v>1718675</v>
      </c>
    </row>
    <row r="44" spans="1:248" s="643" customFormat="1" ht="12.75" customHeight="1" thickBot="1" x14ac:dyDescent="0.25">
      <c r="A44" s="573"/>
      <c r="B44" s="655" t="s">
        <v>228</v>
      </c>
      <c r="C44" s="656"/>
      <c r="D44" s="657"/>
      <c r="E44" s="657"/>
      <c r="F44" s="657"/>
      <c r="G44" s="658"/>
      <c r="H44" s="659">
        <f>H43/2000</f>
        <v>14.71275</v>
      </c>
      <c r="I44" s="659">
        <f t="shared" ref="I44:L44" si="3">I43/2000</f>
        <v>1.0398625000000001</v>
      </c>
      <c r="J44" s="659">
        <f t="shared" si="3"/>
        <v>3.3884300000000005</v>
      </c>
      <c r="K44" s="659">
        <f t="shared" si="3"/>
        <v>1.2752772249999997</v>
      </c>
      <c r="L44" s="659">
        <f t="shared" si="3"/>
        <v>0.98890000000000011</v>
      </c>
      <c r="M44" s="660">
        <v>859.33749999999998</v>
      </c>
    </row>
    <row r="45" spans="1:248" ht="12.75" customHeight="1" thickTop="1" x14ac:dyDescent="0.25">
      <c r="A45" s="572"/>
      <c r="B45" s="572"/>
      <c r="C45" s="661"/>
      <c r="D45" s="572"/>
      <c r="E45" s="572"/>
      <c r="F45" s="572"/>
      <c r="G45" s="572"/>
      <c r="H45" s="572"/>
      <c r="I45" s="572"/>
      <c r="J45" s="572"/>
      <c r="K45" s="572"/>
      <c r="L45" s="572"/>
      <c r="M45" s="661"/>
    </row>
    <row r="46" spans="1:248" ht="12.75" customHeight="1" x14ac:dyDescent="0.3">
      <c r="B46" s="578" t="s">
        <v>785</v>
      </c>
      <c r="C46" s="661"/>
      <c r="D46" s="572"/>
      <c r="E46" s="572"/>
      <c r="F46" s="572"/>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572"/>
      <c r="AK46" s="572"/>
      <c r="AL46" s="572"/>
      <c r="AM46" s="572"/>
      <c r="AN46" s="572"/>
      <c r="AO46" s="572"/>
      <c r="AP46" s="572"/>
      <c r="AQ46" s="572"/>
      <c r="AR46" s="572"/>
      <c r="AS46" s="572"/>
      <c r="AT46" s="572"/>
      <c r="AU46" s="572"/>
      <c r="AV46" s="572"/>
      <c r="AW46" s="572"/>
      <c r="AX46" s="572"/>
      <c r="AY46" s="572"/>
      <c r="AZ46" s="572"/>
      <c r="BA46" s="572"/>
      <c r="BB46" s="572"/>
      <c r="BC46" s="572"/>
      <c r="BD46" s="572"/>
      <c r="BE46" s="572"/>
      <c r="BF46" s="572"/>
      <c r="BG46" s="572"/>
      <c r="BH46" s="572"/>
      <c r="BI46" s="572"/>
      <c r="BJ46" s="572"/>
      <c r="BK46" s="572"/>
      <c r="BL46" s="572"/>
      <c r="BM46" s="572"/>
      <c r="BN46" s="572"/>
      <c r="BO46" s="572"/>
      <c r="BP46" s="572"/>
      <c r="BQ46" s="572"/>
      <c r="BR46" s="572"/>
      <c r="BS46" s="572"/>
      <c r="BT46" s="572"/>
      <c r="BU46" s="572"/>
      <c r="BV46" s="572"/>
      <c r="BW46" s="572"/>
      <c r="BX46" s="572"/>
      <c r="BY46" s="572"/>
      <c r="BZ46" s="572"/>
      <c r="CA46" s="572"/>
      <c r="CB46" s="572"/>
      <c r="CC46" s="572"/>
      <c r="CD46" s="572"/>
      <c r="CE46" s="572"/>
      <c r="CF46" s="572"/>
      <c r="CG46" s="572"/>
      <c r="CH46" s="572"/>
      <c r="CI46" s="572"/>
      <c r="CJ46" s="572"/>
      <c r="CK46" s="572"/>
      <c r="CL46" s="572"/>
      <c r="CM46" s="572"/>
      <c r="CN46" s="572"/>
      <c r="CO46" s="572"/>
      <c r="CP46" s="572"/>
      <c r="CQ46" s="572"/>
      <c r="CR46" s="572"/>
      <c r="CS46" s="572"/>
      <c r="CT46" s="572"/>
      <c r="CU46" s="572"/>
      <c r="CV46" s="572"/>
      <c r="CW46" s="572"/>
      <c r="CX46" s="572"/>
      <c r="CY46" s="572"/>
      <c r="CZ46" s="572"/>
      <c r="DA46" s="572"/>
      <c r="DB46" s="572"/>
      <c r="DC46" s="572"/>
      <c r="DD46" s="572"/>
      <c r="DE46" s="572"/>
      <c r="DF46" s="572"/>
      <c r="DG46" s="572"/>
      <c r="DH46" s="572"/>
      <c r="DI46" s="572"/>
      <c r="DJ46" s="572"/>
      <c r="DK46" s="572"/>
      <c r="DL46" s="572"/>
      <c r="DM46" s="572"/>
      <c r="DN46" s="572"/>
      <c r="DO46" s="572"/>
      <c r="DP46" s="572"/>
      <c r="DQ46" s="572"/>
      <c r="DR46" s="572"/>
      <c r="DS46" s="572"/>
      <c r="DT46" s="572"/>
      <c r="DU46" s="572"/>
      <c r="DV46" s="572"/>
      <c r="DW46" s="572"/>
      <c r="DX46" s="572"/>
      <c r="DY46" s="572"/>
      <c r="DZ46" s="572"/>
      <c r="EA46" s="572"/>
      <c r="EB46" s="572"/>
      <c r="EC46" s="572"/>
      <c r="ED46" s="572"/>
      <c r="EE46" s="572"/>
      <c r="EF46" s="572"/>
      <c r="EG46" s="572"/>
      <c r="EH46" s="572"/>
      <c r="EI46" s="572"/>
      <c r="EJ46" s="572"/>
      <c r="EK46" s="572"/>
      <c r="EL46" s="572"/>
      <c r="EM46" s="572"/>
      <c r="EN46" s="572"/>
      <c r="EO46" s="572"/>
      <c r="EP46" s="572"/>
      <c r="EQ46" s="572"/>
      <c r="ER46" s="572"/>
      <c r="ES46" s="572"/>
      <c r="ET46" s="572"/>
      <c r="EU46" s="572"/>
      <c r="EV46" s="572"/>
      <c r="EW46" s="572"/>
      <c r="EX46" s="572"/>
      <c r="EY46" s="572"/>
      <c r="EZ46" s="572"/>
      <c r="FA46" s="572"/>
      <c r="FB46" s="572"/>
      <c r="FC46" s="572"/>
      <c r="FD46" s="572"/>
      <c r="FE46" s="572"/>
      <c r="FF46" s="572"/>
      <c r="FG46" s="572"/>
      <c r="FH46" s="572"/>
      <c r="FI46" s="572"/>
      <c r="FJ46" s="572"/>
      <c r="FK46" s="572"/>
      <c r="FL46" s="572"/>
      <c r="FM46" s="572"/>
      <c r="FN46" s="572"/>
      <c r="FO46" s="572"/>
      <c r="FP46" s="572"/>
      <c r="FQ46" s="572"/>
      <c r="FR46" s="572"/>
      <c r="FS46" s="572"/>
      <c r="FT46" s="572"/>
      <c r="FU46" s="572"/>
      <c r="FV46" s="572"/>
      <c r="FW46" s="572"/>
      <c r="FX46" s="572"/>
      <c r="FY46" s="572"/>
      <c r="FZ46" s="572"/>
      <c r="GA46" s="572"/>
      <c r="GB46" s="572"/>
      <c r="GC46" s="572"/>
      <c r="GD46" s="572"/>
      <c r="GE46" s="572"/>
      <c r="GF46" s="572"/>
      <c r="GG46" s="572"/>
      <c r="GH46" s="572"/>
      <c r="GI46" s="572"/>
      <c r="GJ46" s="572"/>
      <c r="GK46" s="572"/>
      <c r="GL46" s="572"/>
      <c r="GM46" s="572"/>
      <c r="GN46" s="572"/>
      <c r="GO46" s="572"/>
      <c r="GP46" s="572"/>
      <c r="GQ46" s="572"/>
      <c r="GR46" s="572"/>
      <c r="GS46" s="572"/>
      <c r="GT46" s="572"/>
      <c r="GU46" s="572"/>
      <c r="GV46" s="572"/>
      <c r="GW46" s="572"/>
      <c r="GX46" s="572"/>
      <c r="GY46" s="572"/>
      <c r="GZ46" s="572"/>
      <c r="HA46" s="572"/>
      <c r="HB46" s="572"/>
      <c r="HC46" s="572"/>
      <c r="HD46" s="572"/>
      <c r="HE46" s="572"/>
      <c r="HF46" s="572"/>
      <c r="HG46" s="572"/>
      <c r="HH46" s="572"/>
      <c r="HI46" s="572"/>
      <c r="HJ46" s="572"/>
      <c r="HK46" s="572"/>
      <c r="HL46" s="572"/>
      <c r="HM46" s="572"/>
      <c r="HN46" s="572"/>
      <c r="HO46" s="572"/>
      <c r="HP46" s="572"/>
      <c r="HQ46" s="572"/>
      <c r="HR46" s="572"/>
      <c r="HS46" s="572"/>
      <c r="HT46" s="572"/>
      <c r="HU46" s="572"/>
      <c r="HV46" s="572"/>
      <c r="HW46" s="572"/>
      <c r="HX46" s="572"/>
      <c r="HY46" s="572"/>
      <c r="HZ46" s="572"/>
      <c r="IA46" s="572"/>
      <c r="IB46" s="572"/>
      <c r="IC46" s="572"/>
      <c r="ID46" s="572"/>
      <c r="IE46" s="572"/>
      <c r="IF46" s="572"/>
      <c r="IG46" s="572"/>
      <c r="IH46" s="572"/>
      <c r="II46" s="572"/>
      <c r="IJ46" s="572"/>
      <c r="IK46" s="572"/>
      <c r="IL46" s="572"/>
      <c r="IM46" s="572"/>
      <c r="IN46" s="572"/>
    </row>
    <row r="47" spans="1:248" ht="12.75" customHeight="1" x14ac:dyDescent="0.25">
      <c r="C47" s="661"/>
      <c r="D47" s="572"/>
      <c r="E47" s="572"/>
      <c r="F47" s="572"/>
      <c r="G47" s="572"/>
      <c r="H47" s="572"/>
      <c r="I47" s="572"/>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572"/>
      <c r="AM47" s="572"/>
      <c r="AN47" s="572"/>
      <c r="AO47" s="572"/>
      <c r="AP47" s="572"/>
      <c r="AQ47" s="572"/>
      <c r="AR47" s="572"/>
      <c r="AS47" s="572"/>
      <c r="AT47" s="572"/>
      <c r="AU47" s="572"/>
      <c r="AV47" s="572"/>
      <c r="AW47" s="572"/>
      <c r="AX47" s="572"/>
      <c r="AY47" s="572"/>
      <c r="AZ47" s="572"/>
      <c r="BA47" s="572"/>
      <c r="BB47" s="572"/>
      <c r="BC47" s="572"/>
      <c r="BD47" s="572"/>
      <c r="BE47" s="572"/>
      <c r="BF47" s="572"/>
      <c r="BG47" s="572"/>
      <c r="BH47" s="572"/>
      <c r="BI47" s="572"/>
      <c r="BJ47" s="572"/>
      <c r="BK47" s="572"/>
      <c r="BL47" s="572"/>
      <c r="BM47" s="572"/>
      <c r="BN47" s="572"/>
      <c r="BO47" s="572"/>
      <c r="BP47" s="572"/>
      <c r="BQ47" s="572"/>
      <c r="BR47" s="572"/>
      <c r="BS47" s="572"/>
      <c r="BT47" s="572"/>
      <c r="BU47" s="572"/>
      <c r="BV47" s="572"/>
      <c r="BW47" s="572"/>
      <c r="BX47" s="572"/>
      <c r="BY47" s="572"/>
      <c r="BZ47" s="572"/>
      <c r="CA47" s="572"/>
      <c r="CB47" s="572"/>
      <c r="CC47" s="572"/>
      <c r="CD47" s="572"/>
      <c r="CE47" s="572"/>
      <c r="CF47" s="572"/>
      <c r="CG47" s="572"/>
      <c r="CH47" s="572"/>
      <c r="CI47" s="572"/>
      <c r="CJ47" s="572"/>
      <c r="CK47" s="572"/>
      <c r="CL47" s="572"/>
      <c r="CM47" s="572"/>
      <c r="CN47" s="572"/>
      <c r="CO47" s="572"/>
      <c r="CP47" s="572"/>
      <c r="CQ47" s="572"/>
      <c r="CR47" s="572"/>
      <c r="CS47" s="572"/>
      <c r="CT47" s="572"/>
      <c r="CU47" s="572"/>
      <c r="CV47" s="572"/>
      <c r="CW47" s="572"/>
      <c r="CX47" s="572"/>
      <c r="CY47" s="572"/>
      <c r="CZ47" s="572"/>
      <c r="DA47" s="572"/>
      <c r="DB47" s="572"/>
      <c r="DC47" s="572"/>
      <c r="DD47" s="572"/>
      <c r="DE47" s="572"/>
      <c r="DF47" s="572"/>
      <c r="DG47" s="572"/>
      <c r="DH47" s="572"/>
      <c r="DI47" s="572"/>
      <c r="DJ47" s="572"/>
      <c r="DK47" s="572"/>
      <c r="DL47" s="572"/>
      <c r="DM47" s="572"/>
      <c r="DN47" s="572"/>
      <c r="DO47" s="572"/>
      <c r="DP47" s="572"/>
      <c r="DQ47" s="572"/>
      <c r="DR47" s="572"/>
      <c r="DS47" s="572"/>
      <c r="DT47" s="572"/>
      <c r="DU47" s="572"/>
      <c r="DV47" s="572"/>
      <c r="DW47" s="572"/>
      <c r="DX47" s="572"/>
      <c r="DY47" s="572"/>
      <c r="DZ47" s="572"/>
      <c r="EA47" s="572"/>
      <c r="EB47" s="572"/>
      <c r="EC47" s="572"/>
      <c r="ED47" s="572"/>
      <c r="EE47" s="572"/>
      <c r="EF47" s="572"/>
      <c r="EG47" s="572"/>
      <c r="EH47" s="572"/>
      <c r="EI47" s="572"/>
      <c r="EJ47" s="572"/>
      <c r="EK47" s="572"/>
      <c r="EL47" s="572"/>
      <c r="EM47" s="572"/>
      <c r="EN47" s="572"/>
      <c r="EO47" s="572"/>
      <c r="EP47" s="572"/>
      <c r="EQ47" s="572"/>
      <c r="ER47" s="572"/>
      <c r="ES47" s="572"/>
      <c r="ET47" s="572"/>
      <c r="EU47" s="572"/>
      <c r="EV47" s="572"/>
      <c r="EW47" s="572"/>
      <c r="EX47" s="572"/>
      <c r="EY47" s="572"/>
      <c r="EZ47" s="572"/>
      <c r="FA47" s="572"/>
      <c r="FB47" s="572"/>
      <c r="FC47" s="572"/>
      <c r="FD47" s="572"/>
      <c r="FE47" s="572"/>
      <c r="FF47" s="572"/>
      <c r="FG47" s="572"/>
      <c r="FH47" s="572"/>
      <c r="FI47" s="572"/>
      <c r="FJ47" s="572"/>
      <c r="FK47" s="572"/>
      <c r="FL47" s="572"/>
      <c r="FM47" s="572"/>
      <c r="FN47" s="572"/>
      <c r="FO47" s="572"/>
      <c r="FP47" s="572"/>
      <c r="FQ47" s="572"/>
      <c r="FR47" s="572"/>
      <c r="FS47" s="572"/>
      <c r="FT47" s="572"/>
      <c r="FU47" s="572"/>
      <c r="FV47" s="572"/>
      <c r="FW47" s="572"/>
      <c r="FX47" s="572"/>
      <c r="FY47" s="572"/>
      <c r="FZ47" s="572"/>
      <c r="GA47" s="572"/>
      <c r="GB47" s="572"/>
      <c r="GC47" s="572"/>
      <c r="GD47" s="572"/>
      <c r="GE47" s="572"/>
      <c r="GF47" s="572"/>
      <c r="GG47" s="572"/>
      <c r="GH47" s="572"/>
      <c r="GI47" s="572"/>
      <c r="GJ47" s="572"/>
      <c r="GK47" s="572"/>
      <c r="GL47" s="572"/>
      <c r="GM47" s="572"/>
      <c r="GN47" s="572"/>
      <c r="GO47" s="572"/>
      <c r="GP47" s="572"/>
      <c r="GQ47" s="572"/>
      <c r="GR47" s="572"/>
      <c r="GS47" s="572"/>
      <c r="GT47" s="572"/>
      <c r="GU47" s="572"/>
      <c r="GV47" s="572"/>
      <c r="GW47" s="572"/>
      <c r="GX47" s="572"/>
      <c r="GY47" s="572"/>
      <c r="GZ47" s="572"/>
      <c r="HA47" s="572"/>
      <c r="HB47" s="572"/>
      <c r="HC47" s="572"/>
      <c r="HD47" s="572"/>
      <c r="HE47" s="572"/>
      <c r="HF47" s="572"/>
      <c r="HG47" s="572"/>
      <c r="HH47" s="572"/>
      <c r="HI47" s="572"/>
      <c r="HJ47" s="572"/>
      <c r="HK47" s="572"/>
      <c r="HL47" s="572"/>
      <c r="HM47" s="572"/>
      <c r="HN47" s="572"/>
      <c r="HO47" s="572"/>
      <c r="HP47" s="572"/>
      <c r="HQ47" s="572"/>
      <c r="HR47" s="572"/>
      <c r="HS47" s="572"/>
      <c r="HT47" s="572"/>
      <c r="HU47" s="572"/>
      <c r="HV47" s="572"/>
      <c r="HW47" s="572"/>
      <c r="HX47" s="572"/>
      <c r="HY47" s="572"/>
      <c r="HZ47" s="572"/>
      <c r="IA47" s="572"/>
      <c r="IB47" s="572"/>
      <c r="IC47" s="572"/>
      <c r="ID47" s="572"/>
      <c r="IE47" s="572"/>
      <c r="IF47" s="572"/>
      <c r="IG47" s="572"/>
      <c r="IH47" s="572"/>
      <c r="II47" s="572"/>
      <c r="IJ47" s="572"/>
      <c r="IK47" s="572"/>
      <c r="IL47" s="572"/>
      <c r="IM47" s="572"/>
      <c r="IN47" s="572"/>
    </row>
    <row r="48" spans="1:248" ht="12.75" customHeight="1" x14ac:dyDescent="0.25">
      <c r="B48" s="119" t="s">
        <v>1003</v>
      </c>
      <c r="C48" s="661"/>
      <c r="D48" s="572"/>
      <c r="E48" s="572"/>
      <c r="F48" s="572"/>
      <c r="G48" s="572"/>
      <c r="H48" s="572"/>
      <c r="I48" s="572"/>
      <c r="J48" s="572"/>
      <c r="K48" s="572"/>
      <c r="L48" s="572"/>
      <c r="M48" s="572"/>
      <c r="N48" s="572"/>
      <c r="O48" s="572"/>
      <c r="P48" s="572"/>
      <c r="Q48" s="572"/>
      <c r="R48" s="572"/>
      <c r="S48" s="572"/>
      <c r="T48" s="572"/>
      <c r="U48" s="572"/>
      <c r="V48" s="572"/>
      <c r="W48" s="572"/>
      <c r="X48" s="572"/>
      <c r="Y48" s="572"/>
      <c r="Z48" s="572"/>
      <c r="AA48" s="572"/>
      <c r="AB48" s="572"/>
      <c r="AC48" s="572"/>
      <c r="AD48" s="572"/>
      <c r="AE48" s="572"/>
      <c r="AF48" s="572"/>
      <c r="AG48" s="572"/>
      <c r="AH48" s="572"/>
      <c r="AI48" s="572"/>
      <c r="AJ48" s="572"/>
      <c r="AK48" s="572"/>
      <c r="AL48" s="572"/>
      <c r="AM48" s="572"/>
      <c r="AN48" s="572"/>
      <c r="AO48" s="572"/>
      <c r="AP48" s="572"/>
      <c r="AQ48" s="572"/>
      <c r="AR48" s="572"/>
      <c r="AS48" s="572"/>
      <c r="AT48" s="572"/>
      <c r="AU48" s="572"/>
      <c r="AV48" s="572"/>
      <c r="AW48" s="572"/>
      <c r="AX48" s="572"/>
      <c r="AY48" s="572"/>
      <c r="AZ48" s="572"/>
      <c r="BA48" s="572"/>
      <c r="BB48" s="572"/>
      <c r="BC48" s="572"/>
      <c r="BD48" s="572"/>
      <c r="BE48" s="572"/>
      <c r="BF48" s="572"/>
      <c r="BG48" s="572"/>
      <c r="BH48" s="572"/>
      <c r="BI48" s="572"/>
      <c r="BJ48" s="572"/>
      <c r="BK48" s="572"/>
      <c r="BL48" s="572"/>
      <c r="BM48" s="572"/>
      <c r="BN48" s="572"/>
      <c r="BO48" s="572"/>
      <c r="BP48" s="572"/>
      <c r="BQ48" s="572"/>
      <c r="BR48" s="572"/>
      <c r="BS48" s="572"/>
      <c r="BT48" s="572"/>
      <c r="BU48" s="572"/>
      <c r="BV48" s="572"/>
      <c r="BW48" s="572"/>
      <c r="BX48" s="572"/>
      <c r="BY48" s="572"/>
      <c r="BZ48" s="572"/>
      <c r="CA48" s="572"/>
      <c r="CB48" s="572"/>
      <c r="CC48" s="572"/>
      <c r="CD48" s="572"/>
      <c r="CE48" s="572"/>
      <c r="CF48" s="572"/>
      <c r="CG48" s="572"/>
      <c r="CH48" s="572"/>
      <c r="CI48" s="572"/>
      <c r="CJ48" s="572"/>
      <c r="CK48" s="572"/>
      <c r="CL48" s="572"/>
      <c r="CM48" s="572"/>
      <c r="CN48" s="572"/>
      <c r="CO48" s="572"/>
      <c r="CP48" s="572"/>
      <c r="CQ48" s="572"/>
      <c r="CR48" s="572"/>
      <c r="CS48" s="572"/>
      <c r="CT48" s="572"/>
      <c r="CU48" s="572"/>
      <c r="CV48" s="572"/>
      <c r="CW48" s="572"/>
      <c r="CX48" s="572"/>
      <c r="CY48" s="572"/>
      <c r="CZ48" s="572"/>
      <c r="DA48" s="572"/>
      <c r="DB48" s="572"/>
      <c r="DC48" s="572"/>
      <c r="DD48" s="572"/>
      <c r="DE48" s="572"/>
      <c r="DF48" s="572"/>
      <c r="DG48" s="572"/>
      <c r="DH48" s="572"/>
      <c r="DI48" s="572"/>
      <c r="DJ48" s="572"/>
      <c r="DK48" s="572"/>
      <c r="DL48" s="572"/>
      <c r="DM48" s="572"/>
      <c r="DN48" s="572"/>
      <c r="DO48" s="572"/>
      <c r="DP48" s="572"/>
      <c r="DQ48" s="572"/>
      <c r="DR48" s="572"/>
      <c r="DS48" s="572"/>
      <c r="DT48" s="572"/>
      <c r="DU48" s="572"/>
      <c r="DV48" s="572"/>
      <c r="DW48" s="572"/>
      <c r="DX48" s="572"/>
      <c r="DY48" s="572"/>
      <c r="DZ48" s="572"/>
      <c r="EA48" s="572"/>
      <c r="EB48" s="572"/>
      <c r="EC48" s="572"/>
      <c r="ED48" s="572"/>
      <c r="EE48" s="572"/>
      <c r="EF48" s="572"/>
      <c r="EG48" s="572"/>
      <c r="EH48" s="572"/>
      <c r="EI48" s="572"/>
      <c r="EJ48" s="572"/>
      <c r="EK48" s="572"/>
      <c r="EL48" s="572"/>
      <c r="EM48" s="572"/>
      <c r="EN48" s="572"/>
      <c r="EO48" s="572"/>
      <c r="EP48" s="572"/>
      <c r="EQ48" s="572"/>
      <c r="ER48" s="572"/>
      <c r="ES48" s="572"/>
      <c r="ET48" s="572"/>
      <c r="EU48" s="572"/>
      <c r="EV48" s="572"/>
      <c r="EW48" s="572"/>
      <c r="EX48" s="572"/>
      <c r="EY48" s="572"/>
      <c r="EZ48" s="572"/>
      <c r="FA48" s="572"/>
      <c r="FB48" s="572"/>
      <c r="FC48" s="572"/>
      <c r="FD48" s="572"/>
      <c r="FE48" s="572"/>
      <c r="FF48" s="572"/>
      <c r="FG48" s="572"/>
      <c r="FH48" s="572"/>
      <c r="FI48" s="572"/>
      <c r="FJ48" s="572"/>
      <c r="FK48" s="572"/>
      <c r="FL48" s="572"/>
      <c r="FM48" s="572"/>
      <c r="FN48" s="572"/>
      <c r="FO48" s="572"/>
      <c r="FP48" s="572"/>
      <c r="FQ48" s="572"/>
      <c r="FR48" s="572"/>
      <c r="FS48" s="572"/>
      <c r="FT48" s="572"/>
      <c r="FU48" s="572"/>
      <c r="FV48" s="572"/>
      <c r="FW48" s="572"/>
      <c r="FX48" s="572"/>
      <c r="FY48" s="572"/>
      <c r="FZ48" s="572"/>
      <c r="GA48" s="572"/>
      <c r="GB48" s="572"/>
      <c r="GC48" s="572"/>
      <c r="GD48" s="572"/>
      <c r="GE48" s="572"/>
      <c r="GF48" s="572"/>
      <c r="GG48" s="572"/>
      <c r="GH48" s="572"/>
      <c r="GI48" s="572"/>
      <c r="GJ48" s="572"/>
      <c r="GK48" s="572"/>
      <c r="GL48" s="572"/>
      <c r="GM48" s="572"/>
      <c r="GN48" s="572"/>
      <c r="GO48" s="572"/>
      <c r="GP48" s="572"/>
      <c r="GQ48" s="572"/>
      <c r="GR48" s="572"/>
      <c r="GS48" s="572"/>
      <c r="GT48" s="572"/>
      <c r="GU48" s="572"/>
      <c r="GV48" s="572"/>
      <c r="GW48" s="572"/>
      <c r="GX48" s="572"/>
      <c r="GY48" s="572"/>
      <c r="GZ48" s="572"/>
      <c r="HA48" s="572"/>
      <c r="HB48" s="572"/>
      <c r="HC48" s="572"/>
      <c r="HD48" s="572"/>
      <c r="HE48" s="572"/>
      <c r="HF48" s="572"/>
      <c r="HG48" s="572"/>
      <c r="HH48" s="572"/>
      <c r="HI48" s="572"/>
      <c r="HJ48" s="572"/>
      <c r="HK48" s="572"/>
      <c r="HL48" s="572"/>
      <c r="HM48" s="572"/>
      <c r="HN48" s="572"/>
      <c r="HO48" s="572"/>
      <c r="HP48" s="572"/>
      <c r="HQ48" s="572"/>
      <c r="HR48" s="572"/>
      <c r="HS48" s="572"/>
      <c r="HT48" s="572"/>
      <c r="HU48" s="572"/>
      <c r="HV48" s="572"/>
      <c r="HW48" s="572"/>
      <c r="HX48" s="572"/>
      <c r="HY48" s="572"/>
      <c r="HZ48" s="572"/>
      <c r="IA48" s="572"/>
      <c r="IB48" s="572"/>
      <c r="IC48" s="572"/>
      <c r="ID48" s="572"/>
      <c r="IE48" s="572"/>
      <c r="IF48" s="572"/>
      <c r="IG48" s="572"/>
      <c r="IH48" s="572"/>
      <c r="II48" s="572"/>
      <c r="IJ48" s="572"/>
      <c r="IK48" s="572"/>
      <c r="IL48" s="572"/>
      <c r="IM48" s="572"/>
      <c r="IN48" s="572"/>
    </row>
    <row r="49" spans="3:248" ht="12.75" customHeight="1" x14ac:dyDescent="0.25">
      <c r="C49" s="661"/>
      <c r="D49" s="572"/>
      <c r="E49" s="572"/>
      <c r="F49" s="572"/>
      <c r="G49" s="572"/>
      <c r="H49" s="572"/>
      <c r="I49" s="572"/>
      <c r="J49" s="572"/>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572"/>
      <c r="AY49" s="572"/>
      <c r="AZ49" s="572"/>
      <c r="BA49" s="572"/>
      <c r="BB49" s="572"/>
      <c r="BC49" s="572"/>
      <c r="BD49" s="572"/>
      <c r="BE49" s="572"/>
      <c r="BF49" s="572"/>
      <c r="BG49" s="572"/>
      <c r="BH49" s="572"/>
      <c r="BI49" s="572"/>
      <c r="BJ49" s="572"/>
      <c r="BK49" s="572"/>
      <c r="BL49" s="572"/>
      <c r="BM49" s="572"/>
      <c r="BN49" s="572"/>
      <c r="BO49" s="572"/>
      <c r="BP49" s="572"/>
      <c r="BQ49" s="572"/>
      <c r="BR49" s="572"/>
      <c r="BS49" s="572"/>
      <c r="BT49" s="572"/>
      <c r="BU49" s="572"/>
      <c r="BV49" s="572"/>
      <c r="BW49" s="572"/>
      <c r="BX49" s="572"/>
      <c r="BY49" s="572"/>
      <c r="BZ49" s="572"/>
      <c r="CA49" s="572"/>
      <c r="CB49" s="572"/>
      <c r="CC49" s="572"/>
      <c r="CD49" s="572"/>
      <c r="CE49" s="572"/>
      <c r="CF49" s="572"/>
      <c r="CG49" s="572"/>
      <c r="CH49" s="572"/>
      <c r="CI49" s="572"/>
      <c r="CJ49" s="572"/>
      <c r="CK49" s="572"/>
      <c r="CL49" s="572"/>
      <c r="CM49" s="572"/>
      <c r="CN49" s="572"/>
      <c r="CO49" s="572"/>
      <c r="CP49" s="572"/>
      <c r="CQ49" s="572"/>
      <c r="CR49" s="572"/>
      <c r="CS49" s="572"/>
      <c r="CT49" s="572"/>
      <c r="CU49" s="572"/>
      <c r="CV49" s="572"/>
      <c r="CW49" s="572"/>
      <c r="CX49" s="572"/>
      <c r="CY49" s="572"/>
      <c r="CZ49" s="572"/>
      <c r="DA49" s="572"/>
      <c r="DB49" s="572"/>
      <c r="DC49" s="572"/>
      <c r="DD49" s="572"/>
      <c r="DE49" s="572"/>
      <c r="DF49" s="572"/>
      <c r="DG49" s="572"/>
      <c r="DH49" s="572"/>
      <c r="DI49" s="572"/>
      <c r="DJ49" s="572"/>
      <c r="DK49" s="572"/>
      <c r="DL49" s="572"/>
      <c r="DM49" s="572"/>
      <c r="DN49" s="572"/>
      <c r="DO49" s="572"/>
      <c r="DP49" s="572"/>
      <c r="DQ49" s="572"/>
      <c r="DR49" s="572"/>
      <c r="DS49" s="572"/>
      <c r="DT49" s="572"/>
      <c r="DU49" s="572"/>
      <c r="DV49" s="572"/>
      <c r="DW49" s="572"/>
      <c r="DX49" s="572"/>
      <c r="DY49" s="572"/>
      <c r="DZ49" s="572"/>
      <c r="EA49" s="572"/>
      <c r="EB49" s="572"/>
      <c r="EC49" s="572"/>
      <c r="ED49" s="572"/>
      <c r="EE49" s="572"/>
      <c r="EF49" s="572"/>
      <c r="EG49" s="572"/>
      <c r="EH49" s="572"/>
      <c r="EI49" s="572"/>
      <c r="EJ49" s="572"/>
      <c r="EK49" s="572"/>
      <c r="EL49" s="572"/>
      <c r="EM49" s="572"/>
      <c r="EN49" s="572"/>
      <c r="EO49" s="572"/>
      <c r="EP49" s="572"/>
      <c r="EQ49" s="572"/>
      <c r="ER49" s="572"/>
      <c r="ES49" s="572"/>
      <c r="ET49" s="572"/>
      <c r="EU49" s="572"/>
      <c r="EV49" s="572"/>
      <c r="EW49" s="572"/>
      <c r="EX49" s="572"/>
      <c r="EY49" s="572"/>
      <c r="EZ49" s="572"/>
      <c r="FA49" s="572"/>
      <c r="FB49" s="572"/>
      <c r="FC49" s="572"/>
      <c r="FD49" s="572"/>
      <c r="FE49" s="572"/>
      <c r="FF49" s="572"/>
      <c r="FG49" s="572"/>
      <c r="FH49" s="572"/>
      <c r="FI49" s="572"/>
      <c r="FJ49" s="572"/>
      <c r="FK49" s="572"/>
      <c r="FL49" s="572"/>
      <c r="FM49" s="572"/>
      <c r="FN49" s="572"/>
      <c r="FO49" s="572"/>
      <c r="FP49" s="572"/>
      <c r="FQ49" s="572"/>
      <c r="FR49" s="572"/>
      <c r="FS49" s="572"/>
      <c r="FT49" s="572"/>
      <c r="FU49" s="572"/>
      <c r="FV49" s="572"/>
      <c r="FW49" s="572"/>
      <c r="FX49" s="572"/>
      <c r="FY49" s="572"/>
      <c r="FZ49" s="572"/>
      <c r="GA49" s="572"/>
      <c r="GB49" s="572"/>
      <c r="GC49" s="572"/>
      <c r="GD49" s="572"/>
      <c r="GE49" s="572"/>
      <c r="GF49" s="572"/>
      <c r="GG49" s="572"/>
      <c r="GH49" s="572"/>
      <c r="GI49" s="572"/>
      <c r="GJ49" s="572"/>
      <c r="GK49" s="572"/>
      <c r="GL49" s="572"/>
      <c r="GM49" s="572"/>
      <c r="GN49" s="572"/>
      <c r="GO49" s="572"/>
      <c r="GP49" s="572"/>
      <c r="GQ49" s="572"/>
      <c r="GR49" s="572"/>
      <c r="GS49" s="572"/>
      <c r="GT49" s="572"/>
      <c r="GU49" s="572"/>
      <c r="GV49" s="572"/>
      <c r="GW49" s="572"/>
      <c r="GX49" s="572"/>
      <c r="GY49" s="572"/>
      <c r="GZ49" s="572"/>
      <c r="HA49" s="572"/>
      <c r="HB49" s="572"/>
      <c r="HC49" s="572"/>
      <c r="HD49" s="572"/>
      <c r="HE49" s="572"/>
      <c r="HF49" s="572"/>
      <c r="HG49" s="572"/>
      <c r="HH49" s="572"/>
      <c r="HI49" s="572"/>
      <c r="HJ49" s="572"/>
      <c r="HK49" s="572"/>
      <c r="HL49" s="572"/>
      <c r="HM49" s="572"/>
      <c r="HN49" s="572"/>
      <c r="HO49" s="572"/>
      <c r="HP49" s="572"/>
      <c r="HQ49" s="572"/>
      <c r="HR49" s="572"/>
      <c r="HS49" s="572"/>
      <c r="HT49" s="572"/>
      <c r="HU49" s="572"/>
      <c r="HV49" s="572"/>
      <c r="HW49" s="572"/>
      <c r="HX49" s="572"/>
      <c r="HY49" s="572"/>
      <c r="HZ49" s="572"/>
      <c r="IA49" s="572"/>
      <c r="IB49" s="572"/>
      <c r="IC49" s="572"/>
      <c r="ID49" s="572"/>
      <c r="IE49" s="572"/>
      <c r="IF49" s="572"/>
      <c r="IG49" s="572"/>
      <c r="IH49" s="572"/>
      <c r="II49" s="572"/>
      <c r="IJ49" s="572"/>
      <c r="IK49" s="572"/>
      <c r="IL49" s="572"/>
      <c r="IM49" s="572"/>
      <c r="IN49" s="572"/>
    </row>
    <row r="50" spans="3:248" ht="12.75" customHeight="1" x14ac:dyDescent="0.25">
      <c r="C50" s="661"/>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572"/>
      <c r="AM50" s="572"/>
      <c r="AN50" s="572"/>
      <c r="AO50" s="572"/>
      <c r="AP50" s="572"/>
      <c r="AQ50" s="572"/>
      <c r="AR50" s="572"/>
      <c r="AS50" s="572"/>
      <c r="AT50" s="572"/>
      <c r="AU50" s="572"/>
      <c r="AV50" s="572"/>
      <c r="AW50" s="572"/>
      <c r="AX50" s="572"/>
      <c r="AY50" s="572"/>
      <c r="AZ50" s="572"/>
      <c r="BA50" s="572"/>
      <c r="BB50" s="572"/>
      <c r="BC50" s="572"/>
      <c r="BD50" s="572"/>
      <c r="BE50" s="572"/>
      <c r="BF50" s="572"/>
      <c r="BG50" s="572"/>
      <c r="BH50" s="572"/>
      <c r="BI50" s="572"/>
      <c r="BJ50" s="572"/>
      <c r="BK50" s="572"/>
      <c r="BL50" s="572"/>
      <c r="BM50" s="572"/>
      <c r="BN50" s="572"/>
      <c r="BO50" s="572"/>
      <c r="BP50" s="572"/>
      <c r="BQ50" s="572"/>
      <c r="BR50" s="572"/>
      <c r="BS50" s="572"/>
      <c r="BT50" s="572"/>
      <c r="BU50" s="572"/>
      <c r="BV50" s="572"/>
      <c r="BW50" s="572"/>
      <c r="BX50" s="572"/>
      <c r="BY50" s="572"/>
      <c r="BZ50" s="572"/>
      <c r="CA50" s="572"/>
      <c r="CB50" s="572"/>
      <c r="CC50" s="572"/>
      <c r="CD50" s="572"/>
      <c r="CE50" s="572"/>
      <c r="CF50" s="572"/>
      <c r="CG50" s="572"/>
      <c r="CH50" s="572"/>
      <c r="CI50" s="572"/>
      <c r="CJ50" s="572"/>
      <c r="CK50" s="572"/>
      <c r="CL50" s="572"/>
      <c r="CM50" s="572"/>
      <c r="CN50" s="572"/>
      <c r="CO50" s="572"/>
      <c r="CP50" s="572"/>
      <c r="CQ50" s="572"/>
      <c r="CR50" s="572"/>
      <c r="CS50" s="572"/>
      <c r="CT50" s="572"/>
      <c r="CU50" s="572"/>
      <c r="CV50" s="572"/>
      <c r="CW50" s="572"/>
      <c r="CX50" s="572"/>
      <c r="CY50" s="572"/>
      <c r="CZ50" s="572"/>
      <c r="DA50" s="572"/>
      <c r="DB50" s="572"/>
      <c r="DC50" s="572"/>
      <c r="DD50" s="572"/>
      <c r="DE50" s="572"/>
      <c r="DF50" s="572"/>
      <c r="DG50" s="572"/>
      <c r="DH50" s="572"/>
      <c r="DI50" s="572"/>
      <c r="DJ50" s="572"/>
      <c r="DK50" s="572"/>
      <c r="DL50" s="572"/>
      <c r="DM50" s="572"/>
      <c r="DN50" s="572"/>
      <c r="DO50" s="572"/>
      <c r="DP50" s="572"/>
      <c r="DQ50" s="572"/>
      <c r="DR50" s="572"/>
      <c r="DS50" s="572"/>
      <c r="DT50" s="572"/>
      <c r="DU50" s="572"/>
      <c r="DV50" s="572"/>
      <c r="DW50" s="572"/>
      <c r="DX50" s="572"/>
      <c r="DY50" s="572"/>
      <c r="DZ50" s="572"/>
      <c r="EA50" s="572"/>
      <c r="EB50" s="572"/>
      <c r="EC50" s="572"/>
      <c r="ED50" s="572"/>
      <c r="EE50" s="572"/>
      <c r="EF50" s="572"/>
      <c r="EG50" s="572"/>
      <c r="EH50" s="572"/>
      <c r="EI50" s="572"/>
      <c r="EJ50" s="572"/>
      <c r="EK50" s="572"/>
      <c r="EL50" s="572"/>
      <c r="EM50" s="572"/>
      <c r="EN50" s="572"/>
      <c r="EO50" s="572"/>
      <c r="EP50" s="572"/>
      <c r="EQ50" s="572"/>
      <c r="ER50" s="572"/>
      <c r="ES50" s="572"/>
      <c r="ET50" s="572"/>
      <c r="EU50" s="572"/>
      <c r="EV50" s="572"/>
      <c r="EW50" s="572"/>
      <c r="EX50" s="572"/>
      <c r="EY50" s="572"/>
      <c r="EZ50" s="572"/>
      <c r="FA50" s="572"/>
      <c r="FB50" s="572"/>
      <c r="FC50" s="572"/>
      <c r="FD50" s="572"/>
      <c r="FE50" s="572"/>
      <c r="FF50" s="572"/>
      <c r="FG50" s="572"/>
      <c r="FH50" s="572"/>
      <c r="FI50" s="572"/>
      <c r="FJ50" s="572"/>
      <c r="FK50" s="572"/>
      <c r="FL50" s="572"/>
      <c r="FM50" s="572"/>
      <c r="FN50" s="572"/>
      <c r="FO50" s="572"/>
      <c r="FP50" s="572"/>
      <c r="FQ50" s="572"/>
      <c r="FR50" s="572"/>
      <c r="FS50" s="572"/>
      <c r="FT50" s="572"/>
      <c r="FU50" s="572"/>
      <c r="FV50" s="572"/>
      <c r="FW50" s="572"/>
      <c r="FX50" s="572"/>
      <c r="FY50" s="572"/>
      <c r="FZ50" s="572"/>
      <c r="GA50" s="572"/>
      <c r="GB50" s="572"/>
      <c r="GC50" s="572"/>
      <c r="GD50" s="572"/>
      <c r="GE50" s="572"/>
      <c r="GF50" s="572"/>
      <c r="GG50" s="572"/>
      <c r="GH50" s="572"/>
      <c r="GI50" s="572"/>
      <c r="GJ50" s="572"/>
      <c r="GK50" s="572"/>
      <c r="GL50" s="572"/>
      <c r="GM50" s="572"/>
      <c r="GN50" s="572"/>
      <c r="GO50" s="572"/>
      <c r="GP50" s="572"/>
      <c r="GQ50" s="572"/>
      <c r="GR50" s="572"/>
      <c r="GS50" s="572"/>
      <c r="GT50" s="572"/>
      <c r="GU50" s="572"/>
      <c r="GV50" s="572"/>
      <c r="GW50" s="572"/>
      <c r="GX50" s="572"/>
      <c r="GY50" s="572"/>
      <c r="GZ50" s="572"/>
      <c r="HA50" s="572"/>
      <c r="HB50" s="572"/>
      <c r="HC50" s="572"/>
      <c r="HD50" s="572"/>
      <c r="HE50" s="572"/>
      <c r="HF50" s="572"/>
      <c r="HG50" s="572"/>
      <c r="HH50" s="572"/>
      <c r="HI50" s="572"/>
      <c r="HJ50" s="572"/>
      <c r="HK50" s="572"/>
      <c r="HL50" s="572"/>
      <c r="HM50" s="572"/>
      <c r="HN50" s="572"/>
      <c r="HO50" s="572"/>
      <c r="HP50" s="572"/>
      <c r="HQ50" s="572"/>
      <c r="HR50" s="572"/>
      <c r="HS50" s="572"/>
      <c r="HT50" s="572"/>
      <c r="HU50" s="572"/>
      <c r="HV50" s="572"/>
      <c r="HW50" s="572"/>
      <c r="HX50" s="572"/>
      <c r="HY50" s="572"/>
      <c r="HZ50" s="572"/>
      <c r="IA50" s="572"/>
      <c r="IB50" s="572"/>
      <c r="IC50" s="572"/>
      <c r="ID50" s="572"/>
      <c r="IE50" s="572"/>
      <c r="IF50" s="572"/>
      <c r="IG50" s="572"/>
      <c r="IH50" s="572"/>
      <c r="II50" s="572"/>
      <c r="IJ50" s="572"/>
      <c r="IK50" s="572"/>
      <c r="IL50" s="572"/>
      <c r="IM50" s="572"/>
      <c r="IN50" s="572"/>
    </row>
    <row r="51" spans="3:248" ht="12.75" customHeight="1" x14ac:dyDescent="0.25">
      <c r="C51" s="661"/>
      <c r="D51" s="572"/>
      <c r="E51" s="572"/>
      <c r="F51" s="572"/>
      <c r="G51" s="572"/>
      <c r="H51" s="572"/>
      <c r="I51" s="572"/>
      <c r="J51" s="572"/>
      <c r="K51" s="572"/>
      <c r="L51" s="572"/>
      <c r="M51" s="572"/>
      <c r="N51" s="572"/>
      <c r="O51" s="572"/>
      <c r="P51" s="572"/>
      <c r="Q51" s="572"/>
      <c r="R51" s="572"/>
      <c r="S51" s="572"/>
      <c r="T51" s="572"/>
      <c r="U51" s="572"/>
      <c r="V51" s="572"/>
      <c r="W51" s="572"/>
      <c r="X51" s="572"/>
      <c r="Y51" s="572"/>
      <c r="Z51" s="572"/>
      <c r="AA51" s="572"/>
      <c r="AB51" s="572"/>
      <c r="AC51" s="572"/>
      <c r="AD51" s="572"/>
      <c r="AE51" s="572"/>
      <c r="AF51" s="572"/>
      <c r="AG51" s="572"/>
      <c r="AH51" s="572"/>
      <c r="AI51" s="572"/>
      <c r="AJ51" s="572"/>
      <c r="AK51" s="572"/>
      <c r="AL51" s="572"/>
      <c r="AM51" s="572"/>
      <c r="AN51" s="572"/>
      <c r="AO51" s="572"/>
      <c r="AP51" s="572"/>
      <c r="AQ51" s="572"/>
      <c r="AR51" s="572"/>
      <c r="AS51" s="572"/>
      <c r="AT51" s="572"/>
      <c r="AU51" s="572"/>
      <c r="AV51" s="572"/>
      <c r="AW51" s="572"/>
      <c r="AX51" s="572"/>
      <c r="AY51" s="572"/>
      <c r="AZ51" s="572"/>
      <c r="BA51" s="572"/>
      <c r="BB51" s="572"/>
      <c r="BC51" s="572"/>
      <c r="BD51" s="572"/>
      <c r="BE51" s="572"/>
      <c r="BF51" s="572"/>
      <c r="BG51" s="572"/>
      <c r="BH51" s="572"/>
      <c r="BI51" s="572"/>
      <c r="BJ51" s="572"/>
      <c r="BK51" s="572"/>
      <c r="BL51" s="572"/>
      <c r="BM51" s="572"/>
      <c r="BN51" s="572"/>
      <c r="BO51" s="572"/>
      <c r="BP51" s="572"/>
      <c r="BQ51" s="572"/>
      <c r="BR51" s="572"/>
      <c r="BS51" s="572"/>
      <c r="BT51" s="572"/>
      <c r="BU51" s="572"/>
      <c r="BV51" s="572"/>
      <c r="BW51" s="572"/>
      <c r="BX51" s="572"/>
      <c r="BY51" s="572"/>
      <c r="BZ51" s="572"/>
      <c r="CA51" s="572"/>
      <c r="CB51" s="572"/>
      <c r="CC51" s="572"/>
      <c r="CD51" s="572"/>
      <c r="CE51" s="572"/>
      <c r="CF51" s="572"/>
      <c r="CG51" s="572"/>
      <c r="CH51" s="572"/>
      <c r="CI51" s="572"/>
      <c r="CJ51" s="572"/>
      <c r="CK51" s="572"/>
      <c r="CL51" s="572"/>
      <c r="CM51" s="572"/>
      <c r="CN51" s="572"/>
      <c r="CO51" s="572"/>
      <c r="CP51" s="572"/>
      <c r="CQ51" s="572"/>
      <c r="CR51" s="572"/>
      <c r="CS51" s="572"/>
      <c r="CT51" s="572"/>
      <c r="CU51" s="572"/>
      <c r="CV51" s="572"/>
      <c r="CW51" s="572"/>
      <c r="CX51" s="572"/>
      <c r="CY51" s="572"/>
      <c r="CZ51" s="572"/>
      <c r="DA51" s="572"/>
      <c r="DB51" s="572"/>
      <c r="DC51" s="572"/>
      <c r="DD51" s="572"/>
      <c r="DE51" s="572"/>
      <c r="DF51" s="572"/>
      <c r="DG51" s="572"/>
      <c r="DH51" s="572"/>
      <c r="DI51" s="572"/>
      <c r="DJ51" s="572"/>
      <c r="DK51" s="572"/>
      <c r="DL51" s="572"/>
      <c r="DM51" s="572"/>
      <c r="DN51" s="572"/>
      <c r="DO51" s="572"/>
      <c r="DP51" s="572"/>
      <c r="DQ51" s="572"/>
      <c r="DR51" s="572"/>
      <c r="DS51" s="572"/>
      <c r="DT51" s="572"/>
      <c r="DU51" s="572"/>
      <c r="DV51" s="572"/>
      <c r="DW51" s="572"/>
      <c r="DX51" s="572"/>
      <c r="DY51" s="572"/>
      <c r="DZ51" s="572"/>
      <c r="EA51" s="572"/>
      <c r="EB51" s="572"/>
      <c r="EC51" s="572"/>
      <c r="ED51" s="572"/>
      <c r="EE51" s="572"/>
      <c r="EF51" s="572"/>
      <c r="EG51" s="572"/>
      <c r="EH51" s="572"/>
      <c r="EI51" s="572"/>
      <c r="EJ51" s="572"/>
      <c r="EK51" s="572"/>
      <c r="EL51" s="572"/>
      <c r="EM51" s="572"/>
      <c r="EN51" s="572"/>
      <c r="EO51" s="572"/>
      <c r="EP51" s="572"/>
      <c r="EQ51" s="572"/>
      <c r="ER51" s="572"/>
      <c r="ES51" s="572"/>
      <c r="ET51" s="572"/>
      <c r="EU51" s="572"/>
      <c r="EV51" s="572"/>
      <c r="EW51" s="572"/>
      <c r="EX51" s="572"/>
      <c r="EY51" s="572"/>
      <c r="EZ51" s="572"/>
      <c r="FA51" s="572"/>
      <c r="FB51" s="572"/>
      <c r="FC51" s="572"/>
      <c r="FD51" s="572"/>
      <c r="FE51" s="572"/>
      <c r="FF51" s="572"/>
      <c r="FG51" s="572"/>
      <c r="FH51" s="572"/>
      <c r="FI51" s="572"/>
      <c r="FJ51" s="572"/>
      <c r="FK51" s="572"/>
      <c r="FL51" s="572"/>
      <c r="FM51" s="572"/>
      <c r="FN51" s="572"/>
      <c r="FO51" s="572"/>
      <c r="FP51" s="572"/>
      <c r="FQ51" s="572"/>
      <c r="FR51" s="572"/>
      <c r="FS51" s="572"/>
      <c r="FT51" s="572"/>
      <c r="FU51" s="572"/>
      <c r="FV51" s="572"/>
      <c r="FW51" s="572"/>
      <c r="FX51" s="572"/>
      <c r="FY51" s="572"/>
      <c r="FZ51" s="572"/>
      <c r="GA51" s="572"/>
      <c r="GB51" s="572"/>
      <c r="GC51" s="572"/>
      <c r="GD51" s="572"/>
      <c r="GE51" s="572"/>
      <c r="GF51" s="572"/>
      <c r="GG51" s="572"/>
      <c r="GH51" s="572"/>
      <c r="GI51" s="572"/>
      <c r="GJ51" s="572"/>
      <c r="GK51" s="572"/>
      <c r="GL51" s="572"/>
      <c r="GM51" s="572"/>
      <c r="GN51" s="572"/>
      <c r="GO51" s="572"/>
      <c r="GP51" s="572"/>
      <c r="GQ51" s="572"/>
      <c r="GR51" s="572"/>
      <c r="GS51" s="572"/>
      <c r="GT51" s="572"/>
      <c r="GU51" s="572"/>
      <c r="GV51" s="572"/>
      <c r="GW51" s="572"/>
      <c r="GX51" s="572"/>
      <c r="GY51" s="572"/>
      <c r="GZ51" s="572"/>
      <c r="HA51" s="572"/>
      <c r="HB51" s="572"/>
      <c r="HC51" s="572"/>
      <c r="HD51" s="572"/>
      <c r="HE51" s="572"/>
      <c r="HF51" s="572"/>
      <c r="HG51" s="572"/>
      <c r="HH51" s="572"/>
      <c r="HI51" s="572"/>
      <c r="HJ51" s="572"/>
      <c r="HK51" s="572"/>
      <c r="HL51" s="572"/>
      <c r="HM51" s="572"/>
      <c r="HN51" s="572"/>
      <c r="HO51" s="572"/>
      <c r="HP51" s="572"/>
      <c r="HQ51" s="572"/>
      <c r="HR51" s="572"/>
      <c r="HS51" s="572"/>
      <c r="HT51" s="572"/>
      <c r="HU51" s="572"/>
      <c r="HV51" s="572"/>
      <c r="HW51" s="572"/>
      <c r="HX51" s="572"/>
      <c r="HY51" s="572"/>
      <c r="HZ51" s="572"/>
      <c r="IA51" s="572"/>
      <c r="IB51" s="572"/>
      <c r="IC51" s="572"/>
      <c r="ID51" s="572"/>
      <c r="IE51" s="572"/>
      <c r="IF51" s="572"/>
      <c r="IG51" s="572"/>
      <c r="IH51" s="572"/>
      <c r="II51" s="572"/>
      <c r="IJ51" s="572"/>
      <c r="IK51" s="572"/>
      <c r="IL51" s="572"/>
      <c r="IM51" s="572"/>
      <c r="IN51" s="572"/>
    </row>
    <row r="52" spans="3:248" ht="12.75" customHeight="1" x14ac:dyDescent="0.25">
      <c r="C52" s="661"/>
      <c r="D52" s="572"/>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572"/>
      <c r="AH52" s="572"/>
      <c r="AI52" s="572"/>
      <c r="AJ52" s="572"/>
      <c r="AK52" s="572"/>
      <c r="AL52" s="572"/>
      <c r="AM52" s="572"/>
      <c r="AN52" s="572"/>
      <c r="AO52" s="572"/>
      <c r="AP52" s="572"/>
      <c r="AQ52" s="572"/>
      <c r="AR52" s="572"/>
      <c r="AS52" s="572"/>
      <c r="AT52" s="572"/>
      <c r="AU52" s="572"/>
      <c r="AV52" s="572"/>
      <c r="AW52" s="572"/>
      <c r="AX52" s="572"/>
      <c r="AY52" s="572"/>
      <c r="AZ52" s="572"/>
      <c r="BA52" s="572"/>
      <c r="BB52" s="572"/>
      <c r="BC52" s="572"/>
      <c r="BD52" s="572"/>
      <c r="BE52" s="572"/>
      <c r="BF52" s="572"/>
      <c r="BG52" s="572"/>
      <c r="BH52" s="572"/>
      <c r="BI52" s="572"/>
      <c r="BJ52" s="572"/>
      <c r="BK52" s="572"/>
      <c r="BL52" s="572"/>
      <c r="BM52" s="572"/>
      <c r="BN52" s="572"/>
      <c r="BO52" s="572"/>
      <c r="BP52" s="572"/>
      <c r="BQ52" s="572"/>
      <c r="BR52" s="572"/>
      <c r="BS52" s="572"/>
      <c r="BT52" s="572"/>
      <c r="BU52" s="572"/>
      <c r="BV52" s="572"/>
      <c r="BW52" s="572"/>
      <c r="BX52" s="572"/>
      <c r="BY52" s="572"/>
      <c r="BZ52" s="572"/>
      <c r="CA52" s="572"/>
      <c r="CB52" s="572"/>
      <c r="CC52" s="572"/>
      <c r="CD52" s="572"/>
      <c r="CE52" s="572"/>
      <c r="CF52" s="572"/>
      <c r="CG52" s="572"/>
      <c r="CH52" s="572"/>
      <c r="CI52" s="572"/>
      <c r="CJ52" s="572"/>
      <c r="CK52" s="572"/>
      <c r="CL52" s="572"/>
      <c r="CM52" s="572"/>
      <c r="CN52" s="572"/>
      <c r="CO52" s="572"/>
      <c r="CP52" s="572"/>
      <c r="CQ52" s="572"/>
      <c r="CR52" s="572"/>
      <c r="CS52" s="572"/>
      <c r="CT52" s="572"/>
      <c r="CU52" s="572"/>
      <c r="CV52" s="572"/>
      <c r="CW52" s="572"/>
      <c r="CX52" s="572"/>
      <c r="CY52" s="572"/>
      <c r="CZ52" s="572"/>
      <c r="DA52" s="572"/>
      <c r="DB52" s="572"/>
      <c r="DC52" s="572"/>
      <c r="DD52" s="572"/>
      <c r="DE52" s="572"/>
      <c r="DF52" s="572"/>
      <c r="DG52" s="572"/>
      <c r="DH52" s="572"/>
      <c r="DI52" s="572"/>
      <c r="DJ52" s="572"/>
      <c r="DK52" s="572"/>
      <c r="DL52" s="572"/>
      <c r="DM52" s="572"/>
      <c r="DN52" s="572"/>
      <c r="DO52" s="572"/>
      <c r="DP52" s="572"/>
      <c r="DQ52" s="572"/>
      <c r="DR52" s="572"/>
      <c r="DS52" s="572"/>
      <c r="DT52" s="572"/>
      <c r="DU52" s="572"/>
      <c r="DV52" s="572"/>
      <c r="DW52" s="572"/>
      <c r="DX52" s="572"/>
      <c r="DY52" s="572"/>
      <c r="DZ52" s="572"/>
      <c r="EA52" s="572"/>
      <c r="EB52" s="572"/>
      <c r="EC52" s="572"/>
      <c r="ED52" s="572"/>
      <c r="EE52" s="572"/>
      <c r="EF52" s="572"/>
      <c r="EG52" s="572"/>
      <c r="EH52" s="572"/>
      <c r="EI52" s="572"/>
      <c r="EJ52" s="572"/>
      <c r="EK52" s="572"/>
      <c r="EL52" s="572"/>
      <c r="EM52" s="572"/>
      <c r="EN52" s="572"/>
      <c r="EO52" s="572"/>
      <c r="EP52" s="572"/>
      <c r="EQ52" s="572"/>
      <c r="ER52" s="572"/>
      <c r="ES52" s="572"/>
      <c r="ET52" s="572"/>
      <c r="EU52" s="572"/>
      <c r="EV52" s="572"/>
      <c r="EW52" s="572"/>
      <c r="EX52" s="572"/>
      <c r="EY52" s="572"/>
      <c r="EZ52" s="572"/>
      <c r="FA52" s="572"/>
      <c r="FB52" s="572"/>
      <c r="FC52" s="572"/>
      <c r="FD52" s="572"/>
      <c r="FE52" s="572"/>
      <c r="FF52" s="572"/>
      <c r="FG52" s="572"/>
      <c r="FH52" s="572"/>
      <c r="FI52" s="572"/>
      <c r="FJ52" s="572"/>
      <c r="FK52" s="572"/>
      <c r="FL52" s="572"/>
      <c r="FM52" s="572"/>
      <c r="FN52" s="572"/>
      <c r="FO52" s="572"/>
      <c r="FP52" s="572"/>
      <c r="FQ52" s="572"/>
      <c r="FR52" s="572"/>
      <c r="FS52" s="572"/>
      <c r="FT52" s="572"/>
      <c r="FU52" s="572"/>
      <c r="FV52" s="572"/>
      <c r="FW52" s="572"/>
      <c r="FX52" s="572"/>
      <c r="FY52" s="572"/>
      <c r="FZ52" s="572"/>
      <c r="GA52" s="572"/>
      <c r="GB52" s="572"/>
      <c r="GC52" s="572"/>
      <c r="GD52" s="572"/>
      <c r="GE52" s="572"/>
      <c r="GF52" s="572"/>
      <c r="GG52" s="572"/>
      <c r="GH52" s="572"/>
      <c r="GI52" s="572"/>
      <c r="GJ52" s="572"/>
      <c r="GK52" s="572"/>
      <c r="GL52" s="572"/>
      <c r="GM52" s="572"/>
      <c r="GN52" s="572"/>
      <c r="GO52" s="572"/>
      <c r="GP52" s="572"/>
      <c r="GQ52" s="572"/>
      <c r="GR52" s="572"/>
      <c r="GS52" s="572"/>
      <c r="GT52" s="572"/>
      <c r="GU52" s="572"/>
      <c r="GV52" s="572"/>
      <c r="GW52" s="572"/>
      <c r="GX52" s="572"/>
      <c r="GY52" s="572"/>
      <c r="GZ52" s="572"/>
      <c r="HA52" s="572"/>
      <c r="HB52" s="572"/>
      <c r="HC52" s="572"/>
      <c r="HD52" s="572"/>
      <c r="HE52" s="572"/>
      <c r="HF52" s="572"/>
      <c r="HG52" s="572"/>
      <c r="HH52" s="572"/>
      <c r="HI52" s="572"/>
      <c r="HJ52" s="572"/>
      <c r="HK52" s="572"/>
      <c r="HL52" s="572"/>
      <c r="HM52" s="572"/>
      <c r="HN52" s="572"/>
      <c r="HO52" s="572"/>
      <c r="HP52" s="572"/>
      <c r="HQ52" s="572"/>
      <c r="HR52" s="572"/>
      <c r="HS52" s="572"/>
      <c r="HT52" s="572"/>
      <c r="HU52" s="572"/>
      <c r="HV52" s="572"/>
      <c r="HW52" s="572"/>
      <c r="HX52" s="572"/>
      <c r="HY52" s="572"/>
      <c r="HZ52" s="572"/>
      <c r="IA52" s="572"/>
      <c r="IB52" s="572"/>
      <c r="IC52" s="572"/>
      <c r="ID52" s="572"/>
      <c r="IE52" s="572"/>
      <c r="IF52" s="572"/>
      <c r="IG52" s="572"/>
      <c r="IH52" s="572"/>
      <c r="II52" s="572"/>
      <c r="IJ52" s="572"/>
      <c r="IK52" s="572"/>
      <c r="IL52" s="572"/>
      <c r="IM52" s="572"/>
      <c r="IN52" s="572"/>
    </row>
    <row r="53" spans="3:248" ht="12.75" customHeight="1" x14ac:dyDescent="0.25">
      <c r="C53" s="661"/>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572"/>
      <c r="AN53" s="572"/>
      <c r="AO53" s="572"/>
      <c r="AP53" s="572"/>
      <c r="AQ53" s="572"/>
      <c r="AR53" s="572"/>
      <c r="AS53" s="572"/>
      <c r="AT53" s="572"/>
      <c r="AU53" s="572"/>
      <c r="AV53" s="572"/>
      <c r="AW53" s="572"/>
      <c r="AX53" s="572"/>
      <c r="AY53" s="572"/>
      <c r="AZ53" s="572"/>
      <c r="BA53" s="572"/>
      <c r="BB53" s="572"/>
      <c r="BC53" s="572"/>
      <c r="BD53" s="572"/>
      <c r="BE53" s="572"/>
      <c r="BF53" s="572"/>
      <c r="BG53" s="572"/>
      <c r="BH53" s="572"/>
      <c r="BI53" s="572"/>
      <c r="BJ53" s="572"/>
      <c r="BK53" s="572"/>
      <c r="BL53" s="572"/>
      <c r="BM53" s="572"/>
      <c r="BN53" s="572"/>
      <c r="BO53" s="572"/>
      <c r="BP53" s="572"/>
      <c r="BQ53" s="572"/>
      <c r="BR53" s="572"/>
      <c r="BS53" s="572"/>
      <c r="BT53" s="572"/>
      <c r="BU53" s="572"/>
      <c r="BV53" s="572"/>
      <c r="BW53" s="572"/>
      <c r="BX53" s="572"/>
      <c r="BY53" s="572"/>
      <c r="BZ53" s="572"/>
      <c r="CA53" s="572"/>
      <c r="CB53" s="572"/>
      <c r="CC53" s="572"/>
      <c r="CD53" s="572"/>
      <c r="CE53" s="572"/>
      <c r="CF53" s="572"/>
      <c r="CG53" s="572"/>
      <c r="CH53" s="572"/>
      <c r="CI53" s="572"/>
      <c r="CJ53" s="572"/>
      <c r="CK53" s="572"/>
      <c r="CL53" s="572"/>
      <c r="CM53" s="572"/>
      <c r="CN53" s="572"/>
      <c r="CO53" s="572"/>
      <c r="CP53" s="572"/>
      <c r="CQ53" s="572"/>
      <c r="CR53" s="572"/>
      <c r="CS53" s="572"/>
      <c r="CT53" s="572"/>
      <c r="CU53" s="572"/>
      <c r="CV53" s="572"/>
      <c r="CW53" s="572"/>
      <c r="CX53" s="572"/>
      <c r="CY53" s="572"/>
      <c r="CZ53" s="572"/>
      <c r="DA53" s="572"/>
      <c r="DB53" s="572"/>
      <c r="DC53" s="572"/>
      <c r="DD53" s="572"/>
      <c r="DE53" s="572"/>
      <c r="DF53" s="572"/>
      <c r="DG53" s="572"/>
      <c r="DH53" s="572"/>
      <c r="DI53" s="572"/>
      <c r="DJ53" s="572"/>
      <c r="DK53" s="572"/>
      <c r="DL53" s="572"/>
      <c r="DM53" s="572"/>
      <c r="DN53" s="572"/>
      <c r="DO53" s="572"/>
      <c r="DP53" s="572"/>
      <c r="DQ53" s="572"/>
      <c r="DR53" s="572"/>
      <c r="DS53" s="572"/>
      <c r="DT53" s="572"/>
      <c r="DU53" s="572"/>
      <c r="DV53" s="572"/>
      <c r="DW53" s="572"/>
      <c r="DX53" s="572"/>
      <c r="DY53" s="572"/>
      <c r="DZ53" s="572"/>
      <c r="EA53" s="572"/>
      <c r="EB53" s="572"/>
      <c r="EC53" s="572"/>
      <c r="ED53" s="572"/>
      <c r="EE53" s="572"/>
      <c r="EF53" s="572"/>
      <c r="EG53" s="572"/>
      <c r="EH53" s="572"/>
      <c r="EI53" s="572"/>
      <c r="EJ53" s="572"/>
      <c r="EK53" s="572"/>
      <c r="EL53" s="572"/>
      <c r="EM53" s="572"/>
      <c r="EN53" s="572"/>
      <c r="EO53" s="572"/>
      <c r="EP53" s="572"/>
      <c r="EQ53" s="572"/>
      <c r="ER53" s="572"/>
      <c r="ES53" s="572"/>
      <c r="ET53" s="572"/>
      <c r="EU53" s="572"/>
      <c r="EV53" s="572"/>
      <c r="EW53" s="572"/>
      <c r="EX53" s="572"/>
      <c r="EY53" s="572"/>
      <c r="EZ53" s="572"/>
      <c r="FA53" s="572"/>
      <c r="FB53" s="572"/>
      <c r="FC53" s="572"/>
      <c r="FD53" s="572"/>
      <c r="FE53" s="572"/>
      <c r="FF53" s="572"/>
      <c r="FG53" s="572"/>
      <c r="FH53" s="572"/>
      <c r="FI53" s="572"/>
      <c r="FJ53" s="572"/>
      <c r="FK53" s="572"/>
      <c r="FL53" s="572"/>
      <c r="FM53" s="572"/>
      <c r="FN53" s="572"/>
      <c r="FO53" s="572"/>
      <c r="FP53" s="572"/>
      <c r="FQ53" s="572"/>
      <c r="FR53" s="572"/>
      <c r="FS53" s="572"/>
      <c r="FT53" s="572"/>
      <c r="FU53" s="572"/>
      <c r="FV53" s="572"/>
      <c r="FW53" s="572"/>
      <c r="FX53" s="572"/>
      <c r="FY53" s="572"/>
      <c r="FZ53" s="572"/>
      <c r="GA53" s="572"/>
      <c r="GB53" s="572"/>
      <c r="GC53" s="572"/>
      <c r="GD53" s="572"/>
      <c r="GE53" s="572"/>
      <c r="GF53" s="572"/>
      <c r="GG53" s="572"/>
      <c r="GH53" s="572"/>
      <c r="GI53" s="572"/>
      <c r="GJ53" s="572"/>
      <c r="GK53" s="572"/>
      <c r="GL53" s="572"/>
      <c r="GM53" s="572"/>
      <c r="GN53" s="572"/>
      <c r="GO53" s="572"/>
      <c r="GP53" s="572"/>
      <c r="GQ53" s="572"/>
      <c r="GR53" s="572"/>
      <c r="GS53" s="572"/>
      <c r="GT53" s="572"/>
      <c r="GU53" s="572"/>
      <c r="GV53" s="572"/>
      <c r="GW53" s="572"/>
      <c r="GX53" s="572"/>
      <c r="GY53" s="572"/>
      <c r="GZ53" s="572"/>
      <c r="HA53" s="572"/>
      <c r="HB53" s="572"/>
      <c r="HC53" s="572"/>
      <c r="HD53" s="572"/>
      <c r="HE53" s="572"/>
      <c r="HF53" s="572"/>
      <c r="HG53" s="572"/>
      <c r="HH53" s="572"/>
      <c r="HI53" s="572"/>
      <c r="HJ53" s="572"/>
      <c r="HK53" s="572"/>
      <c r="HL53" s="572"/>
      <c r="HM53" s="572"/>
      <c r="HN53" s="572"/>
      <c r="HO53" s="572"/>
      <c r="HP53" s="572"/>
      <c r="HQ53" s="572"/>
      <c r="HR53" s="572"/>
      <c r="HS53" s="572"/>
      <c r="HT53" s="572"/>
      <c r="HU53" s="572"/>
      <c r="HV53" s="572"/>
      <c r="HW53" s="572"/>
      <c r="HX53" s="572"/>
      <c r="HY53" s="572"/>
      <c r="HZ53" s="572"/>
      <c r="IA53" s="572"/>
      <c r="IB53" s="572"/>
      <c r="IC53" s="572"/>
      <c r="ID53" s="572"/>
      <c r="IE53" s="572"/>
      <c r="IF53" s="572"/>
      <c r="IG53" s="572"/>
      <c r="IH53" s="572"/>
      <c r="II53" s="572"/>
      <c r="IJ53" s="572"/>
      <c r="IK53" s="572"/>
      <c r="IL53" s="572"/>
      <c r="IM53" s="572"/>
      <c r="IN53" s="572"/>
    </row>
    <row r="54" spans="3:248" ht="12.75" customHeight="1" x14ac:dyDescent="0.25">
      <c r="C54" s="661"/>
      <c r="D54" s="572"/>
      <c r="E54" s="572"/>
      <c r="F54" s="572"/>
      <c r="G54" s="572"/>
      <c r="H54" s="572"/>
      <c r="I54" s="572"/>
      <c r="J54" s="572"/>
      <c r="K54" s="572"/>
      <c r="L54" s="572"/>
      <c r="M54" s="572"/>
      <c r="N54" s="572"/>
      <c r="O54" s="572"/>
      <c r="P54" s="572"/>
      <c r="Q54" s="572"/>
      <c r="R54" s="572"/>
      <c r="S54" s="572"/>
      <c r="T54" s="572"/>
      <c r="U54" s="572"/>
      <c r="V54" s="572"/>
      <c r="W54" s="572"/>
      <c r="X54" s="572"/>
      <c r="Y54" s="572"/>
      <c r="Z54" s="572"/>
      <c r="AA54" s="572"/>
      <c r="AB54" s="572"/>
      <c r="AC54" s="572"/>
      <c r="AD54" s="572"/>
      <c r="AE54" s="572"/>
      <c r="AF54" s="572"/>
      <c r="AG54" s="572"/>
      <c r="AH54" s="572"/>
      <c r="AI54" s="572"/>
      <c r="AJ54" s="572"/>
      <c r="AK54" s="572"/>
      <c r="AL54" s="572"/>
      <c r="AM54" s="572"/>
      <c r="AN54" s="572"/>
      <c r="AO54" s="572"/>
      <c r="AP54" s="572"/>
      <c r="AQ54" s="572"/>
      <c r="AR54" s="572"/>
      <c r="AS54" s="572"/>
      <c r="AT54" s="572"/>
      <c r="AU54" s="572"/>
      <c r="AV54" s="572"/>
      <c r="AW54" s="572"/>
      <c r="AX54" s="572"/>
      <c r="AY54" s="572"/>
      <c r="AZ54" s="572"/>
      <c r="BA54" s="572"/>
      <c r="BB54" s="572"/>
      <c r="BC54" s="572"/>
      <c r="BD54" s="572"/>
      <c r="BE54" s="572"/>
      <c r="BF54" s="572"/>
      <c r="BG54" s="572"/>
      <c r="BH54" s="572"/>
      <c r="BI54" s="572"/>
      <c r="BJ54" s="572"/>
      <c r="BK54" s="572"/>
      <c r="BL54" s="572"/>
      <c r="BM54" s="572"/>
      <c r="BN54" s="572"/>
      <c r="BO54" s="572"/>
      <c r="BP54" s="572"/>
      <c r="BQ54" s="572"/>
      <c r="BR54" s="572"/>
      <c r="BS54" s="572"/>
      <c r="BT54" s="572"/>
      <c r="BU54" s="572"/>
      <c r="BV54" s="572"/>
      <c r="BW54" s="572"/>
      <c r="BX54" s="572"/>
      <c r="BY54" s="572"/>
      <c r="BZ54" s="572"/>
      <c r="CA54" s="572"/>
      <c r="CB54" s="572"/>
      <c r="CC54" s="572"/>
      <c r="CD54" s="572"/>
      <c r="CE54" s="572"/>
      <c r="CF54" s="572"/>
      <c r="CG54" s="572"/>
      <c r="CH54" s="572"/>
      <c r="CI54" s="572"/>
      <c r="CJ54" s="572"/>
      <c r="CK54" s="572"/>
      <c r="CL54" s="572"/>
      <c r="CM54" s="572"/>
      <c r="CN54" s="572"/>
      <c r="CO54" s="572"/>
      <c r="CP54" s="572"/>
      <c r="CQ54" s="572"/>
      <c r="CR54" s="572"/>
      <c r="CS54" s="572"/>
      <c r="CT54" s="572"/>
      <c r="CU54" s="572"/>
      <c r="CV54" s="572"/>
      <c r="CW54" s="572"/>
      <c r="CX54" s="572"/>
      <c r="CY54" s="572"/>
      <c r="CZ54" s="572"/>
      <c r="DA54" s="572"/>
      <c r="DB54" s="572"/>
      <c r="DC54" s="572"/>
      <c r="DD54" s="572"/>
      <c r="DE54" s="572"/>
      <c r="DF54" s="572"/>
      <c r="DG54" s="572"/>
      <c r="DH54" s="572"/>
      <c r="DI54" s="572"/>
      <c r="DJ54" s="572"/>
      <c r="DK54" s="572"/>
      <c r="DL54" s="572"/>
      <c r="DM54" s="572"/>
      <c r="DN54" s="572"/>
      <c r="DO54" s="572"/>
      <c r="DP54" s="572"/>
      <c r="DQ54" s="572"/>
      <c r="DR54" s="572"/>
      <c r="DS54" s="572"/>
      <c r="DT54" s="572"/>
      <c r="DU54" s="572"/>
      <c r="DV54" s="572"/>
      <c r="DW54" s="572"/>
      <c r="DX54" s="572"/>
      <c r="DY54" s="572"/>
      <c r="DZ54" s="572"/>
      <c r="EA54" s="572"/>
      <c r="EB54" s="572"/>
      <c r="EC54" s="572"/>
      <c r="ED54" s="572"/>
      <c r="EE54" s="572"/>
      <c r="EF54" s="572"/>
      <c r="EG54" s="572"/>
      <c r="EH54" s="572"/>
      <c r="EI54" s="572"/>
      <c r="EJ54" s="572"/>
      <c r="EK54" s="572"/>
      <c r="EL54" s="572"/>
      <c r="EM54" s="572"/>
      <c r="EN54" s="572"/>
      <c r="EO54" s="572"/>
      <c r="EP54" s="572"/>
      <c r="EQ54" s="572"/>
      <c r="ER54" s="572"/>
      <c r="ES54" s="572"/>
      <c r="ET54" s="572"/>
      <c r="EU54" s="572"/>
      <c r="EV54" s="572"/>
      <c r="EW54" s="572"/>
      <c r="EX54" s="572"/>
      <c r="EY54" s="572"/>
      <c r="EZ54" s="572"/>
      <c r="FA54" s="572"/>
      <c r="FB54" s="572"/>
      <c r="FC54" s="572"/>
      <c r="FD54" s="572"/>
      <c r="FE54" s="572"/>
      <c r="FF54" s="572"/>
      <c r="FG54" s="572"/>
      <c r="FH54" s="572"/>
      <c r="FI54" s="572"/>
      <c r="FJ54" s="572"/>
      <c r="FK54" s="572"/>
      <c r="FL54" s="572"/>
      <c r="FM54" s="572"/>
      <c r="FN54" s="572"/>
      <c r="FO54" s="572"/>
      <c r="FP54" s="572"/>
      <c r="FQ54" s="572"/>
      <c r="FR54" s="572"/>
      <c r="FS54" s="572"/>
      <c r="FT54" s="572"/>
      <c r="FU54" s="572"/>
      <c r="FV54" s="572"/>
      <c r="FW54" s="572"/>
      <c r="FX54" s="572"/>
      <c r="FY54" s="572"/>
      <c r="FZ54" s="572"/>
      <c r="GA54" s="572"/>
      <c r="GB54" s="572"/>
      <c r="GC54" s="572"/>
      <c r="GD54" s="572"/>
      <c r="GE54" s="572"/>
      <c r="GF54" s="572"/>
      <c r="GG54" s="572"/>
      <c r="GH54" s="572"/>
      <c r="GI54" s="572"/>
      <c r="GJ54" s="572"/>
      <c r="GK54" s="572"/>
      <c r="GL54" s="572"/>
      <c r="GM54" s="572"/>
      <c r="GN54" s="572"/>
      <c r="GO54" s="572"/>
      <c r="GP54" s="572"/>
      <c r="GQ54" s="572"/>
      <c r="GR54" s="572"/>
      <c r="GS54" s="572"/>
      <c r="GT54" s="572"/>
      <c r="GU54" s="572"/>
      <c r="GV54" s="572"/>
      <c r="GW54" s="572"/>
      <c r="GX54" s="572"/>
      <c r="GY54" s="572"/>
      <c r="GZ54" s="572"/>
      <c r="HA54" s="572"/>
      <c r="HB54" s="572"/>
      <c r="HC54" s="572"/>
      <c r="HD54" s="572"/>
      <c r="HE54" s="572"/>
      <c r="HF54" s="572"/>
      <c r="HG54" s="572"/>
      <c r="HH54" s="572"/>
      <c r="HI54" s="572"/>
      <c r="HJ54" s="572"/>
      <c r="HK54" s="572"/>
      <c r="HL54" s="572"/>
      <c r="HM54" s="572"/>
      <c r="HN54" s="572"/>
      <c r="HO54" s="572"/>
      <c r="HP54" s="572"/>
      <c r="HQ54" s="572"/>
      <c r="HR54" s="572"/>
      <c r="HS54" s="572"/>
      <c r="HT54" s="572"/>
      <c r="HU54" s="572"/>
      <c r="HV54" s="572"/>
      <c r="HW54" s="572"/>
      <c r="HX54" s="572"/>
      <c r="HY54" s="572"/>
      <c r="HZ54" s="572"/>
      <c r="IA54" s="572"/>
      <c r="IB54" s="572"/>
      <c r="IC54" s="572"/>
      <c r="ID54" s="572"/>
      <c r="IE54" s="572"/>
      <c r="IF54" s="572"/>
      <c r="IG54" s="572"/>
      <c r="IH54" s="572"/>
      <c r="II54" s="572"/>
      <c r="IJ54" s="572"/>
      <c r="IK54" s="572"/>
      <c r="IL54" s="572"/>
      <c r="IM54" s="572"/>
      <c r="IN54" s="572"/>
    </row>
    <row r="55" spans="3:248" ht="12.75" customHeight="1" x14ac:dyDescent="0.25">
      <c r="C55" s="661"/>
      <c r="D55" s="572"/>
      <c r="E55" s="572"/>
      <c r="F55" s="572"/>
      <c r="G55" s="572"/>
      <c r="H55" s="572"/>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572"/>
      <c r="AG55" s="572"/>
      <c r="AH55" s="572"/>
      <c r="AI55" s="572"/>
      <c r="AJ55" s="572"/>
      <c r="AK55" s="572"/>
      <c r="AL55" s="572"/>
      <c r="AM55" s="572"/>
      <c r="AN55" s="572"/>
      <c r="AO55" s="572"/>
      <c r="AP55" s="572"/>
      <c r="AQ55" s="572"/>
      <c r="AR55" s="572"/>
      <c r="AS55" s="572"/>
      <c r="AT55" s="572"/>
      <c r="AU55" s="572"/>
      <c r="AV55" s="572"/>
      <c r="AW55" s="572"/>
      <c r="AX55" s="572"/>
      <c r="AY55" s="572"/>
      <c r="AZ55" s="572"/>
      <c r="BA55" s="572"/>
      <c r="BB55" s="572"/>
      <c r="BC55" s="572"/>
      <c r="BD55" s="572"/>
      <c r="BE55" s="572"/>
      <c r="BF55" s="572"/>
      <c r="BG55" s="572"/>
      <c r="BH55" s="572"/>
      <c r="BI55" s="572"/>
      <c r="BJ55" s="572"/>
      <c r="BK55" s="572"/>
      <c r="BL55" s="572"/>
      <c r="BM55" s="572"/>
      <c r="BN55" s="572"/>
      <c r="BO55" s="572"/>
      <c r="BP55" s="572"/>
      <c r="BQ55" s="572"/>
      <c r="BR55" s="572"/>
      <c r="BS55" s="572"/>
      <c r="BT55" s="572"/>
      <c r="BU55" s="572"/>
      <c r="BV55" s="572"/>
      <c r="BW55" s="572"/>
      <c r="BX55" s="572"/>
      <c r="BY55" s="572"/>
      <c r="BZ55" s="572"/>
      <c r="CA55" s="572"/>
      <c r="CB55" s="572"/>
      <c r="CC55" s="572"/>
      <c r="CD55" s="572"/>
      <c r="CE55" s="572"/>
      <c r="CF55" s="572"/>
      <c r="CG55" s="572"/>
      <c r="CH55" s="572"/>
      <c r="CI55" s="572"/>
      <c r="CJ55" s="572"/>
      <c r="CK55" s="572"/>
      <c r="CL55" s="572"/>
      <c r="CM55" s="572"/>
      <c r="CN55" s="572"/>
      <c r="CO55" s="572"/>
      <c r="CP55" s="572"/>
      <c r="CQ55" s="572"/>
      <c r="CR55" s="572"/>
      <c r="CS55" s="572"/>
      <c r="CT55" s="572"/>
      <c r="CU55" s="572"/>
      <c r="CV55" s="572"/>
      <c r="CW55" s="572"/>
      <c r="CX55" s="572"/>
      <c r="CY55" s="572"/>
      <c r="CZ55" s="572"/>
      <c r="DA55" s="572"/>
      <c r="DB55" s="572"/>
      <c r="DC55" s="572"/>
      <c r="DD55" s="572"/>
      <c r="DE55" s="572"/>
      <c r="DF55" s="572"/>
      <c r="DG55" s="572"/>
      <c r="DH55" s="572"/>
      <c r="DI55" s="572"/>
      <c r="DJ55" s="572"/>
      <c r="DK55" s="572"/>
      <c r="DL55" s="572"/>
      <c r="DM55" s="572"/>
      <c r="DN55" s="572"/>
      <c r="DO55" s="572"/>
      <c r="DP55" s="572"/>
      <c r="DQ55" s="572"/>
      <c r="DR55" s="572"/>
      <c r="DS55" s="572"/>
      <c r="DT55" s="572"/>
      <c r="DU55" s="572"/>
      <c r="DV55" s="572"/>
      <c r="DW55" s="572"/>
      <c r="DX55" s="572"/>
      <c r="DY55" s="572"/>
      <c r="DZ55" s="572"/>
      <c r="EA55" s="572"/>
      <c r="EB55" s="572"/>
      <c r="EC55" s="572"/>
      <c r="ED55" s="572"/>
      <c r="EE55" s="572"/>
      <c r="EF55" s="572"/>
      <c r="EG55" s="572"/>
      <c r="EH55" s="572"/>
      <c r="EI55" s="572"/>
      <c r="EJ55" s="572"/>
      <c r="EK55" s="572"/>
      <c r="EL55" s="572"/>
      <c r="EM55" s="572"/>
      <c r="EN55" s="572"/>
      <c r="EO55" s="572"/>
      <c r="EP55" s="572"/>
      <c r="EQ55" s="572"/>
      <c r="ER55" s="572"/>
      <c r="ES55" s="572"/>
      <c r="ET55" s="572"/>
      <c r="EU55" s="572"/>
      <c r="EV55" s="572"/>
      <c r="EW55" s="572"/>
      <c r="EX55" s="572"/>
      <c r="EY55" s="572"/>
      <c r="EZ55" s="572"/>
      <c r="FA55" s="572"/>
      <c r="FB55" s="572"/>
      <c r="FC55" s="572"/>
      <c r="FD55" s="572"/>
      <c r="FE55" s="572"/>
      <c r="FF55" s="572"/>
      <c r="FG55" s="572"/>
      <c r="FH55" s="572"/>
      <c r="FI55" s="572"/>
      <c r="FJ55" s="572"/>
      <c r="FK55" s="572"/>
      <c r="FL55" s="572"/>
      <c r="FM55" s="572"/>
      <c r="FN55" s="572"/>
      <c r="FO55" s="572"/>
      <c r="FP55" s="572"/>
      <c r="FQ55" s="572"/>
      <c r="FR55" s="572"/>
      <c r="FS55" s="572"/>
      <c r="FT55" s="572"/>
      <c r="FU55" s="572"/>
      <c r="FV55" s="572"/>
      <c r="FW55" s="572"/>
      <c r="FX55" s="572"/>
      <c r="FY55" s="572"/>
      <c r="FZ55" s="572"/>
      <c r="GA55" s="572"/>
      <c r="GB55" s="572"/>
      <c r="GC55" s="572"/>
      <c r="GD55" s="572"/>
      <c r="GE55" s="572"/>
      <c r="GF55" s="572"/>
      <c r="GG55" s="572"/>
      <c r="GH55" s="572"/>
      <c r="GI55" s="572"/>
      <c r="GJ55" s="572"/>
      <c r="GK55" s="572"/>
      <c r="GL55" s="572"/>
      <c r="GM55" s="572"/>
      <c r="GN55" s="572"/>
      <c r="GO55" s="572"/>
      <c r="GP55" s="572"/>
      <c r="GQ55" s="572"/>
      <c r="GR55" s="572"/>
      <c r="GS55" s="572"/>
      <c r="GT55" s="572"/>
      <c r="GU55" s="572"/>
      <c r="GV55" s="572"/>
      <c r="GW55" s="572"/>
      <c r="GX55" s="572"/>
      <c r="GY55" s="572"/>
      <c r="GZ55" s="572"/>
      <c r="HA55" s="572"/>
      <c r="HB55" s="572"/>
      <c r="HC55" s="572"/>
      <c r="HD55" s="572"/>
      <c r="HE55" s="572"/>
      <c r="HF55" s="572"/>
      <c r="HG55" s="572"/>
      <c r="HH55" s="572"/>
      <c r="HI55" s="572"/>
      <c r="HJ55" s="572"/>
      <c r="HK55" s="572"/>
      <c r="HL55" s="572"/>
      <c r="HM55" s="572"/>
      <c r="HN55" s="572"/>
      <c r="HO55" s="572"/>
      <c r="HP55" s="572"/>
      <c r="HQ55" s="572"/>
      <c r="HR55" s="572"/>
      <c r="HS55" s="572"/>
      <c r="HT55" s="572"/>
      <c r="HU55" s="572"/>
      <c r="HV55" s="572"/>
      <c r="HW55" s="572"/>
      <c r="HX55" s="572"/>
      <c r="HY55" s="572"/>
      <c r="HZ55" s="572"/>
      <c r="IA55" s="572"/>
      <c r="IB55" s="572"/>
      <c r="IC55" s="572"/>
      <c r="ID55" s="572"/>
      <c r="IE55" s="572"/>
      <c r="IF55" s="572"/>
      <c r="IG55" s="572"/>
      <c r="IH55" s="572"/>
      <c r="II55" s="572"/>
      <c r="IJ55" s="572"/>
      <c r="IK55" s="572"/>
      <c r="IL55" s="572"/>
      <c r="IM55" s="572"/>
      <c r="IN55" s="572"/>
    </row>
    <row r="56" spans="3:248" ht="12.75" customHeight="1" x14ac:dyDescent="0.25">
      <c r="C56" s="661"/>
      <c r="D56" s="572"/>
      <c r="E56" s="572"/>
      <c r="F56" s="572"/>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572"/>
      <c r="AK56" s="572"/>
      <c r="AL56" s="572"/>
      <c r="AM56" s="572"/>
      <c r="AN56" s="572"/>
      <c r="AO56" s="572"/>
      <c r="AP56" s="572"/>
      <c r="AQ56" s="572"/>
      <c r="AR56" s="572"/>
      <c r="AS56" s="572"/>
      <c r="AT56" s="572"/>
      <c r="AU56" s="572"/>
      <c r="AV56" s="572"/>
      <c r="AW56" s="572"/>
      <c r="AX56" s="572"/>
      <c r="AY56" s="572"/>
      <c r="AZ56" s="572"/>
      <c r="BA56" s="572"/>
      <c r="BB56" s="572"/>
      <c r="BC56" s="572"/>
      <c r="BD56" s="572"/>
      <c r="BE56" s="572"/>
      <c r="BF56" s="572"/>
      <c r="BG56" s="572"/>
      <c r="BH56" s="572"/>
      <c r="BI56" s="572"/>
      <c r="BJ56" s="572"/>
      <c r="BK56" s="572"/>
      <c r="BL56" s="572"/>
      <c r="BM56" s="572"/>
      <c r="BN56" s="572"/>
      <c r="BO56" s="572"/>
      <c r="BP56" s="572"/>
      <c r="BQ56" s="572"/>
      <c r="BR56" s="572"/>
      <c r="BS56" s="572"/>
      <c r="BT56" s="572"/>
      <c r="BU56" s="572"/>
      <c r="BV56" s="572"/>
      <c r="BW56" s="572"/>
      <c r="BX56" s="572"/>
      <c r="BY56" s="572"/>
      <c r="BZ56" s="572"/>
      <c r="CA56" s="572"/>
      <c r="CB56" s="572"/>
      <c r="CC56" s="572"/>
      <c r="CD56" s="572"/>
      <c r="CE56" s="572"/>
      <c r="CF56" s="572"/>
      <c r="CG56" s="572"/>
      <c r="CH56" s="572"/>
      <c r="CI56" s="572"/>
      <c r="CJ56" s="572"/>
      <c r="CK56" s="572"/>
      <c r="CL56" s="572"/>
      <c r="CM56" s="572"/>
      <c r="CN56" s="572"/>
      <c r="CO56" s="572"/>
      <c r="CP56" s="572"/>
      <c r="CQ56" s="572"/>
      <c r="CR56" s="572"/>
      <c r="CS56" s="572"/>
      <c r="CT56" s="572"/>
      <c r="CU56" s="572"/>
      <c r="CV56" s="572"/>
      <c r="CW56" s="572"/>
      <c r="CX56" s="572"/>
      <c r="CY56" s="572"/>
      <c r="CZ56" s="572"/>
      <c r="DA56" s="572"/>
      <c r="DB56" s="572"/>
      <c r="DC56" s="572"/>
      <c r="DD56" s="572"/>
      <c r="DE56" s="572"/>
      <c r="DF56" s="572"/>
      <c r="DG56" s="572"/>
      <c r="DH56" s="572"/>
      <c r="DI56" s="572"/>
      <c r="DJ56" s="572"/>
      <c r="DK56" s="572"/>
      <c r="DL56" s="572"/>
      <c r="DM56" s="572"/>
      <c r="DN56" s="572"/>
      <c r="DO56" s="572"/>
      <c r="DP56" s="572"/>
      <c r="DQ56" s="572"/>
      <c r="DR56" s="572"/>
      <c r="DS56" s="572"/>
      <c r="DT56" s="572"/>
      <c r="DU56" s="572"/>
      <c r="DV56" s="572"/>
      <c r="DW56" s="572"/>
      <c r="DX56" s="572"/>
      <c r="DY56" s="572"/>
      <c r="DZ56" s="572"/>
      <c r="EA56" s="572"/>
      <c r="EB56" s="572"/>
      <c r="EC56" s="572"/>
      <c r="ED56" s="572"/>
      <c r="EE56" s="572"/>
      <c r="EF56" s="572"/>
      <c r="EG56" s="572"/>
      <c r="EH56" s="572"/>
      <c r="EI56" s="572"/>
      <c r="EJ56" s="572"/>
      <c r="EK56" s="572"/>
      <c r="EL56" s="572"/>
      <c r="EM56" s="572"/>
      <c r="EN56" s="572"/>
      <c r="EO56" s="572"/>
      <c r="EP56" s="572"/>
      <c r="EQ56" s="572"/>
      <c r="ER56" s="572"/>
      <c r="ES56" s="572"/>
      <c r="ET56" s="572"/>
      <c r="EU56" s="572"/>
      <c r="EV56" s="572"/>
      <c r="EW56" s="572"/>
      <c r="EX56" s="572"/>
      <c r="EY56" s="572"/>
      <c r="EZ56" s="572"/>
      <c r="FA56" s="572"/>
      <c r="FB56" s="572"/>
      <c r="FC56" s="572"/>
      <c r="FD56" s="572"/>
      <c r="FE56" s="572"/>
      <c r="FF56" s="572"/>
      <c r="FG56" s="572"/>
      <c r="FH56" s="572"/>
      <c r="FI56" s="572"/>
      <c r="FJ56" s="572"/>
      <c r="FK56" s="572"/>
      <c r="FL56" s="572"/>
      <c r="FM56" s="572"/>
      <c r="FN56" s="572"/>
      <c r="FO56" s="572"/>
      <c r="FP56" s="572"/>
      <c r="FQ56" s="572"/>
      <c r="FR56" s="572"/>
      <c r="FS56" s="572"/>
      <c r="FT56" s="572"/>
      <c r="FU56" s="572"/>
      <c r="FV56" s="572"/>
      <c r="FW56" s="572"/>
      <c r="FX56" s="572"/>
      <c r="FY56" s="572"/>
      <c r="FZ56" s="572"/>
      <c r="GA56" s="572"/>
      <c r="GB56" s="572"/>
      <c r="GC56" s="572"/>
      <c r="GD56" s="572"/>
      <c r="GE56" s="572"/>
      <c r="GF56" s="572"/>
      <c r="GG56" s="572"/>
      <c r="GH56" s="572"/>
      <c r="GI56" s="572"/>
      <c r="GJ56" s="572"/>
      <c r="GK56" s="572"/>
      <c r="GL56" s="572"/>
      <c r="GM56" s="572"/>
      <c r="GN56" s="572"/>
      <c r="GO56" s="572"/>
      <c r="GP56" s="572"/>
      <c r="GQ56" s="572"/>
      <c r="GR56" s="572"/>
      <c r="GS56" s="572"/>
      <c r="GT56" s="572"/>
      <c r="GU56" s="572"/>
      <c r="GV56" s="572"/>
      <c r="GW56" s="572"/>
      <c r="GX56" s="572"/>
      <c r="GY56" s="572"/>
      <c r="GZ56" s="572"/>
      <c r="HA56" s="572"/>
      <c r="HB56" s="572"/>
      <c r="HC56" s="572"/>
      <c r="HD56" s="572"/>
      <c r="HE56" s="572"/>
      <c r="HF56" s="572"/>
      <c r="HG56" s="572"/>
      <c r="HH56" s="572"/>
      <c r="HI56" s="572"/>
      <c r="HJ56" s="572"/>
      <c r="HK56" s="572"/>
      <c r="HL56" s="572"/>
      <c r="HM56" s="572"/>
      <c r="HN56" s="572"/>
      <c r="HO56" s="572"/>
      <c r="HP56" s="572"/>
      <c r="HQ56" s="572"/>
      <c r="HR56" s="572"/>
      <c r="HS56" s="572"/>
      <c r="HT56" s="572"/>
      <c r="HU56" s="572"/>
      <c r="HV56" s="572"/>
      <c r="HW56" s="572"/>
      <c r="HX56" s="572"/>
      <c r="HY56" s="572"/>
      <c r="HZ56" s="572"/>
      <c r="IA56" s="572"/>
      <c r="IB56" s="572"/>
      <c r="IC56" s="572"/>
      <c r="ID56" s="572"/>
      <c r="IE56" s="572"/>
      <c r="IF56" s="572"/>
      <c r="IG56" s="572"/>
      <c r="IH56" s="572"/>
      <c r="II56" s="572"/>
      <c r="IJ56" s="572"/>
      <c r="IK56" s="572"/>
      <c r="IL56" s="572"/>
      <c r="IM56" s="572"/>
      <c r="IN56" s="572"/>
    </row>
    <row r="57" spans="3:248" s="578" customFormat="1" ht="12.75" customHeight="1" x14ac:dyDescent="0.2">
      <c r="C57" s="661"/>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573"/>
      <c r="AL57" s="573"/>
      <c r="AM57" s="573"/>
      <c r="AN57" s="573"/>
      <c r="AO57" s="573"/>
      <c r="AP57" s="573"/>
      <c r="AQ57" s="573"/>
      <c r="AR57" s="573"/>
      <c r="AS57" s="573"/>
      <c r="AT57" s="573"/>
      <c r="AU57" s="573"/>
      <c r="AV57" s="573"/>
      <c r="AW57" s="573"/>
      <c r="AX57" s="573"/>
      <c r="AY57" s="573"/>
      <c r="AZ57" s="573"/>
      <c r="BA57" s="573"/>
      <c r="BB57" s="573"/>
      <c r="BC57" s="573"/>
      <c r="BD57" s="573"/>
      <c r="BE57" s="573"/>
      <c r="BF57" s="573"/>
      <c r="BG57" s="573"/>
      <c r="BH57" s="573"/>
      <c r="BI57" s="573"/>
      <c r="BJ57" s="573"/>
      <c r="BK57" s="573"/>
      <c r="BL57" s="573"/>
      <c r="BM57" s="573"/>
      <c r="BN57" s="573"/>
      <c r="BO57" s="573"/>
      <c r="BP57" s="573"/>
      <c r="BQ57" s="573"/>
      <c r="BR57" s="573"/>
      <c r="BS57" s="573"/>
      <c r="BT57" s="573"/>
      <c r="BU57" s="573"/>
      <c r="BV57" s="573"/>
      <c r="BW57" s="573"/>
      <c r="BX57" s="573"/>
      <c r="BY57" s="573"/>
      <c r="BZ57" s="573"/>
      <c r="CA57" s="573"/>
      <c r="CB57" s="573"/>
      <c r="CC57" s="573"/>
      <c r="CD57" s="573"/>
      <c r="CE57" s="573"/>
      <c r="CF57" s="573"/>
      <c r="CG57" s="573"/>
      <c r="CH57" s="573"/>
      <c r="CI57" s="573"/>
      <c r="CJ57" s="573"/>
      <c r="CK57" s="573"/>
      <c r="CL57" s="573"/>
      <c r="CM57" s="573"/>
      <c r="CN57" s="573"/>
      <c r="CO57" s="573"/>
      <c r="CP57" s="573"/>
      <c r="CQ57" s="573"/>
      <c r="CR57" s="573"/>
      <c r="CS57" s="573"/>
      <c r="CT57" s="573"/>
      <c r="CU57" s="573"/>
      <c r="CV57" s="573"/>
      <c r="CW57" s="573"/>
      <c r="CX57" s="573"/>
      <c r="CY57" s="573"/>
      <c r="CZ57" s="573"/>
      <c r="DA57" s="573"/>
      <c r="DB57" s="573"/>
      <c r="DC57" s="573"/>
      <c r="DD57" s="573"/>
      <c r="DE57" s="573"/>
      <c r="DF57" s="573"/>
      <c r="DG57" s="573"/>
      <c r="DH57" s="573"/>
      <c r="DI57" s="573"/>
      <c r="DJ57" s="573"/>
      <c r="DK57" s="573"/>
      <c r="DL57" s="573"/>
      <c r="DM57" s="573"/>
      <c r="DN57" s="573"/>
      <c r="DO57" s="573"/>
      <c r="DP57" s="573"/>
      <c r="DQ57" s="573"/>
      <c r="DR57" s="573"/>
      <c r="DS57" s="573"/>
      <c r="DT57" s="573"/>
      <c r="DU57" s="573"/>
      <c r="DV57" s="573"/>
      <c r="DW57" s="573"/>
      <c r="DX57" s="573"/>
      <c r="DY57" s="573"/>
      <c r="DZ57" s="573"/>
      <c r="EA57" s="573"/>
      <c r="EB57" s="573"/>
      <c r="EC57" s="573"/>
      <c r="ED57" s="573"/>
      <c r="EE57" s="573"/>
      <c r="EF57" s="573"/>
      <c r="EG57" s="573"/>
      <c r="EH57" s="573"/>
      <c r="EI57" s="573"/>
      <c r="EJ57" s="573"/>
      <c r="EK57" s="573"/>
      <c r="EL57" s="573"/>
      <c r="EM57" s="573"/>
      <c r="EN57" s="573"/>
      <c r="EO57" s="573"/>
      <c r="EP57" s="573"/>
      <c r="EQ57" s="573"/>
      <c r="ER57" s="573"/>
      <c r="ES57" s="573"/>
      <c r="ET57" s="573"/>
      <c r="EU57" s="573"/>
      <c r="EV57" s="573"/>
      <c r="EW57" s="573"/>
      <c r="EX57" s="573"/>
      <c r="EY57" s="573"/>
      <c r="EZ57" s="573"/>
      <c r="FA57" s="573"/>
      <c r="FB57" s="573"/>
      <c r="FC57" s="573"/>
      <c r="FD57" s="573"/>
      <c r="FE57" s="573"/>
      <c r="FF57" s="573"/>
      <c r="FG57" s="573"/>
      <c r="FH57" s="573"/>
      <c r="FI57" s="573"/>
      <c r="FJ57" s="573"/>
      <c r="FK57" s="573"/>
      <c r="FL57" s="573"/>
      <c r="FM57" s="573"/>
      <c r="FN57" s="573"/>
      <c r="FO57" s="573"/>
      <c r="FP57" s="573"/>
      <c r="FQ57" s="573"/>
      <c r="FR57" s="573"/>
      <c r="FS57" s="573"/>
      <c r="FT57" s="573"/>
      <c r="FU57" s="573"/>
      <c r="FV57" s="573"/>
      <c r="FW57" s="573"/>
      <c r="FX57" s="573"/>
      <c r="FY57" s="573"/>
      <c r="FZ57" s="573"/>
      <c r="GA57" s="573"/>
      <c r="GB57" s="573"/>
      <c r="GC57" s="573"/>
      <c r="GD57" s="573"/>
      <c r="GE57" s="573"/>
      <c r="GF57" s="573"/>
      <c r="GG57" s="573"/>
      <c r="GH57" s="573"/>
      <c r="GI57" s="573"/>
      <c r="GJ57" s="573"/>
      <c r="GK57" s="573"/>
      <c r="GL57" s="573"/>
      <c r="GM57" s="573"/>
      <c r="GN57" s="573"/>
      <c r="GO57" s="573"/>
      <c r="GP57" s="573"/>
      <c r="GQ57" s="573"/>
      <c r="GR57" s="573"/>
      <c r="GS57" s="573"/>
      <c r="GT57" s="573"/>
      <c r="GU57" s="573"/>
      <c r="GV57" s="573"/>
      <c r="GW57" s="573"/>
      <c r="GX57" s="573"/>
      <c r="GY57" s="573"/>
      <c r="GZ57" s="573"/>
      <c r="HA57" s="573"/>
      <c r="HB57" s="573"/>
      <c r="HC57" s="573"/>
      <c r="HD57" s="573"/>
      <c r="HE57" s="573"/>
      <c r="HF57" s="573"/>
      <c r="HG57" s="573"/>
      <c r="HH57" s="573"/>
      <c r="HI57" s="573"/>
      <c r="HJ57" s="573"/>
      <c r="HK57" s="573"/>
      <c r="HL57" s="573"/>
      <c r="HM57" s="573"/>
      <c r="HN57" s="573"/>
      <c r="HO57" s="573"/>
      <c r="HP57" s="573"/>
      <c r="HQ57" s="573"/>
      <c r="HR57" s="573"/>
      <c r="HS57" s="573"/>
      <c r="HT57" s="573"/>
      <c r="HU57" s="573"/>
      <c r="HV57" s="573"/>
      <c r="HW57" s="573"/>
      <c r="HX57" s="573"/>
      <c r="HY57" s="573"/>
      <c r="HZ57" s="573"/>
      <c r="IA57" s="573"/>
      <c r="IB57" s="573"/>
      <c r="IC57" s="573"/>
      <c r="ID57" s="573"/>
      <c r="IE57" s="573"/>
      <c r="IF57" s="573"/>
      <c r="IG57" s="573"/>
      <c r="IH57" s="573"/>
      <c r="II57" s="573"/>
      <c r="IJ57" s="573"/>
      <c r="IK57" s="573"/>
      <c r="IL57" s="573"/>
      <c r="IM57" s="573"/>
      <c r="IN57" s="573"/>
    </row>
    <row r="58" spans="3:248" s="578" customFormat="1" ht="12.75" customHeight="1" x14ac:dyDescent="0.2">
      <c r="C58" s="661"/>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c r="AO58" s="573"/>
      <c r="AP58" s="573"/>
      <c r="AQ58" s="573"/>
      <c r="AR58" s="573"/>
      <c r="AS58" s="573"/>
      <c r="AT58" s="573"/>
      <c r="AU58" s="573"/>
      <c r="AV58" s="573"/>
      <c r="AW58" s="573"/>
      <c r="AX58" s="573"/>
      <c r="AY58" s="573"/>
      <c r="AZ58" s="573"/>
      <c r="BA58" s="573"/>
      <c r="BB58" s="573"/>
      <c r="BC58" s="573"/>
      <c r="BD58" s="573"/>
      <c r="BE58" s="573"/>
      <c r="BF58" s="573"/>
      <c r="BG58" s="573"/>
      <c r="BH58" s="573"/>
      <c r="BI58" s="573"/>
      <c r="BJ58" s="573"/>
      <c r="BK58" s="573"/>
      <c r="BL58" s="573"/>
      <c r="BM58" s="573"/>
      <c r="BN58" s="573"/>
      <c r="BO58" s="573"/>
      <c r="BP58" s="573"/>
      <c r="BQ58" s="573"/>
      <c r="BR58" s="573"/>
      <c r="BS58" s="573"/>
      <c r="BT58" s="573"/>
      <c r="BU58" s="573"/>
      <c r="BV58" s="573"/>
      <c r="BW58" s="573"/>
      <c r="BX58" s="573"/>
      <c r="BY58" s="573"/>
      <c r="BZ58" s="573"/>
      <c r="CA58" s="573"/>
      <c r="CB58" s="573"/>
      <c r="CC58" s="573"/>
      <c r="CD58" s="573"/>
      <c r="CE58" s="573"/>
      <c r="CF58" s="573"/>
      <c r="CG58" s="573"/>
      <c r="CH58" s="573"/>
      <c r="CI58" s="573"/>
      <c r="CJ58" s="573"/>
      <c r="CK58" s="573"/>
      <c r="CL58" s="573"/>
      <c r="CM58" s="573"/>
      <c r="CN58" s="573"/>
      <c r="CO58" s="573"/>
      <c r="CP58" s="573"/>
      <c r="CQ58" s="573"/>
      <c r="CR58" s="573"/>
      <c r="CS58" s="573"/>
      <c r="CT58" s="573"/>
      <c r="CU58" s="573"/>
      <c r="CV58" s="573"/>
      <c r="CW58" s="573"/>
      <c r="CX58" s="573"/>
      <c r="CY58" s="573"/>
      <c r="CZ58" s="573"/>
      <c r="DA58" s="573"/>
      <c r="DB58" s="573"/>
      <c r="DC58" s="573"/>
      <c r="DD58" s="573"/>
      <c r="DE58" s="573"/>
      <c r="DF58" s="573"/>
      <c r="DG58" s="573"/>
      <c r="DH58" s="573"/>
      <c r="DI58" s="573"/>
      <c r="DJ58" s="573"/>
      <c r="DK58" s="573"/>
      <c r="DL58" s="573"/>
      <c r="DM58" s="573"/>
      <c r="DN58" s="573"/>
      <c r="DO58" s="573"/>
      <c r="DP58" s="573"/>
      <c r="DQ58" s="573"/>
      <c r="DR58" s="573"/>
      <c r="DS58" s="573"/>
      <c r="DT58" s="573"/>
      <c r="DU58" s="573"/>
      <c r="DV58" s="573"/>
      <c r="DW58" s="573"/>
      <c r="DX58" s="573"/>
      <c r="DY58" s="573"/>
      <c r="DZ58" s="573"/>
      <c r="EA58" s="573"/>
      <c r="EB58" s="573"/>
      <c r="EC58" s="573"/>
      <c r="ED58" s="573"/>
      <c r="EE58" s="573"/>
      <c r="EF58" s="573"/>
      <c r="EG58" s="573"/>
      <c r="EH58" s="573"/>
      <c r="EI58" s="573"/>
      <c r="EJ58" s="573"/>
      <c r="EK58" s="573"/>
      <c r="EL58" s="573"/>
      <c r="EM58" s="573"/>
      <c r="EN58" s="573"/>
      <c r="EO58" s="573"/>
      <c r="EP58" s="573"/>
      <c r="EQ58" s="573"/>
      <c r="ER58" s="573"/>
      <c r="ES58" s="573"/>
      <c r="ET58" s="573"/>
      <c r="EU58" s="573"/>
      <c r="EV58" s="573"/>
      <c r="EW58" s="573"/>
      <c r="EX58" s="573"/>
      <c r="EY58" s="573"/>
      <c r="EZ58" s="573"/>
      <c r="FA58" s="573"/>
      <c r="FB58" s="573"/>
      <c r="FC58" s="573"/>
      <c r="FD58" s="573"/>
      <c r="FE58" s="573"/>
      <c r="FF58" s="573"/>
      <c r="FG58" s="573"/>
      <c r="FH58" s="573"/>
      <c r="FI58" s="573"/>
      <c r="FJ58" s="573"/>
      <c r="FK58" s="573"/>
      <c r="FL58" s="573"/>
      <c r="FM58" s="573"/>
      <c r="FN58" s="573"/>
      <c r="FO58" s="573"/>
      <c r="FP58" s="573"/>
      <c r="FQ58" s="573"/>
      <c r="FR58" s="573"/>
      <c r="FS58" s="573"/>
      <c r="FT58" s="573"/>
      <c r="FU58" s="573"/>
      <c r="FV58" s="573"/>
      <c r="FW58" s="573"/>
      <c r="FX58" s="573"/>
      <c r="FY58" s="573"/>
      <c r="FZ58" s="573"/>
      <c r="GA58" s="573"/>
      <c r="GB58" s="573"/>
      <c r="GC58" s="573"/>
      <c r="GD58" s="573"/>
      <c r="GE58" s="573"/>
      <c r="GF58" s="573"/>
      <c r="GG58" s="573"/>
      <c r="GH58" s="573"/>
      <c r="GI58" s="573"/>
      <c r="GJ58" s="573"/>
      <c r="GK58" s="573"/>
      <c r="GL58" s="573"/>
      <c r="GM58" s="573"/>
      <c r="GN58" s="573"/>
      <c r="GO58" s="573"/>
      <c r="GP58" s="573"/>
      <c r="GQ58" s="573"/>
      <c r="GR58" s="573"/>
      <c r="GS58" s="573"/>
      <c r="GT58" s="573"/>
      <c r="GU58" s="573"/>
      <c r="GV58" s="573"/>
      <c r="GW58" s="573"/>
      <c r="GX58" s="573"/>
      <c r="GY58" s="573"/>
      <c r="GZ58" s="573"/>
      <c r="HA58" s="573"/>
      <c r="HB58" s="573"/>
      <c r="HC58" s="573"/>
      <c r="HD58" s="573"/>
      <c r="HE58" s="573"/>
      <c r="HF58" s="573"/>
      <c r="HG58" s="573"/>
      <c r="HH58" s="573"/>
      <c r="HI58" s="573"/>
      <c r="HJ58" s="573"/>
      <c r="HK58" s="573"/>
      <c r="HL58" s="573"/>
      <c r="HM58" s="573"/>
      <c r="HN58" s="573"/>
      <c r="HO58" s="573"/>
      <c r="HP58" s="573"/>
      <c r="HQ58" s="573"/>
      <c r="HR58" s="573"/>
      <c r="HS58" s="573"/>
      <c r="HT58" s="573"/>
      <c r="HU58" s="573"/>
      <c r="HV58" s="573"/>
      <c r="HW58" s="573"/>
      <c r="HX58" s="573"/>
      <c r="HY58" s="573"/>
      <c r="HZ58" s="573"/>
      <c r="IA58" s="573"/>
      <c r="IB58" s="573"/>
      <c r="IC58" s="573"/>
      <c r="ID58" s="573"/>
      <c r="IE58" s="573"/>
      <c r="IF58" s="573"/>
      <c r="IG58" s="573"/>
      <c r="IH58" s="573"/>
      <c r="II58" s="573"/>
      <c r="IJ58" s="573"/>
      <c r="IK58" s="573"/>
      <c r="IL58" s="573"/>
      <c r="IM58" s="573"/>
      <c r="IN58" s="573"/>
    </row>
    <row r="59" spans="3:248" s="578" customFormat="1" ht="12.75" customHeight="1" x14ac:dyDescent="0.2">
      <c r="C59" s="661"/>
      <c r="N59" s="573"/>
      <c r="O59" s="573"/>
      <c r="P59" s="573"/>
      <c r="Q59" s="573"/>
      <c r="R59" s="573"/>
      <c r="S59" s="573"/>
      <c r="T59" s="573"/>
      <c r="U59" s="573"/>
      <c r="V59" s="573"/>
      <c r="W59" s="573"/>
      <c r="X59" s="573"/>
      <c r="Y59" s="573"/>
      <c r="Z59" s="573"/>
      <c r="AA59" s="573"/>
      <c r="AB59" s="573"/>
      <c r="AC59" s="573"/>
      <c r="AD59" s="573"/>
      <c r="AE59" s="573"/>
      <c r="AF59" s="573"/>
      <c r="AG59" s="573"/>
      <c r="AH59" s="573"/>
      <c r="AI59" s="573"/>
      <c r="AJ59" s="573"/>
      <c r="AK59" s="573"/>
      <c r="AL59" s="573"/>
      <c r="AM59" s="573"/>
      <c r="AN59" s="573"/>
      <c r="AO59" s="573"/>
      <c r="AP59" s="573"/>
      <c r="AQ59" s="573"/>
      <c r="AR59" s="573"/>
      <c r="AS59" s="573"/>
      <c r="AT59" s="573"/>
      <c r="AU59" s="573"/>
      <c r="AV59" s="573"/>
      <c r="AW59" s="573"/>
      <c r="AX59" s="573"/>
      <c r="AY59" s="573"/>
      <c r="AZ59" s="573"/>
      <c r="BA59" s="573"/>
      <c r="BB59" s="573"/>
      <c r="BC59" s="573"/>
      <c r="BD59" s="573"/>
      <c r="BE59" s="573"/>
      <c r="BF59" s="573"/>
      <c r="BG59" s="573"/>
      <c r="BH59" s="573"/>
      <c r="BI59" s="573"/>
      <c r="BJ59" s="573"/>
      <c r="BK59" s="573"/>
      <c r="BL59" s="573"/>
      <c r="BM59" s="573"/>
      <c r="BN59" s="573"/>
      <c r="BO59" s="573"/>
      <c r="BP59" s="573"/>
      <c r="BQ59" s="573"/>
      <c r="BR59" s="573"/>
      <c r="BS59" s="573"/>
      <c r="BT59" s="573"/>
      <c r="BU59" s="573"/>
      <c r="BV59" s="573"/>
      <c r="BW59" s="573"/>
      <c r="BX59" s="573"/>
      <c r="BY59" s="573"/>
      <c r="BZ59" s="573"/>
      <c r="CA59" s="573"/>
      <c r="CB59" s="573"/>
      <c r="CC59" s="573"/>
      <c r="CD59" s="573"/>
      <c r="CE59" s="573"/>
      <c r="CF59" s="573"/>
      <c r="CG59" s="573"/>
      <c r="CH59" s="573"/>
      <c r="CI59" s="573"/>
      <c r="CJ59" s="573"/>
      <c r="CK59" s="573"/>
      <c r="CL59" s="573"/>
      <c r="CM59" s="573"/>
      <c r="CN59" s="573"/>
      <c r="CO59" s="573"/>
      <c r="CP59" s="573"/>
      <c r="CQ59" s="573"/>
      <c r="CR59" s="573"/>
      <c r="CS59" s="573"/>
      <c r="CT59" s="573"/>
      <c r="CU59" s="573"/>
      <c r="CV59" s="573"/>
      <c r="CW59" s="573"/>
      <c r="CX59" s="573"/>
      <c r="CY59" s="573"/>
      <c r="CZ59" s="573"/>
      <c r="DA59" s="573"/>
      <c r="DB59" s="573"/>
      <c r="DC59" s="573"/>
      <c r="DD59" s="573"/>
      <c r="DE59" s="573"/>
      <c r="DF59" s="573"/>
      <c r="DG59" s="573"/>
      <c r="DH59" s="573"/>
      <c r="DI59" s="573"/>
      <c r="DJ59" s="573"/>
      <c r="DK59" s="573"/>
      <c r="DL59" s="573"/>
      <c r="DM59" s="573"/>
      <c r="DN59" s="573"/>
      <c r="DO59" s="573"/>
      <c r="DP59" s="573"/>
      <c r="DQ59" s="573"/>
      <c r="DR59" s="573"/>
      <c r="DS59" s="573"/>
      <c r="DT59" s="573"/>
      <c r="DU59" s="573"/>
      <c r="DV59" s="573"/>
      <c r="DW59" s="573"/>
      <c r="DX59" s="573"/>
      <c r="DY59" s="573"/>
      <c r="DZ59" s="573"/>
      <c r="EA59" s="573"/>
      <c r="EB59" s="573"/>
      <c r="EC59" s="573"/>
      <c r="ED59" s="573"/>
      <c r="EE59" s="573"/>
      <c r="EF59" s="573"/>
      <c r="EG59" s="573"/>
      <c r="EH59" s="573"/>
      <c r="EI59" s="573"/>
      <c r="EJ59" s="573"/>
      <c r="EK59" s="573"/>
      <c r="EL59" s="573"/>
      <c r="EM59" s="573"/>
      <c r="EN59" s="573"/>
      <c r="EO59" s="573"/>
      <c r="EP59" s="573"/>
      <c r="EQ59" s="573"/>
      <c r="ER59" s="573"/>
      <c r="ES59" s="573"/>
      <c r="ET59" s="573"/>
      <c r="EU59" s="573"/>
      <c r="EV59" s="573"/>
      <c r="EW59" s="573"/>
      <c r="EX59" s="573"/>
      <c r="EY59" s="573"/>
      <c r="EZ59" s="573"/>
      <c r="FA59" s="573"/>
      <c r="FB59" s="573"/>
      <c r="FC59" s="573"/>
      <c r="FD59" s="573"/>
      <c r="FE59" s="573"/>
      <c r="FF59" s="573"/>
      <c r="FG59" s="573"/>
      <c r="FH59" s="573"/>
      <c r="FI59" s="573"/>
      <c r="FJ59" s="573"/>
      <c r="FK59" s="573"/>
      <c r="FL59" s="573"/>
      <c r="FM59" s="573"/>
      <c r="FN59" s="573"/>
      <c r="FO59" s="573"/>
      <c r="FP59" s="573"/>
      <c r="FQ59" s="573"/>
      <c r="FR59" s="573"/>
      <c r="FS59" s="573"/>
      <c r="FT59" s="573"/>
      <c r="FU59" s="573"/>
      <c r="FV59" s="573"/>
      <c r="FW59" s="573"/>
      <c r="FX59" s="573"/>
      <c r="FY59" s="573"/>
      <c r="FZ59" s="573"/>
      <c r="GA59" s="573"/>
      <c r="GB59" s="573"/>
      <c r="GC59" s="573"/>
      <c r="GD59" s="573"/>
      <c r="GE59" s="573"/>
      <c r="GF59" s="573"/>
      <c r="GG59" s="573"/>
      <c r="GH59" s="573"/>
      <c r="GI59" s="573"/>
      <c r="GJ59" s="573"/>
      <c r="GK59" s="573"/>
      <c r="GL59" s="573"/>
      <c r="GM59" s="573"/>
      <c r="GN59" s="573"/>
      <c r="GO59" s="573"/>
      <c r="GP59" s="573"/>
      <c r="GQ59" s="573"/>
      <c r="GR59" s="573"/>
      <c r="GS59" s="573"/>
      <c r="GT59" s="573"/>
      <c r="GU59" s="573"/>
      <c r="GV59" s="573"/>
      <c r="GW59" s="573"/>
      <c r="GX59" s="573"/>
      <c r="GY59" s="573"/>
      <c r="GZ59" s="573"/>
      <c r="HA59" s="573"/>
      <c r="HB59" s="573"/>
      <c r="HC59" s="573"/>
      <c r="HD59" s="573"/>
      <c r="HE59" s="573"/>
      <c r="HF59" s="573"/>
      <c r="HG59" s="573"/>
      <c r="HH59" s="573"/>
      <c r="HI59" s="573"/>
      <c r="HJ59" s="573"/>
      <c r="HK59" s="573"/>
      <c r="HL59" s="573"/>
      <c r="HM59" s="573"/>
      <c r="HN59" s="573"/>
      <c r="HO59" s="573"/>
      <c r="HP59" s="573"/>
      <c r="HQ59" s="573"/>
      <c r="HR59" s="573"/>
      <c r="HS59" s="573"/>
      <c r="HT59" s="573"/>
      <c r="HU59" s="573"/>
      <c r="HV59" s="573"/>
      <c r="HW59" s="573"/>
      <c r="HX59" s="573"/>
      <c r="HY59" s="573"/>
      <c r="HZ59" s="573"/>
      <c r="IA59" s="573"/>
      <c r="IB59" s="573"/>
      <c r="IC59" s="573"/>
      <c r="ID59" s="573"/>
      <c r="IE59" s="573"/>
      <c r="IF59" s="573"/>
      <c r="IG59" s="573"/>
      <c r="IH59" s="573"/>
      <c r="II59" s="573"/>
      <c r="IJ59" s="573"/>
      <c r="IK59" s="573"/>
      <c r="IL59" s="573"/>
      <c r="IM59" s="573"/>
      <c r="IN59" s="573"/>
    </row>
  </sheetData>
  <sheetProtection selectLockedCells="1"/>
  <mergeCells count="18">
    <mergeCell ref="G30:G32"/>
    <mergeCell ref="H30:M30"/>
    <mergeCell ref="H31:H32"/>
    <mergeCell ref="I31:I32"/>
    <mergeCell ref="J31:J32"/>
    <mergeCell ref="K31:K32"/>
    <mergeCell ref="L31:L32"/>
    <mergeCell ref="M31:M32"/>
    <mergeCell ref="B7:E7"/>
    <mergeCell ref="F7:G7"/>
    <mergeCell ref="B8:E8"/>
    <mergeCell ref="F8:G8"/>
    <mergeCell ref="C13:L13"/>
    <mergeCell ref="B30:B32"/>
    <mergeCell ref="C30:C32"/>
    <mergeCell ref="D30:D32"/>
    <mergeCell ref="E30:E32"/>
    <mergeCell ref="F30:F32"/>
  </mergeCells>
  <pageMargins left="0.75" right="0.75" top="1" bottom="1" header="0.5" footer="0.5"/>
  <pageSetup scale="74" fitToHeight="0" orientation="landscape" r:id="rId1"/>
  <headerFooter alignWithMargins="0">
    <oddHeader xml:space="preserve">&amp;C&amp;"Arial,Bold"INTERNAL COMBUSTION ENGINES - POTENTIAL EMISSIONS (Criteria Pollutants Subject to BACT)
</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IP67"/>
  <sheetViews>
    <sheetView view="pageLayout" topLeftCell="A49" zoomScaleNormal="100" zoomScaleSheetLayoutView="50" workbookViewId="0">
      <selection activeCell="B56" sqref="B56"/>
    </sheetView>
  </sheetViews>
  <sheetFormatPr defaultRowHeight="12.75" customHeight="1" x14ac:dyDescent="0.2"/>
  <cols>
    <col min="1" max="1" width="6.42578125" style="578" customWidth="1"/>
    <col min="2" max="2" width="9.140625" style="578" customWidth="1"/>
    <col min="3" max="3" width="12.85546875" style="578" customWidth="1"/>
    <col min="4" max="4" width="23" style="578" customWidth="1"/>
    <col min="5" max="5" width="15.28515625" style="578" customWidth="1"/>
    <col min="6" max="6" width="12.5703125" style="578" customWidth="1"/>
    <col min="7" max="7" width="13.42578125" style="578" customWidth="1"/>
    <col min="8" max="8" width="11.7109375" style="578" customWidth="1"/>
    <col min="9" max="9" width="13.42578125" style="578" customWidth="1"/>
    <col min="10" max="10" width="12.85546875" style="578" hidden="1" customWidth="1"/>
    <col min="11" max="11" width="10.5703125" style="578" hidden="1" customWidth="1"/>
    <col min="12" max="12" width="10.7109375" style="578" customWidth="1"/>
    <col min="13" max="13" width="10.85546875" style="578" hidden="1" customWidth="1"/>
    <col min="14" max="14" width="10.28515625" style="573" customWidth="1"/>
    <col min="15" max="15" width="3.7109375" style="573" customWidth="1"/>
    <col min="16" max="255" width="9.140625" style="573"/>
    <col min="256" max="256" width="3.85546875" style="573" customWidth="1"/>
    <col min="257" max="257" width="20.7109375" style="573" customWidth="1"/>
    <col min="258" max="258" width="12.7109375" style="573" customWidth="1"/>
    <col min="259" max="259" width="12.42578125" style="573" customWidth="1"/>
    <col min="260" max="260" width="13.28515625" style="573" customWidth="1"/>
    <col min="261" max="261" width="16" style="573" customWidth="1"/>
    <col min="262" max="262" width="12.7109375" style="573" customWidth="1"/>
    <col min="263" max="263" width="13.42578125" style="573" customWidth="1"/>
    <col min="264" max="264" width="9.42578125" style="573" customWidth="1"/>
    <col min="265" max="265" width="10" style="573" customWidth="1"/>
    <col min="266" max="270" width="10.7109375" style="573" customWidth="1"/>
    <col min="271" max="511" width="9.140625" style="573"/>
    <col min="512" max="512" width="3.85546875" style="573" customWidth="1"/>
    <col min="513" max="513" width="20.7109375" style="573" customWidth="1"/>
    <col min="514" max="514" width="12.7109375" style="573" customWidth="1"/>
    <col min="515" max="515" width="12.42578125" style="573" customWidth="1"/>
    <col min="516" max="516" width="13.28515625" style="573" customWidth="1"/>
    <col min="517" max="517" width="16" style="573" customWidth="1"/>
    <col min="518" max="518" width="12.7109375" style="573" customWidth="1"/>
    <col min="519" max="519" width="13.42578125" style="573" customWidth="1"/>
    <col min="520" max="520" width="9.42578125" style="573" customWidth="1"/>
    <col min="521" max="521" width="10" style="573" customWidth="1"/>
    <col min="522" max="526" width="10.7109375" style="573" customWidth="1"/>
    <col min="527" max="767" width="9.140625" style="573"/>
    <col min="768" max="768" width="3.85546875" style="573" customWidth="1"/>
    <col min="769" max="769" width="20.7109375" style="573" customWidth="1"/>
    <col min="770" max="770" width="12.7109375" style="573" customWidth="1"/>
    <col min="771" max="771" width="12.42578125" style="573" customWidth="1"/>
    <col min="772" max="772" width="13.28515625" style="573" customWidth="1"/>
    <col min="773" max="773" width="16" style="573" customWidth="1"/>
    <col min="774" max="774" width="12.7109375" style="573" customWidth="1"/>
    <col min="775" max="775" width="13.42578125" style="573" customWidth="1"/>
    <col min="776" max="776" width="9.42578125" style="573" customWidth="1"/>
    <col min="777" max="777" width="10" style="573" customWidth="1"/>
    <col min="778" max="782" width="10.7109375" style="573" customWidth="1"/>
    <col min="783" max="1023" width="9.140625" style="573"/>
    <col min="1024" max="1024" width="3.85546875" style="573" customWidth="1"/>
    <col min="1025" max="1025" width="20.7109375" style="573" customWidth="1"/>
    <col min="1026" max="1026" width="12.7109375" style="573" customWidth="1"/>
    <col min="1027" max="1027" width="12.42578125" style="573" customWidth="1"/>
    <col min="1028" max="1028" width="13.28515625" style="573" customWidth="1"/>
    <col min="1029" max="1029" width="16" style="573" customWidth="1"/>
    <col min="1030" max="1030" width="12.7109375" style="573" customWidth="1"/>
    <col min="1031" max="1031" width="13.42578125" style="573" customWidth="1"/>
    <col min="1032" max="1032" width="9.42578125" style="573" customWidth="1"/>
    <col min="1033" max="1033" width="10" style="573" customWidth="1"/>
    <col min="1034" max="1038" width="10.7109375" style="573" customWidth="1"/>
    <col min="1039" max="1279" width="9.140625" style="573"/>
    <col min="1280" max="1280" width="3.85546875" style="573" customWidth="1"/>
    <col min="1281" max="1281" width="20.7109375" style="573" customWidth="1"/>
    <col min="1282" max="1282" width="12.7109375" style="573" customWidth="1"/>
    <col min="1283" max="1283" width="12.42578125" style="573" customWidth="1"/>
    <col min="1284" max="1284" width="13.28515625" style="573" customWidth="1"/>
    <col min="1285" max="1285" width="16" style="573" customWidth="1"/>
    <col min="1286" max="1286" width="12.7109375" style="573" customWidth="1"/>
    <col min="1287" max="1287" width="13.42578125" style="573" customWidth="1"/>
    <col min="1288" max="1288" width="9.42578125" style="573" customWidth="1"/>
    <col min="1289" max="1289" width="10" style="573" customWidth="1"/>
    <col min="1290" max="1294" width="10.7109375" style="573" customWidth="1"/>
    <col min="1295" max="1535" width="9.140625" style="573"/>
    <col min="1536" max="1536" width="3.85546875" style="573" customWidth="1"/>
    <col min="1537" max="1537" width="20.7109375" style="573" customWidth="1"/>
    <col min="1538" max="1538" width="12.7109375" style="573" customWidth="1"/>
    <col min="1539" max="1539" width="12.42578125" style="573" customWidth="1"/>
    <col min="1540" max="1540" width="13.28515625" style="573" customWidth="1"/>
    <col min="1541" max="1541" width="16" style="573" customWidth="1"/>
    <col min="1542" max="1542" width="12.7109375" style="573" customWidth="1"/>
    <col min="1543" max="1543" width="13.42578125" style="573" customWidth="1"/>
    <col min="1544" max="1544" width="9.42578125" style="573" customWidth="1"/>
    <col min="1545" max="1545" width="10" style="573" customWidth="1"/>
    <col min="1546" max="1550" width="10.7109375" style="573" customWidth="1"/>
    <col min="1551" max="1791" width="9.140625" style="573"/>
    <col min="1792" max="1792" width="3.85546875" style="573" customWidth="1"/>
    <col min="1793" max="1793" width="20.7109375" style="573" customWidth="1"/>
    <col min="1794" max="1794" width="12.7109375" style="573" customWidth="1"/>
    <col min="1795" max="1795" width="12.42578125" style="573" customWidth="1"/>
    <col min="1796" max="1796" width="13.28515625" style="573" customWidth="1"/>
    <col min="1797" max="1797" width="16" style="573" customWidth="1"/>
    <col min="1798" max="1798" width="12.7109375" style="573" customWidth="1"/>
    <col min="1799" max="1799" width="13.42578125" style="573" customWidth="1"/>
    <col min="1800" max="1800" width="9.42578125" style="573" customWidth="1"/>
    <col min="1801" max="1801" width="10" style="573" customWidth="1"/>
    <col min="1802" max="1806" width="10.7109375" style="573" customWidth="1"/>
    <col min="1807" max="2047" width="9.140625" style="573"/>
    <col min="2048" max="2048" width="3.85546875" style="573" customWidth="1"/>
    <col min="2049" max="2049" width="20.7109375" style="573" customWidth="1"/>
    <col min="2050" max="2050" width="12.7109375" style="573" customWidth="1"/>
    <col min="2051" max="2051" width="12.42578125" style="573" customWidth="1"/>
    <col min="2052" max="2052" width="13.28515625" style="573" customWidth="1"/>
    <col min="2053" max="2053" width="16" style="573" customWidth="1"/>
    <col min="2054" max="2054" width="12.7109375" style="573" customWidth="1"/>
    <col min="2055" max="2055" width="13.42578125" style="573" customWidth="1"/>
    <col min="2056" max="2056" width="9.42578125" style="573" customWidth="1"/>
    <col min="2057" max="2057" width="10" style="573" customWidth="1"/>
    <col min="2058" max="2062" width="10.7109375" style="573" customWidth="1"/>
    <col min="2063" max="2303" width="9.140625" style="573"/>
    <col min="2304" max="2304" width="3.85546875" style="573" customWidth="1"/>
    <col min="2305" max="2305" width="20.7109375" style="573" customWidth="1"/>
    <col min="2306" max="2306" width="12.7109375" style="573" customWidth="1"/>
    <col min="2307" max="2307" width="12.42578125" style="573" customWidth="1"/>
    <col min="2308" max="2308" width="13.28515625" style="573" customWidth="1"/>
    <col min="2309" max="2309" width="16" style="573" customWidth="1"/>
    <col min="2310" max="2310" width="12.7109375" style="573" customWidth="1"/>
    <col min="2311" max="2311" width="13.42578125" style="573" customWidth="1"/>
    <col min="2312" max="2312" width="9.42578125" style="573" customWidth="1"/>
    <col min="2313" max="2313" width="10" style="573" customWidth="1"/>
    <col min="2314" max="2318" width="10.7109375" style="573" customWidth="1"/>
    <col min="2319" max="2559" width="9.140625" style="573"/>
    <col min="2560" max="2560" width="3.85546875" style="573" customWidth="1"/>
    <col min="2561" max="2561" width="20.7109375" style="573" customWidth="1"/>
    <col min="2562" max="2562" width="12.7109375" style="573" customWidth="1"/>
    <col min="2563" max="2563" width="12.42578125" style="573" customWidth="1"/>
    <col min="2564" max="2564" width="13.28515625" style="573" customWidth="1"/>
    <col min="2565" max="2565" width="16" style="573" customWidth="1"/>
    <col min="2566" max="2566" width="12.7109375" style="573" customWidth="1"/>
    <col min="2567" max="2567" width="13.42578125" style="573" customWidth="1"/>
    <col min="2568" max="2568" width="9.42578125" style="573" customWidth="1"/>
    <col min="2569" max="2569" width="10" style="573" customWidth="1"/>
    <col min="2570" max="2574" width="10.7109375" style="573" customWidth="1"/>
    <col min="2575" max="2815" width="9.140625" style="573"/>
    <col min="2816" max="2816" width="3.85546875" style="573" customWidth="1"/>
    <col min="2817" max="2817" width="20.7109375" style="573" customWidth="1"/>
    <col min="2818" max="2818" width="12.7109375" style="573" customWidth="1"/>
    <col min="2819" max="2819" width="12.42578125" style="573" customWidth="1"/>
    <col min="2820" max="2820" width="13.28515625" style="573" customWidth="1"/>
    <col min="2821" max="2821" width="16" style="573" customWidth="1"/>
    <col min="2822" max="2822" width="12.7109375" style="573" customWidth="1"/>
    <col min="2823" max="2823" width="13.42578125" style="573" customWidth="1"/>
    <col min="2824" max="2824" width="9.42578125" style="573" customWidth="1"/>
    <col min="2825" max="2825" width="10" style="573" customWidth="1"/>
    <col min="2826" max="2830" width="10.7109375" style="573" customWidth="1"/>
    <col min="2831" max="3071" width="9.140625" style="573"/>
    <col min="3072" max="3072" width="3.85546875" style="573" customWidth="1"/>
    <col min="3073" max="3073" width="20.7109375" style="573" customWidth="1"/>
    <col min="3074" max="3074" width="12.7109375" style="573" customWidth="1"/>
    <col min="3075" max="3075" width="12.42578125" style="573" customWidth="1"/>
    <col min="3076" max="3076" width="13.28515625" style="573" customWidth="1"/>
    <col min="3077" max="3077" width="16" style="573" customWidth="1"/>
    <col min="3078" max="3078" width="12.7109375" style="573" customWidth="1"/>
    <col min="3079" max="3079" width="13.42578125" style="573" customWidth="1"/>
    <col min="3080" max="3080" width="9.42578125" style="573" customWidth="1"/>
    <col min="3081" max="3081" width="10" style="573" customWidth="1"/>
    <col min="3082" max="3086" width="10.7109375" style="573" customWidth="1"/>
    <col min="3087" max="3327" width="9.140625" style="573"/>
    <col min="3328" max="3328" width="3.85546875" style="573" customWidth="1"/>
    <col min="3329" max="3329" width="20.7109375" style="573" customWidth="1"/>
    <col min="3330" max="3330" width="12.7109375" style="573" customWidth="1"/>
    <col min="3331" max="3331" width="12.42578125" style="573" customWidth="1"/>
    <col min="3332" max="3332" width="13.28515625" style="573" customWidth="1"/>
    <col min="3333" max="3333" width="16" style="573" customWidth="1"/>
    <col min="3334" max="3334" width="12.7109375" style="573" customWidth="1"/>
    <col min="3335" max="3335" width="13.42578125" style="573" customWidth="1"/>
    <col min="3336" max="3336" width="9.42578125" style="573" customWidth="1"/>
    <col min="3337" max="3337" width="10" style="573" customWidth="1"/>
    <col min="3338" max="3342" width="10.7109375" style="573" customWidth="1"/>
    <col min="3343" max="3583" width="9.140625" style="573"/>
    <col min="3584" max="3584" width="3.85546875" style="573" customWidth="1"/>
    <col min="3585" max="3585" width="20.7109375" style="573" customWidth="1"/>
    <col min="3586" max="3586" width="12.7109375" style="573" customWidth="1"/>
    <col min="3587" max="3587" width="12.42578125" style="573" customWidth="1"/>
    <col min="3588" max="3588" width="13.28515625" style="573" customWidth="1"/>
    <col min="3589" max="3589" width="16" style="573" customWidth="1"/>
    <col min="3590" max="3590" width="12.7109375" style="573" customWidth="1"/>
    <col min="3591" max="3591" width="13.42578125" style="573" customWidth="1"/>
    <col min="3592" max="3592" width="9.42578125" style="573" customWidth="1"/>
    <col min="3593" max="3593" width="10" style="573" customWidth="1"/>
    <col min="3594" max="3598" width="10.7109375" style="573" customWidth="1"/>
    <col min="3599" max="3839" width="9.140625" style="573"/>
    <col min="3840" max="3840" width="3.85546875" style="573" customWidth="1"/>
    <col min="3841" max="3841" width="20.7109375" style="573" customWidth="1"/>
    <col min="3842" max="3842" width="12.7109375" style="573" customWidth="1"/>
    <col min="3843" max="3843" width="12.42578125" style="573" customWidth="1"/>
    <col min="3844" max="3844" width="13.28515625" style="573" customWidth="1"/>
    <col min="3845" max="3845" width="16" style="573" customWidth="1"/>
    <col min="3846" max="3846" width="12.7109375" style="573" customWidth="1"/>
    <col min="3847" max="3847" width="13.42578125" style="573" customWidth="1"/>
    <col min="3848" max="3848" width="9.42578125" style="573" customWidth="1"/>
    <col min="3849" max="3849" width="10" style="573" customWidth="1"/>
    <col min="3850" max="3854" width="10.7109375" style="573" customWidth="1"/>
    <col min="3855" max="4095" width="9.140625" style="573"/>
    <col min="4096" max="4096" width="3.85546875" style="573" customWidth="1"/>
    <col min="4097" max="4097" width="20.7109375" style="573" customWidth="1"/>
    <col min="4098" max="4098" width="12.7109375" style="573" customWidth="1"/>
    <col min="4099" max="4099" width="12.42578125" style="573" customWidth="1"/>
    <col min="4100" max="4100" width="13.28515625" style="573" customWidth="1"/>
    <col min="4101" max="4101" width="16" style="573" customWidth="1"/>
    <col min="4102" max="4102" width="12.7109375" style="573" customWidth="1"/>
    <col min="4103" max="4103" width="13.42578125" style="573" customWidth="1"/>
    <col min="4104" max="4104" width="9.42578125" style="573" customWidth="1"/>
    <col min="4105" max="4105" width="10" style="573" customWidth="1"/>
    <col min="4106" max="4110" width="10.7109375" style="573" customWidth="1"/>
    <col min="4111" max="4351" width="9.140625" style="573"/>
    <col min="4352" max="4352" width="3.85546875" style="573" customWidth="1"/>
    <col min="4353" max="4353" width="20.7109375" style="573" customWidth="1"/>
    <col min="4354" max="4354" width="12.7109375" style="573" customWidth="1"/>
    <col min="4355" max="4355" width="12.42578125" style="573" customWidth="1"/>
    <col min="4356" max="4356" width="13.28515625" style="573" customWidth="1"/>
    <col min="4357" max="4357" width="16" style="573" customWidth="1"/>
    <col min="4358" max="4358" width="12.7109375" style="573" customWidth="1"/>
    <col min="4359" max="4359" width="13.42578125" style="573" customWidth="1"/>
    <col min="4360" max="4360" width="9.42578125" style="573" customWidth="1"/>
    <col min="4361" max="4361" width="10" style="573" customWidth="1"/>
    <col min="4362" max="4366" width="10.7109375" style="573" customWidth="1"/>
    <col min="4367" max="4607" width="9.140625" style="573"/>
    <col min="4608" max="4608" width="3.85546875" style="573" customWidth="1"/>
    <col min="4609" max="4609" width="20.7109375" style="573" customWidth="1"/>
    <col min="4610" max="4610" width="12.7109375" style="573" customWidth="1"/>
    <col min="4611" max="4611" width="12.42578125" style="573" customWidth="1"/>
    <col min="4612" max="4612" width="13.28515625" style="573" customWidth="1"/>
    <col min="4613" max="4613" width="16" style="573" customWidth="1"/>
    <col min="4614" max="4614" width="12.7109375" style="573" customWidth="1"/>
    <col min="4615" max="4615" width="13.42578125" style="573" customWidth="1"/>
    <col min="4616" max="4616" width="9.42578125" style="573" customWidth="1"/>
    <col min="4617" max="4617" width="10" style="573" customWidth="1"/>
    <col min="4618" max="4622" width="10.7109375" style="573" customWidth="1"/>
    <col min="4623" max="4863" width="9.140625" style="573"/>
    <col min="4864" max="4864" width="3.85546875" style="573" customWidth="1"/>
    <col min="4865" max="4865" width="20.7109375" style="573" customWidth="1"/>
    <col min="4866" max="4866" width="12.7109375" style="573" customWidth="1"/>
    <col min="4867" max="4867" width="12.42578125" style="573" customWidth="1"/>
    <col min="4868" max="4868" width="13.28515625" style="573" customWidth="1"/>
    <col min="4869" max="4869" width="16" style="573" customWidth="1"/>
    <col min="4870" max="4870" width="12.7109375" style="573" customWidth="1"/>
    <col min="4871" max="4871" width="13.42578125" style="573" customWidth="1"/>
    <col min="4872" max="4872" width="9.42578125" style="573" customWidth="1"/>
    <col min="4873" max="4873" width="10" style="573" customWidth="1"/>
    <col min="4874" max="4878" width="10.7109375" style="573" customWidth="1"/>
    <col min="4879" max="5119" width="9.140625" style="573"/>
    <col min="5120" max="5120" width="3.85546875" style="573" customWidth="1"/>
    <col min="5121" max="5121" width="20.7109375" style="573" customWidth="1"/>
    <col min="5122" max="5122" width="12.7109375" style="573" customWidth="1"/>
    <col min="5123" max="5123" width="12.42578125" style="573" customWidth="1"/>
    <col min="5124" max="5124" width="13.28515625" style="573" customWidth="1"/>
    <col min="5125" max="5125" width="16" style="573" customWidth="1"/>
    <col min="5126" max="5126" width="12.7109375" style="573" customWidth="1"/>
    <col min="5127" max="5127" width="13.42578125" style="573" customWidth="1"/>
    <col min="5128" max="5128" width="9.42578125" style="573" customWidth="1"/>
    <col min="5129" max="5129" width="10" style="573" customWidth="1"/>
    <col min="5130" max="5134" width="10.7109375" style="573" customWidth="1"/>
    <col min="5135" max="5375" width="9.140625" style="573"/>
    <col min="5376" max="5376" width="3.85546875" style="573" customWidth="1"/>
    <col min="5377" max="5377" width="20.7109375" style="573" customWidth="1"/>
    <col min="5378" max="5378" width="12.7109375" style="573" customWidth="1"/>
    <col min="5379" max="5379" width="12.42578125" style="573" customWidth="1"/>
    <col min="5380" max="5380" width="13.28515625" style="573" customWidth="1"/>
    <col min="5381" max="5381" width="16" style="573" customWidth="1"/>
    <col min="5382" max="5382" width="12.7109375" style="573" customWidth="1"/>
    <col min="5383" max="5383" width="13.42578125" style="573" customWidth="1"/>
    <col min="5384" max="5384" width="9.42578125" style="573" customWidth="1"/>
    <col min="5385" max="5385" width="10" style="573" customWidth="1"/>
    <col min="5386" max="5390" width="10.7109375" style="573" customWidth="1"/>
    <col min="5391" max="5631" width="9.140625" style="573"/>
    <col min="5632" max="5632" width="3.85546875" style="573" customWidth="1"/>
    <col min="5633" max="5633" width="20.7109375" style="573" customWidth="1"/>
    <col min="5634" max="5634" width="12.7109375" style="573" customWidth="1"/>
    <col min="5635" max="5635" width="12.42578125" style="573" customWidth="1"/>
    <col min="5636" max="5636" width="13.28515625" style="573" customWidth="1"/>
    <col min="5637" max="5637" width="16" style="573" customWidth="1"/>
    <col min="5638" max="5638" width="12.7109375" style="573" customWidth="1"/>
    <col min="5639" max="5639" width="13.42578125" style="573" customWidth="1"/>
    <col min="5640" max="5640" width="9.42578125" style="573" customWidth="1"/>
    <col min="5641" max="5641" width="10" style="573" customWidth="1"/>
    <col min="5642" max="5646" width="10.7109375" style="573" customWidth="1"/>
    <col min="5647" max="5887" width="9.140625" style="573"/>
    <col min="5888" max="5888" width="3.85546875" style="573" customWidth="1"/>
    <col min="5889" max="5889" width="20.7109375" style="573" customWidth="1"/>
    <col min="5890" max="5890" width="12.7109375" style="573" customWidth="1"/>
    <col min="5891" max="5891" width="12.42578125" style="573" customWidth="1"/>
    <col min="5892" max="5892" width="13.28515625" style="573" customWidth="1"/>
    <col min="5893" max="5893" width="16" style="573" customWidth="1"/>
    <col min="5894" max="5894" width="12.7109375" style="573" customWidth="1"/>
    <col min="5895" max="5895" width="13.42578125" style="573" customWidth="1"/>
    <col min="5896" max="5896" width="9.42578125" style="573" customWidth="1"/>
    <col min="5897" max="5897" width="10" style="573" customWidth="1"/>
    <col min="5898" max="5902" width="10.7109375" style="573" customWidth="1"/>
    <col min="5903" max="6143" width="9.140625" style="573"/>
    <col min="6144" max="6144" width="3.85546875" style="573" customWidth="1"/>
    <col min="6145" max="6145" width="20.7109375" style="573" customWidth="1"/>
    <col min="6146" max="6146" width="12.7109375" style="573" customWidth="1"/>
    <col min="6147" max="6147" width="12.42578125" style="573" customWidth="1"/>
    <col min="6148" max="6148" width="13.28515625" style="573" customWidth="1"/>
    <col min="6149" max="6149" width="16" style="573" customWidth="1"/>
    <col min="6150" max="6150" width="12.7109375" style="573" customWidth="1"/>
    <col min="6151" max="6151" width="13.42578125" style="573" customWidth="1"/>
    <col min="6152" max="6152" width="9.42578125" style="573" customWidth="1"/>
    <col min="6153" max="6153" width="10" style="573" customWidth="1"/>
    <col min="6154" max="6158" width="10.7109375" style="573" customWidth="1"/>
    <col min="6159" max="6399" width="9.140625" style="573"/>
    <col min="6400" max="6400" width="3.85546875" style="573" customWidth="1"/>
    <col min="6401" max="6401" width="20.7109375" style="573" customWidth="1"/>
    <col min="6402" max="6402" width="12.7109375" style="573" customWidth="1"/>
    <col min="6403" max="6403" width="12.42578125" style="573" customWidth="1"/>
    <col min="6404" max="6404" width="13.28515625" style="573" customWidth="1"/>
    <col min="6405" max="6405" width="16" style="573" customWidth="1"/>
    <col min="6406" max="6406" width="12.7109375" style="573" customWidth="1"/>
    <col min="6407" max="6407" width="13.42578125" style="573" customWidth="1"/>
    <col min="6408" max="6408" width="9.42578125" style="573" customWidth="1"/>
    <col min="6409" max="6409" width="10" style="573" customWidth="1"/>
    <col min="6410" max="6414" width="10.7109375" style="573" customWidth="1"/>
    <col min="6415" max="6655" width="9.140625" style="573"/>
    <col min="6656" max="6656" width="3.85546875" style="573" customWidth="1"/>
    <col min="6657" max="6657" width="20.7109375" style="573" customWidth="1"/>
    <col min="6658" max="6658" width="12.7109375" style="573" customWidth="1"/>
    <col min="6659" max="6659" width="12.42578125" style="573" customWidth="1"/>
    <col min="6660" max="6660" width="13.28515625" style="573" customWidth="1"/>
    <col min="6661" max="6661" width="16" style="573" customWidth="1"/>
    <col min="6662" max="6662" width="12.7109375" style="573" customWidth="1"/>
    <col min="6663" max="6663" width="13.42578125" style="573" customWidth="1"/>
    <col min="6664" max="6664" width="9.42578125" style="573" customWidth="1"/>
    <col min="6665" max="6665" width="10" style="573" customWidth="1"/>
    <col min="6666" max="6670" width="10.7109375" style="573" customWidth="1"/>
    <col min="6671" max="6911" width="9.140625" style="573"/>
    <col min="6912" max="6912" width="3.85546875" style="573" customWidth="1"/>
    <col min="6913" max="6913" width="20.7109375" style="573" customWidth="1"/>
    <col min="6914" max="6914" width="12.7109375" style="573" customWidth="1"/>
    <col min="6915" max="6915" width="12.42578125" style="573" customWidth="1"/>
    <col min="6916" max="6916" width="13.28515625" style="573" customWidth="1"/>
    <col min="6917" max="6917" width="16" style="573" customWidth="1"/>
    <col min="6918" max="6918" width="12.7109375" style="573" customWidth="1"/>
    <col min="6919" max="6919" width="13.42578125" style="573" customWidth="1"/>
    <col min="6920" max="6920" width="9.42578125" style="573" customWidth="1"/>
    <col min="6921" max="6921" width="10" style="573" customWidth="1"/>
    <col min="6922" max="6926" width="10.7109375" style="573" customWidth="1"/>
    <col min="6927" max="7167" width="9.140625" style="573"/>
    <col min="7168" max="7168" width="3.85546875" style="573" customWidth="1"/>
    <col min="7169" max="7169" width="20.7109375" style="573" customWidth="1"/>
    <col min="7170" max="7170" width="12.7109375" style="573" customWidth="1"/>
    <col min="7171" max="7171" width="12.42578125" style="573" customWidth="1"/>
    <col min="7172" max="7172" width="13.28515625" style="573" customWidth="1"/>
    <col min="7173" max="7173" width="16" style="573" customWidth="1"/>
    <col min="7174" max="7174" width="12.7109375" style="573" customWidth="1"/>
    <col min="7175" max="7175" width="13.42578125" style="573" customWidth="1"/>
    <col min="7176" max="7176" width="9.42578125" style="573" customWidth="1"/>
    <col min="7177" max="7177" width="10" style="573" customWidth="1"/>
    <col min="7178" max="7182" width="10.7109375" style="573" customWidth="1"/>
    <col min="7183" max="7423" width="9.140625" style="573"/>
    <col min="7424" max="7424" width="3.85546875" style="573" customWidth="1"/>
    <col min="7425" max="7425" width="20.7109375" style="573" customWidth="1"/>
    <col min="7426" max="7426" width="12.7109375" style="573" customWidth="1"/>
    <col min="7427" max="7427" width="12.42578125" style="573" customWidth="1"/>
    <col min="7428" max="7428" width="13.28515625" style="573" customWidth="1"/>
    <col min="7429" max="7429" width="16" style="573" customWidth="1"/>
    <col min="7430" max="7430" width="12.7109375" style="573" customWidth="1"/>
    <col min="7431" max="7431" width="13.42578125" style="573" customWidth="1"/>
    <col min="7432" max="7432" width="9.42578125" style="573" customWidth="1"/>
    <col min="7433" max="7433" width="10" style="573" customWidth="1"/>
    <col min="7434" max="7438" width="10.7109375" style="573" customWidth="1"/>
    <col min="7439" max="7679" width="9.140625" style="573"/>
    <col min="7680" max="7680" width="3.85546875" style="573" customWidth="1"/>
    <col min="7681" max="7681" width="20.7109375" style="573" customWidth="1"/>
    <col min="7682" max="7682" width="12.7109375" style="573" customWidth="1"/>
    <col min="7683" max="7683" width="12.42578125" style="573" customWidth="1"/>
    <col min="7684" max="7684" width="13.28515625" style="573" customWidth="1"/>
    <col min="7685" max="7685" width="16" style="573" customWidth="1"/>
    <col min="7686" max="7686" width="12.7109375" style="573" customWidth="1"/>
    <col min="7687" max="7687" width="13.42578125" style="573" customWidth="1"/>
    <col min="7688" max="7688" width="9.42578125" style="573" customWidth="1"/>
    <col min="7689" max="7689" width="10" style="573" customWidth="1"/>
    <col min="7690" max="7694" width="10.7109375" style="573" customWidth="1"/>
    <col min="7695" max="7935" width="9.140625" style="573"/>
    <col min="7936" max="7936" width="3.85546875" style="573" customWidth="1"/>
    <col min="7937" max="7937" width="20.7109375" style="573" customWidth="1"/>
    <col min="7938" max="7938" width="12.7109375" style="573" customWidth="1"/>
    <col min="7939" max="7939" width="12.42578125" style="573" customWidth="1"/>
    <col min="7940" max="7940" width="13.28515625" style="573" customWidth="1"/>
    <col min="7941" max="7941" width="16" style="573" customWidth="1"/>
    <col min="7942" max="7942" width="12.7109375" style="573" customWidth="1"/>
    <col min="7943" max="7943" width="13.42578125" style="573" customWidth="1"/>
    <col min="7944" max="7944" width="9.42578125" style="573" customWidth="1"/>
    <col min="7945" max="7945" width="10" style="573" customWidth="1"/>
    <col min="7946" max="7950" width="10.7109375" style="573" customWidth="1"/>
    <col min="7951" max="8191" width="9.140625" style="573"/>
    <col min="8192" max="8192" width="3.85546875" style="573" customWidth="1"/>
    <col min="8193" max="8193" width="20.7109375" style="573" customWidth="1"/>
    <col min="8194" max="8194" width="12.7109375" style="573" customWidth="1"/>
    <col min="8195" max="8195" width="12.42578125" style="573" customWidth="1"/>
    <col min="8196" max="8196" width="13.28515625" style="573" customWidth="1"/>
    <col min="8197" max="8197" width="16" style="573" customWidth="1"/>
    <col min="8198" max="8198" width="12.7109375" style="573" customWidth="1"/>
    <col min="8199" max="8199" width="13.42578125" style="573" customWidth="1"/>
    <col min="8200" max="8200" width="9.42578125" style="573" customWidth="1"/>
    <col min="8201" max="8201" width="10" style="573" customWidth="1"/>
    <col min="8202" max="8206" width="10.7109375" style="573" customWidth="1"/>
    <col min="8207" max="8447" width="9.140625" style="573"/>
    <col min="8448" max="8448" width="3.85546875" style="573" customWidth="1"/>
    <col min="8449" max="8449" width="20.7109375" style="573" customWidth="1"/>
    <col min="8450" max="8450" width="12.7109375" style="573" customWidth="1"/>
    <col min="8451" max="8451" width="12.42578125" style="573" customWidth="1"/>
    <col min="8452" max="8452" width="13.28515625" style="573" customWidth="1"/>
    <col min="8453" max="8453" width="16" style="573" customWidth="1"/>
    <col min="8454" max="8454" width="12.7109375" style="573" customWidth="1"/>
    <col min="8455" max="8455" width="13.42578125" style="573" customWidth="1"/>
    <col min="8456" max="8456" width="9.42578125" style="573" customWidth="1"/>
    <col min="8457" max="8457" width="10" style="573" customWidth="1"/>
    <col min="8458" max="8462" width="10.7109375" style="573" customWidth="1"/>
    <col min="8463" max="8703" width="9.140625" style="573"/>
    <col min="8704" max="8704" width="3.85546875" style="573" customWidth="1"/>
    <col min="8705" max="8705" width="20.7109375" style="573" customWidth="1"/>
    <col min="8706" max="8706" width="12.7109375" style="573" customWidth="1"/>
    <col min="8707" max="8707" width="12.42578125" style="573" customWidth="1"/>
    <col min="8708" max="8708" width="13.28515625" style="573" customWidth="1"/>
    <col min="8709" max="8709" width="16" style="573" customWidth="1"/>
    <col min="8710" max="8710" width="12.7109375" style="573" customWidth="1"/>
    <col min="8711" max="8711" width="13.42578125" style="573" customWidth="1"/>
    <col min="8712" max="8712" width="9.42578125" style="573" customWidth="1"/>
    <col min="8713" max="8713" width="10" style="573" customWidth="1"/>
    <col min="8714" max="8718" width="10.7109375" style="573" customWidth="1"/>
    <col min="8719" max="8959" width="9.140625" style="573"/>
    <col min="8960" max="8960" width="3.85546875" style="573" customWidth="1"/>
    <col min="8961" max="8961" width="20.7109375" style="573" customWidth="1"/>
    <col min="8962" max="8962" width="12.7109375" style="573" customWidth="1"/>
    <col min="8963" max="8963" width="12.42578125" style="573" customWidth="1"/>
    <col min="8964" max="8964" width="13.28515625" style="573" customWidth="1"/>
    <col min="8965" max="8965" width="16" style="573" customWidth="1"/>
    <col min="8966" max="8966" width="12.7109375" style="573" customWidth="1"/>
    <col min="8967" max="8967" width="13.42578125" style="573" customWidth="1"/>
    <col min="8968" max="8968" width="9.42578125" style="573" customWidth="1"/>
    <col min="8969" max="8969" width="10" style="573" customWidth="1"/>
    <col min="8970" max="8974" width="10.7109375" style="573" customWidth="1"/>
    <col min="8975" max="9215" width="9.140625" style="573"/>
    <col min="9216" max="9216" width="3.85546875" style="573" customWidth="1"/>
    <col min="9217" max="9217" width="20.7109375" style="573" customWidth="1"/>
    <col min="9218" max="9218" width="12.7109375" style="573" customWidth="1"/>
    <col min="9219" max="9219" width="12.42578125" style="573" customWidth="1"/>
    <col min="9220" max="9220" width="13.28515625" style="573" customWidth="1"/>
    <col min="9221" max="9221" width="16" style="573" customWidth="1"/>
    <col min="9222" max="9222" width="12.7109375" style="573" customWidth="1"/>
    <col min="9223" max="9223" width="13.42578125" style="573" customWidth="1"/>
    <col min="9224" max="9224" width="9.42578125" style="573" customWidth="1"/>
    <col min="9225" max="9225" width="10" style="573" customWidth="1"/>
    <col min="9226" max="9230" width="10.7109375" style="573" customWidth="1"/>
    <col min="9231" max="9471" width="9.140625" style="573"/>
    <col min="9472" max="9472" width="3.85546875" style="573" customWidth="1"/>
    <col min="9473" max="9473" width="20.7109375" style="573" customWidth="1"/>
    <col min="9474" max="9474" width="12.7109375" style="573" customWidth="1"/>
    <col min="9475" max="9475" width="12.42578125" style="573" customWidth="1"/>
    <col min="9476" max="9476" width="13.28515625" style="573" customWidth="1"/>
    <col min="9477" max="9477" width="16" style="573" customWidth="1"/>
    <col min="9478" max="9478" width="12.7109375" style="573" customWidth="1"/>
    <col min="9479" max="9479" width="13.42578125" style="573" customWidth="1"/>
    <col min="9480" max="9480" width="9.42578125" style="573" customWidth="1"/>
    <col min="9481" max="9481" width="10" style="573" customWidth="1"/>
    <col min="9482" max="9486" width="10.7109375" style="573" customWidth="1"/>
    <col min="9487" max="9727" width="9.140625" style="573"/>
    <col min="9728" max="9728" width="3.85546875" style="573" customWidth="1"/>
    <col min="9729" max="9729" width="20.7109375" style="573" customWidth="1"/>
    <col min="9730" max="9730" width="12.7109375" style="573" customWidth="1"/>
    <col min="9731" max="9731" width="12.42578125" style="573" customWidth="1"/>
    <col min="9732" max="9732" width="13.28515625" style="573" customWidth="1"/>
    <col min="9733" max="9733" width="16" style="573" customWidth="1"/>
    <col min="9734" max="9734" width="12.7109375" style="573" customWidth="1"/>
    <col min="9735" max="9735" width="13.42578125" style="573" customWidth="1"/>
    <col min="9736" max="9736" width="9.42578125" style="573" customWidth="1"/>
    <col min="9737" max="9737" width="10" style="573" customWidth="1"/>
    <col min="9738" max="9742" width="10.7109375" style="573" customWidth="1"/>
    <col min="9743" max="9983" width="9.140625" style="573"/>
    <col min="9984" max="9984" width="3.85546875" style="573" customWidth="1"/>
    <col min="9985" max="9985" width="20.7109375" style="573" customWidth="1"/>
    <col min="9986" max="9986" width="12.7109375" style="573" customWidth="1"/>
    <col min="9987" max="9987" width="12.42578125" style="573" customWidth="1"/>
    <col min="9988" max="9988" width="13.28515625" style="573" customWidth="1"/>
    <col min="9989" max="9989" width="16" style="573" customWidth="1"/>
    <col min="9990" max="9990" width="12.7109375" style="573" customWidth="1"/>
    <col min="9991" max="9991" width="13.42578125" style="573" customWidth="1"/>
    <col min="9992" max="9992" width="9.42578125" style="573" customWidth="1"/>
    <col min="9993" max="9993" width="10" style="573" customWidth="1"/>
    <col min="9994" max="9998" width="10.7109375" style="573" customWidth="1"/>
    <col min="9999" max="10239" width="9.140625" style="573"/>
    <col min="10240" max="10240" width="3.85546875" style="573" customWidth="1"/>
    <col min="10241" max="10241" width="20.7109375" style="573" customWidth="1"/>
    <col min="10242" max="10242" width="12.7109375" style="573" customWidth="1"/>
    <col min="10243" max="10243" width="12.42578125" style="573" customWidth="1"/>
    <col min="10244" max="10244" width="13.28515625" style="573" customWidth="1"/>
    <col min="10245" max="10245" width="16" style="573" customWidth="1"/>
    <col min="10246" max="10246" width="12.7109375" style="573" customWidth="1"/>
    <col min="10247" max="10247" width="13.42578125" style="573" customWidth="1"/>
    <col min="10248" max="10248" width="9.42578125" style="573" customWidth="1"/>
    <col min="10249" max="10249" width="10" style="573" customWidth="1"/>
    <col min="10250" max="10254" width="10.7109375" style="573" customWidth="1"/>
    <col min="10255" max="10495" width="9.140625" style="573"/>
    <col min="10496" max="10496" width="3.85546875" style="573" customWidth="1"/>
    <col min="10497" max="10497" width="20.7109375" style="573" customWidth="1"/>
    <col min="10498" max="10498" width="12.7109375" style="573" customWidth="1"/>
    <col min="10499" max="10499" width="12.42578125" style="573" customWidth="1"/>
    <col min="10500" max="10500" width="13.28515625" style="573" customWidth="1"/>
    <col min="10501" max="10501" width="16" style="573" customWidth="1"/>
    <col min="10502" max="10502" width="12.7109375" style="573" customWidth="1"/>
    <col min="10503" max="10503" width="13.42578125" style="573" customWidth="1"/>
    <col min="10504" max="10504" width="9.42578125" style="573" customWidth="1"/>
    <col min="10505" max="10505" width="10" style="573" customWidth="1"/>
    <col min="10506" max="10510" width="10.7109375" style="573" customWidth="1"/>
    <col min="10511" max="10751" width="9.140625" style="573"/>
    <col min="10752" max="10752" width="3.85546875" style="573" customWidth="1"/>
    <col min="10753" max="10753" width="20.7109375" style="573" customWidth="1"/>
    <col min="10754" max="10754" width="12.7109375" style="573" customWidth="1"/>
    <col min="10755" max="10755" width="12.42578125" style="573" customWidth="1"/>
    <col min="10756" max="10756" width="13.28515625" style="573" customWidth="1"/>
    <col min="10757" max="10757" width="16" style="573" customWidth="1"/>
    <col min="10758" max="10758" width="12.7109375" style="573" customWidth="1"/>
    <col min="10759" max="10759" width="13.42578125" style="573" customWidth="1"/>
    <col min="10760" max="10760" width="9.42578125" style="573" customWidth="1"/>
    <col min="10761" max="10761" width="10" style="573" customWidth="1"/>
    <col min="10762" max="10766" width="10.7109375" style="573" customWidth="1"/>
    <col min="10767" max="11007" width="9.140625" style="573"/>
    <col min="11008" max="11008" width="3.85546875" style="573" customWidth="1"/>
    <col min="11009" max="11009" width="20.7109375" style="573" customWidth="1"/>
    <col min="11010" max="11010" width="12.7109375" style="573" customWidth="1"/>
    <col min="11011" max="11011" width="12.42578125" style="573" customWidth="1"/>
    <col min="11012" max="11012" width="13.28515625" style="573" customWidth="1"/>
    <col min="11013" max="11013" width="16" style="573" customWidth="1"/>
    <col min="11014" max="11014" width="12.7109375" style="573" customWidth="1"/>
    <col min="11015" max="11015" width="13.42578125" style="573" customWidth="1"/>
    <col min="11016" max="11016" width="9.42578125" style="573" customWidth="1"/>
    <col min="11017" max="11017" width="10" style="573" customWidth="1"/>
    <col min="11018" max="11022" width="10.7109375" style="573" customWidth="1"/>
    <col min="11023" max="11263" width="9.140625" style="573"/>
    <col min="11264" max="11264" width="3.85546875" style="573" customWidth="1"/>
    <col min="11265" max="11265" width="20.7109375" style="573" customWidth="1"/>
    <col min="11266" max="11266" width="12.7109375" style="573" customWidth="1"/>
    <col min="11267" max="11267" width="12.42578125" style="573" customWidth="1"/>
    <col min="11268" max="11268" width="13.28515625" style="573" customWidth="1"/>
    <col min="11269" max="11269" width="16" style="573" customWidth="1"/>
    <col min="11270" max="11270" width="12.7109375" style="573" customWidth="1"/>
    <col min="11271" max="11271" width="13.42578125" style="573" customWidth="1"/>
    <col min="11272" max="11272" width="9.42578125" style="573" customWidth="1"/>
    <col min="11273" max="11273" width="10" style="573" customWidth="1"/>
    <col min="11274" max="11278" width="10.7109375" style="573" customWidth="1"/>
    <col min="11279" max="11519" width="9.140625" style="573"/>
    <col min="11520" max="11520" width="3.85546875" style="573" customWidth="1"/>
    <col min="11521" max="11521" width="20.7109375" style="573" customWidth="1"/>
    <col min="11522" max="11522" width="12.7109375" style="573" customWidth="1"/>
    <col min="11523" max="11523" width="12.42578125" style="573" customWidth="1"/>
    <col min="11524" max="11524" width="13.28515625" style="573" customWidth="1"/>
    <col min="11525" max="11525" width="16" style="573" customWidth="1"/>
    <col min="11526" max="11526" width="12.7109375" style="573" customWidth="1"/>
    <col min="11527" max="11527" width="13.42578125" style="573" customWidth="1"/>
    <col min="11528" max="11528" width="9.42578125" style="573" customWidth="1"/>
    <col min="11529" max="11529" width="10" style="573" customWidth="1"/>
    <col min="11530" max="11534" width="10.7109375" style="573" customWidth="1"/>
    <col min="11535" max="11775" width="9.140625" style="573"/>
    <col min="11776" max="11776" width="3.85546875" style="573" customWidth="1"/>
    <col min="11777" max="11777" width="20.7109375" style="573" customWidth="1"/>
    <col min="11778" max="11778" width="12.7109375" style="573" customWidth="1"/>
    <col min="11779" max="11779" width="12.42578125" style="573" customWidth="1"/>
    <col min="11780" max="11780" width="13.28515625" style="573" customWidth="1"/>
    <col min="11781" max="11781" width="16" style="573" customWidth="1"/>
    <col min="11782" max="11782" width="12.7109375" style="573" customWidth="1"/>
    <col min="11783" max="11783" width="13.42578125" style="573" customWidth="1"/>
    <col min="11784" max="11784" width="9.42578125" style="573" customWidth="1"/>
    <col min="11785" max="11785" width="10" style="573" customWidth="1"/>
    <col min="11786" max="11790" width="10.7109375" style="573" customWidth="1"/>
    <col min="11791" max="12031" width="9.140625" style="573"/>
    <col min="12032" max="12032" width="3.85546875" style="573" customWidth="1"/>
    <col min="12033" max="12033" width="20.7109375" style="573" customWidth="1"/>
    <col min="12034" max="12034" width="12.7109375" style="573" customWidth="1"/>
    <col min="12035" max="12035" width="12.42578125" style="573" customWidth="1"/>
    <col min="12036" max="12036" width="13.28515625" style="573" customWidth="1"/>
    <col min="12037" max="12037" width="16" style="573" customWidth="1"/>
    <col min="12038" max="12038" width="12.7109375" style="573" customWidth="1"/>
    <col min="12039" max="12039" width="13.42578125" style="573" customWidth="1"/>
    <col min="12040" max="12040" width="9.42578125" style="573" customWidth="1"/>
    <col min="12041" max="12041" width="10" style="573" customWidth="1"/>
    <col min="12042" max="12046" width="10.7109375" style="573" customWidth="1"/>
    <col min="12047" max="12287" width="9.140625" style="573"/>
    <col min="12288" max="12288" width="3.85546875" style="573" customWidth="1"/>
    <col min="12289" max="12289" width="20.7109375" style="573" customWidth="1"/>
    <col min="12290" max="12290" width="12.7109375" style="573" customWidth="1"/>
    <col min="12291" max="12291" width="12.42578125" style="573" customWidth="1"/>
    <col min="12292" max="12292" width="13.28515625" style="573" customWidth="1"/>
    <col min="12293" max="12293" width="16" style="573" customWidth="1"/>
    <col min="12294" max="12294" width="12.7109375" style="573" customWidth="1"/>
    <col min="12295" max="12295" width="13.42578125" style="573" customWidth="1"/>
    <col min="12296" max="12296" width="9.42578125" style="573" customWidth="1"/>
    <col min="12297" max="12297" width="10" style="573" customWidth="1"/>
    <col min="12298" max="12302" width="10.7109375" style="573" customWidth="1"/>
    <col min="12303" max="12543" width="9.140625" style="573"/>
    <col min="12544" max="12544" width="3.85546875" style="573" customWidth="1"/>
    <col min="12545" max="12545" width="20.7109375" style="573" customWidth="1"/>
    <col min="12546" max="12546" width="12.7109375" style="573" customWidth="1"/>
    <col min="12547" max="12547" width="12.42578125" style="573" customWidth="1"/>
    <col min="12548" max="12548" width="13.28515625" style="573" customWidth="1"/>
    <col min="12549" max="12549" width="16" style="573" customWidth="1"/>
    <col min="12550" max="12550" width="12.7109375" style="573" customWidth="1"/>
    <col min="12551" max="12551" width="13.42578125" style="573" customWidth="1"/>
    <col min="12552" max="12552" width="9.42578125" style="573" customWidth="1"/>
    <col min="12553" max="12553" width="10" style="573" customWidth="1"/>
    <col min="12554" max="12558" width="10.7109375" style="573" customWidth="1"/>
    <col min="12559" max="12799" width="9.140625" style="573"/>
    <col min="12800" max="12800" width="3.85546875" style="573" customWidth="1"/>
    <col min="12801" max="12801" width="20.7109375" style="573" customWidth="1"/>
    <col min="12802" max="12802" width="12.7109375" style="573" customWidth="1"/>
    <col min="12803" max="12803" width="12.42578125" style="573" customWidth="1"/>
    <col min="12804" max="12804" width="13.28515625" style="573" customWidth="1"/>
    <col min="12805" max="12805" width="16" style="573" customWidth="1"/>
    <col min="12806" max="12806" width="12.7109375" style="573" customWidth="1"/>
    <col min="12807" max="12807" width="13.42578125" style="573" customWidth="1"/>
    <col min="12808" max="12808" width="9.42578125" style="573" customWidth="1"/>
    <col min="12809" max="12809" width="10" style="573" customWidth="1"/>
    <col min="12810" max="12814" width="10.7109375" style="573" customWidth="1"/>
    <col min="12815" max="13055" width="9.140625" style="573"/>
    <col min="13056" max="13056" width="3.85546875" style="573" customWidth="1"/>
    <col min="13057" max="13057" width="20.7109375" style="573" customWidth="1"/>
    <col min="13058" max="13058" width="12.7109375" style="573" customWidth="1"/>
    <col min="13059" max="13059" width="12.42578125" style="573" customWidth="1"/>
    <col min="13060" max="13060" width="13.28515625" style="573" customWidth="1"/>
    <col min="13061" max="13061" width="16" style="573" customWidth="1"/>
    <col min="13062" max="13062" width="12.7109375" style="573" customWidth="1"/>
    <col min="13063" max="13063" width="13.42578125" style="573" customWidth="1"/>
    <col min="13064" max="13064" width="9.42578125" style="573" customWidth="1"/>
    <col min="13065" max="13065" width="10" style="573" customWidth="1"/>
    <col min="13066" max="13070" width="10.7109375" style="573" customWidth="1"/>
    <col min="13071" max="13311" width="9.140625" style="573"/>
    <col min="13312" max="13312" width="3.85546875" style="573" customWidth="1"/>
    <col min="13313" max="13313" width="20.7109375" style="573" customWidth="1"/>
    <col min="13314" max="13314" width="12.7109375" style="573" customWidth="1"/>
    <col min="13315" max="13315" width="12.42578125" style="573" customWidth="1"/>
    <col min="13316" max="13316" width="13.28515625" style="573" customWidth="1"/>
    <col min="13317" max="13317" width="16" style="573" customWidth="1"/>
    <col min="13318" max="13318" width="12.7109375" style="573" customWidth="1"/>
    <col min="13319" max="13319" width="13.42578125" style="573" customWidth="1"/>
    <col min="13320" max="13320" width="9.42578125" style="573" customWidth="1"/>
    <col min="13321" max="13321" width="10" style="573" customWidth="1"/>
    <col min="13322" max="13326" width="10.7109375" style="573" customWidth="1"/>
    <col min="13327" max="13567" width="9.140625" style="573"/>
    <col min="13568" max="13568" width="3.85546875" style="573" customWidth="1"/>
    <col min="13569" max="13569" width="20.7109375" style="573" customWidth="1"/>
    <col min="13570" max="13570" width="12.7109375" style="573" customWidth="1"/>
    <col min="13571" max="13571" width="12.42578125" style="573" customWidth="1"/>
    <col min="13572" max="13572" width="13.28515625" style="573" customWidth="1"/>
    <col min="13573" max="13573" width="16" style="573" customWidth="1"/>
    <col min="13574" max="13574" width="12.7109375" style="573" customWidth="1"/>
    <col min="13575" max="13575" width="13.42578125" style="573" customWidth="1"/>
    <col min="13576" max="13576" width="9.42578125" style="573" customWidth="1"/>
    <col min="13577" max="13577" width="10" style="573" customWidth="1"/>
    <col min="13578" max="13582" width="10.7109375" style="573" customWidth="1"/>
    <col min="13583" max="13823" width="9.140625" style="573"/>
    <col min="13824" max="13824" width="3.85546875" style="573" customWidth="1"/>
    <col min="13825" max="13825" width="20.7109375" style="573" customWidth="1"/>
    <col min="13826" max="13826" width="12.7109375" style="573" customWidth="1"/>
    <col min="13827" max="13827" width="12.42578125" style="573" customWidth="1"/>
    <col min="13828" max="13828" width="13.28515625" style="573" customWidth="1"/>
    <col min="13829" max="13829" width="16" style="573" customWidth="1"/>
    <col min="13830" max="13830" width="12.7109375" style="573" customWidth="1"/>
    <col min="13831" max="13831" width="13.42578125" style="573" customWidth="1"/>
    <col min="13832" max="13832" width="9.42578125" style="573" customWidth="1"/>
    <col min="13833" max="13833" width="10" style="573" customWidth="1"/>
    <col min="13834" max="13838" width="10.7109375" style="573" customWidth="1"/>
    <col min="13839" max="14079" width="9.140625" style="573"/>
    <col min="14080" max="14080" width="3.85546875" style="573" customWidth="1"/>
    <col min="14081" max="14081" width="20.7109375" style="573" customWidth="1"/>
    <col min="14082" max="14082" width="12.7109375" style="573" customWidth="1"/>
    <col min="14083" max="14083" width="12.42578125" style="573" customWidth="1"/>
    <col min="14084" max="14084" width="13.28515625" style="573" customWidth="1"/>
    <col min="14085" max="14085" width="16" style="573" customWidth="1"/>
    <col min="14086" max="14086" width="12.7109375" style="573" customWidth="1"/>
    <col min="14087" max="14087" width="13.42578125" style="573" customWidth="1"/>
    <col min="14088" max="14088" width="9.42578125" style="573" customWidth="1"/>
    <col min="14089" max="14089" width="10" style="573" customWidth="1"/>
    <col min="14090" max="14094" width="10.7109375" style="573" customWidth="1"/>
    <col min="14095" max="14335" width="9.140625" style="573"/>
    <col min="14336" max="14336" width="3.85546875" style="573" customWidth="1"/>
    <col min="14337" max="14337" width="20.7109375" style="573" customWidth="1"/>
    <col min="14338" max="14338" width="12.7109375" style="573" customWidth="1"/>
    <col min="14339" max="14339" width="12.42578125" style="573" customWidth="1"/>
    <col min="14340" max="14340" width="13.28515625" style="573" customWidth="1"/>
    <col min="14341" max="14341" width="16" style="573" customWidth="1"/>
    <col min="14342" max="14342" width="12.7109375" style="573" customWidth="1"/>
    <col min="14343" max="14343" width="13.42578125" style="573" customWidth="1"/>
    <col min="14344" max="14344" width="9.42578125" style="573" customWidth="1"/>
    <col min="14345" max="14345" width="10" style="573" customWidth="1"/>
    <col min="14346" max="14350" width="10.7109375" style="573" customWidth="1"/>
    <col min="14351" max="14591" width="9.140625" style="573"/>
    <col min="14592" max="14592" width="3.85546875" style="573" customWidth="1"/>
    <col min="14593" max="14593" width="20.7109375" style="573" customWidth="1"/>
    <col min="14594" max="14594" width="12.7109375" style="573" customWidth="1"/>
    <col min="14595" max="14595" width="12.42578125" style="573" customWidth="1"/>
    <col min="14596" max="14596" width="13.28515625" style="573" customWidth="1"/>
    <col min="14597" max="14597" width="16" style="573" customWidth="1"/>
    <col min="14598" max="14598" width="12.7109375" style="573" customWidth="1"/>
    <col min="14599" max="14599" width="13.42578125" style="573" customWidth="1"/>
    <col min="14600" max="14600" width="9.42578125" style="573" customWidth="1"/>
    <col min="14601" max="14601" width="10" style="573" customWidth="1"/>
    <col min="14602" max="14606" width="10.7109375" style="573" customWidth="1"/>
    <col min="14607" max="14847" width="9.140625" style="573"/>
    <col min="14848" max="14848" width="3.85546875" style="573" customWidth="1"/>
    <col min="14849" max="14849" width="20.7109375" style="573" customWidth="1"/>
    <col min="14850" max="14850" width="12.7109375" style="573" customWidth="1"/>
    <col min="14851" max="14851" width="12.42578125" style="573" customWidth="1"/>
    <col min="14852" max="14852" width="13.28515625" style="573" customWidth="1"/>
    <col min="14853" max="14853" width="16" style="573" customWidth="1"/>
    <col min="14854" max="14854" width="12.7109375" style="573" customWidth="1"/>
    <col min="14855" max="14855" width="13.42578125" style="573" customWidth="1"/>
    <col min="14856" max="14856" width="9.42578125" style="573" customWidth="1"/>
    <col min="14857" max="14857" width="10" style="573" customWidth="1"/>
    <col min="14858" max="14862" width="10.7109375" style="573" customWidth="1"/>
    <col min="14863" max="15103" width="9.140625" style="573"/>
    <col min="15104" max="15104" width="3.85546875" style="573" customWidth="1"/>
    <col min="15105" max="15105" width="20.7109375" style="573" customWidth="1"/>
    <col min="15106" max="15106" width="12.7109375" style="573" customWidth="1"/>
    <col min="15107" max="15107" width="12.42578125" style="573" customWidth="1"/>
    <col min="15108" max="15108" width="13.28515625" style="573" customWidth="1"/>
    <col min="15109" max="15109" width="16" style="573" customWidth="1"/>
    <col min="15110" max="15110" width="12.7109375" style="573" customWidth="1"/>
    <col min="15111" max="15111" width="13.42578125" style="573" customWidth="1"/>
    <col min="15112" max="15112" width="9.42578125" style="573" customWidth="1"/>
    <col min="15113" max="15113" width="10" style="573" customWidth="1"/>
    <col min="15114" max="15118" width="10.7109375" style="573" customWidth="1"/>
    <col min="15119" max="15359" width="9.140625" style="573"/>
    <col min="15360" max="15360" width="3.85546875" style="573" customWidth="1"/>
    <col min="15361" max="15361" width="20.7109375" style="573" customWidth="1"/>
    <col min="15362" max="15362" width="12.7109375" style="573" customWidth="1"/>
    <col min="15363" max="15363" width="12.42578125" style="573" customWidth="1"/>
    <col min="15364" max="15364" width="13.28515625" style="573" customWidth="1"/>
    <col min="15365" max="15365" width="16" style="573" customWidth="1"/>
    <col min="15366" max="15366" width="12.7109375" style="573" customWidth="1"/>
    <col min="15367" max="15367" width="13.42578125" style="573" customWidth="1"/>
    <col min="15368" max="15368" width="9.42578125" style="573" customWidth="1"/>
    <col min="15369" max="15369" width="10" style="573" customWidth="1"/>
    <col min="15370" max="15374" width="10.7109375" style="573" customWidth="1"/>
    <col min="15375" max="15615" width="9.140625" style="573"/>
    <col min="15616" max="15616" width="3.85546875" style="573" customWidth="1"/>
    <col min="15617" max="15617" width="20.7109375" style="573" customWidth="1"/>
    <col min="15618" max="15618" width="12.7109375" style="573" customWidth="1"/>
    <col min="15619" max="15619" width="12.42578125" style="573" customWidth="1"/>
    <col min="15620" max="15620" width="13.28515625" style="573" customWidth="1"/>
    <col min="15621" max="15621" width="16" style="573" customWidth="1"/>
    <col min="15622" max="15622" width="12.7109375" style="573" customWidth="1"/>
    <col min="15623" max="15623" width="13.42578125" style="573" customWidth="1"/>
    <col min="15624" max="15624" width="9.42578125" style="573" customWidth="1"/>
    <col min="15625" max="15625" width="10" style="573" customWidth="1"/>
    <col min="15626" max="15630" width="10.7109375" style="573" customWidth="1"/>
    <col min="15631" max="15871" width="9.140625" style="573"/>
    <col min="15872" max="15872" width="3.85546875" style="573" customWidth="1"/>
    <col min="15873" max="15873" width="20.7109375" style="573" customWidth="1"/>
    <col min="15874" max="15874" width="12.7109375" style="573" customWidth="1"/>
    <col min="15875" max="15875" width="12.42578125" style="573" customWidth="1"/>
    <col min="15876" max="15876" width="13.28515625" style="573" customWidth="1"/>
    <col min="15877" max="15877" width="16" style="573" customWidth="1"/>
    <col min="15878" max="15878" width="12.7109375" style="573" customWidth="1"/>
    <col min="15879" max="15879" width="13.42578125" style="573" customWidth="1"/>
    <col min="15880" max="15880" width="9.42578125" style="573" customWidth="1"/>
    <col min="15881" max="15881" width="10" style="573" customWidth="1"/>
    <col min="15882" max="15886" width="10.7109375" style="573" customWidth="1"/>
    <col min="15887" max="16127" width="9.140625" style="573"/>
    <col min="16128" max="16128" width="3.85546875" style="573" customWidth="1"/>
    <col min="16129" max="16129" width="20.7109375" style="573" customWidth="1"/>
    <col min="16130" max="16130" width="12.7109375" style="573" customWidth="1"/>
    <col min="16131" max="16131" width="12.42578125" style="573" customWidth="1"/>
    <col min="16132" max="16132" width="13.28515625" style="573" customWidth="1"/>
    <col min="16133" max="16133" width="16" style="573" customWidth="1"/>
    <col min="16134" max="16134" width="12.7109375" style="573" customWidth="1"/>
    <col min="16135" max="16135" width="13.42578125" style="573" customWidth="1"/>
    <col min="16136" max="16136" width="9.42578125" style="573" customWidth="1"/>
    <col min="16137" max="16137" width="10" style="573" customWidth="1"/>
    <col min="16138" max="16142" width="10.7109375" style="573" customWidth="1"/>
    <col min="16143" max="16384" width="9.140625" style="573"/>
  </cols>
  <sheetData>
    <row r="1" spans="1:247" s="587" customFormat="1" x14ac:dyDescent="0.25">
      <c r="A1" s="584" t="s">
        <v>181</v>
      </c>
      <c r="B1" s="584" t="s">
        <v>182</v>
      </c>
      <c r="C1" s="584"/>
      <c r="D1" s="584"/>
      <c r="E1" s="585"/>
      <c r="F1" s="585"/>
      <c r="G1" s="585"/>
      <c r="H1" s="585"/>
      <c r="I1" s="586"/>
      <c r="J1" s="586"/>
      <c r="K1" s="586"/>
      <c r="L1" s="586"/>
      <c r="M1" s="586"/>
      <c r="N1" s="132"/>
      <c r="O1" s="132"/>
    </row>
    <row r="2" spans="1:247" ht="12.75" customHeight="1" x14ac:dyDescent="0.2">
      <c r="A2" s="573"/>
      <c r="B2" s="573"/>
      <c r="C2" s="573"/>
      <c r="D2" s="573"/>
      <c r="E2" s="573"/>
      <c r="F2" s="573"/>
      <c r="G2" s="573"/>
      <c r="H2" s="573"/>
      <c r="I2" s="573"/>
      <c r="J2" s="573"/>
      <c r="K2" s="573"/>
      <c r="L2" s="573"/>
      <c r="M2" s="573"/>
    </row>
    <row r="3" spans="1:247" ht="12.75" customHeight="1" x14ac:dyDescent="0.2">
      <c r="A3" s="573"/>
      <c r="B3" s="133" t="s">
        <v>265</v>
      </c>
      <c r="C3" s="133"/>
      <c r="D3" s="575">
        <v>2012</v>
      </c>
      <c r="I3" s="573"/>
      <c r="J3" s="573"/>
      <c r="K3" s="573"/>
      <c r="L3" s="573"/>
      <c r="M3" s="573"/>
    </row>
    <row r="4" spans="1:247" ht="12.75" customHeight="1" x14ac:dyDescent="0.2">
      <c r="A4" s="573"/>
      <c r="B4" s="574" t="s">
        <v>183</v>
      </c>
      <c r="C4" s="574"/>
      <c r="D4" s="575" t="s">
        <v>184</v>
      </c>
      <c r="E4" s="578" t="s">
        <v>278</v>
      </c>
      <c r="I4" s="573"/>
      <c r="J4" s="573"/>
      <c r="K4" s="573"/>
      <c r="L4" s="573"/>
      <c r="M4" s="573"/>
    </row>
    <row r="5" spans="1:247" ht="12.75" customHeight="1" x14ac:dyDescent="0.2">
      <c r="A5" s="573"/>
      <c r="B5" s="574" t="s">
        <v>185</v>
      </c>
      <c r="C5" s="574"/>
      <c r="D5" s="575" t="s">
        <v>186</v>
      </c>
      <c r="I5" s="573"/>
      <c r="J5" s="573"/>
      <c r="K5" s="573"/>
      <c r="L5" s="573"/>
      <c r="M5" s="573"/>
    </row>
    <row r="6" spans="1:247" s="588" customFormat="1" ht="12.75" customHeight="1" x14ac:dyDescent="0.2">
      <c r="B6" s="574"/>
      <c r="C6" s="574"/>
      <c r="D6" s="589"/>
      <c r="E6" s="590"/>
      <c r="H6" s="573"/>
      <c r="I6" s="573"/>
      <c r="J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c r="BD6" s="573"/>
      <c r="BE6" s="573"/>
      <c r="BF6" s="573"/>
      <c r="BG6" s="573"/>
      <c r="BH6" s="573"/>
      <c r="BI6" s="573"/>
      <c r="BJ6" s="573"/>
      <c r="BK6" s="573"/>
      <c r="BL6" s="573"/>
      <c r="BM6" s="573"/>
      <c r="BN6" s="573"/>
      <c r="BO6" s="573"/>
      <c r="BP6" s="573"/>
      <c r="BQ6" s="573"/>
      <c r="BR6" s="573"/>
      <c r="BS6" s="573"/>
      <c r="BT6" s="573"/>
      <c r="BU6" s="573"/>
      <c r="BV6" s="573"/>
      <c r="BW6" s="573"/>
      <c r="BX6" s="573"/>
      <c r="BY6" s="573"/>
      <c r="BZ6" s="573"/>
      <c r="CA6" s="573"/>
      <c r="CB6" s="573"/>
      <c r="CC6" s="573"/>
      <c r="CD6" s="573"/>
      <c r="CE6" s="573"/>
      <c r="CF6" s="573"/>
      <c r="CG6" s="573"/>
      <c r="CH6" s="573"/>
      <c r="CI6" s="573"/>
      <c r="CJ6" s="573"/>
      <c r="CK6" s="573"/>
      <c r="CL6" s="573"/>
      <c r="CM6" s="573"/>
      <c r="CN6" s="573"/>
      <c r="CO6" s="573"/>
      <c r="CP6" s="573"/>
      <c r="CQ6" s="573"/>
      <c r="CR6" s="573"/>
      <c r="CS6" s="573"/>
      <c r="CT6" s="573"/>
      <c r="CU6" s="573"/>
      <c r="CV6" s="573"/>
      <c r="CW6" s="573"/>
      <c r="CX6" s="573"/>
      <c r="CY6" s="573"/>
      <c r="CZ6" s="573"/>
      <c r="DA6" s="573"/>
      <c r="DB6" s="573"/>
      <c r="DC6" s="573"/>
      <c r="DD6" s="573"/>
      <c r="DE6" s="573"/>
      <c r="DF6" s="573"/>
      <c r="DG6" s="573"/>
      <c r="DH6" s="573"/>
      <c r="DI6" s="573"/>
      <c r="DJ6" s="573"/>
      <c r="DK6" s="573"/>
      <c r="DL6" s="573"/>
      <c r="DM6" s="573"/>
      <c r="DN6" s="573"/>
      <c r="DO6" s="573"/>
      <c r="DP6" s="573"/>
      <c r="DQ6" s="573"/>
      <c r="DR6" s="573"/>
      <c r="DS6" s="573"/>
      <c r="DT6" s="573"/>
      <c r="DU6" s="573"/>
      <c r="DV6" s="573"/>
      <c r="DW6" s="573"/>
      <c r="DX6" s="573"/>
      <c r="DY6" s="573"/>
      <c r="DZ6" s="573"/>
      <c r="EA6" s="573"/>
      <c r="EB6" s="573"/>
      <c r="EC6" s="573"/>
      <c r="ED6" s="573"/>
      <c r="EE6" s="573"/>
      <c r="EF6" s="573"/>
      <c r="EG6" s="573"/>
      <c r="EH6" s="573"/>
      <c r="EI6" s="573"/>
      <c r="EJ6" s="573"/>
      <c r="EK6" s="573"/>
      <c r="EL6" s="573"/>
      <c r="EM6" s="573"/>
      <c r="EN6" s="573"/>
      <c r="EO6" s="573"/>
      <c r="EP6" s="573"/>
      <c r="EQ6" s="573"/>
      <c r="ER6" s="573"/>
      <c r="ES6" s="573"/>
      <c r="ET6" s="573"/>
      <c r="EU6" s="573"/>
      <c r="EV6" s="573"/>
      <c r="EW6" s="573"/>
      <c r="EX6" s="573"/>
      <c r="EY6" s="573"/>
      <c r="EZ6" s="573"/>
      <c r="FA6" s="573"/>
      <c r="FB6" s="573"/>
      <c r="FC6" s="573"/>
      <c r="FD6" s="573"/>
      <c r="FE6" s="573"/>
      <c r="FF6" s="573"/>
      <c r="FG6" s="573"/>
      <c r="FH6" s="573"/>
      <c r="FI6" s="573"/>
      <c r="FJ6" s="573"/>
      <c r="FK6" s="573"/>
      <c r="FL6" s="573"/>
      <c r="FM6" s="573"/>
      <c r="FN6" s="573"/>
      <c r="FO6" s="573"/>
      <c r="FP6" s="573"/>
      <c r="FQ6" s="573"/>
      <c r="FR6" s="573"/>
      <c r="FS6" s="573"/>
      <c r="FT6" s="573"/>
      <c r="FU6" s="573"/>
      <c r="FV6" s="573"/>
      <c r="FW6" s="573"/>
      <c r="FX6" s="573"/>
      <c r="FY6" s="573"/>
      <c r="FZ6" s="573"/>
      <c r="GA6" s="573"/>
      <c r="GB6" s="573"/>
      <c r="GC6" s="573"/>
      <c r="GD6" s="573"/>
      <c r="GE6" s="573"/>
      <c r="GF6" s="573"/>
      <c r="GG6" s="573"/>
      <c r="GH6" s="573"/>
      <c r="GI6" s="573"/>
      <c r="GJ6" s="573"/>
      <c r="GK6" s="573"/>
      <c r="GL6" s="573"/>
      <c r="GM6" s="573"/>
      <c r="GN6" s="573"/>
      <c r="GO6" s="573"/>
      <c r="GP6" s="573"/>
      <c r="GQ6" s="573"/>
      <c r="GR6" s="573"/>
      <c r="GS6" s="573"/>
      <c r="GT6" s="573"/>
      <c r="GU6" s="573"/>
      <c r="GV6" s="573"/>
      <c r="GW6" s="573"/>
      <c r="GX6" s="573"/>
      <c r="GY6" s="573"/>
      <c r="GZ6" s="573"/>
      <c r="HA6" s="573"/>
      <c r="HB6" s="573"/>
      <c r="HC6" s="573"/>
      <c r="HD6" s="573"/>
      <c r="HE6" s="573"/>
      <c r="HF6" s="573"/>
      <c r="HG6" s="573"/>
      <c r="HH6" s="573"/>
      <c r="HI6" s="573"/>
      <c r="HJ6" s="573"/>
      <c r="HK6" s="573"/>
      <c r="HL6" s="573"/>
      <c r="HM6" s="573"/>
      <c r="HN6" s="573"/>
      <c r="HO6" s="573"/>
      <c r="HP6" s="573"/>
      <c r="HQ6" s="573"/>
      <c r="HR6" s="573"/>
      <c r="HS6" s="573"/>
      <c r="HT6" s="573"/>
      <c r="HU6" s="573"/>
      <c r="HV6" s="573"/>
      <c r="HW6" s="573"/>
      <c r="HX6" s="573"/>
      <c r="HY6" s="573"/>
      <c r="HZ6" s="573"/>
      <c r="IA6" s="573"/>
      <c r="IB6" s="573"/>
      <c r="IC6" s="573"/>
      <c r="ID6" s="573"/>
      <c r="IE6" s="573"/>
      <c r="IF6" s="573"/>
      <c r="IG6" s="573"/>
      <c r="IH6" s="573"/>
      <c r="II6" s="573"/>
      <c r="IJ6" s="573"/>
      <c r="IK6" s="573"/>
      <c r="IL6" s="573"/>
      <c r="IM6" s="573"/>
    </row>
    <row r="7" spans="1:247" s="588" customFormat="1" ht="12.75" customHeight="1" thickBot="1" x14ac:dyDescent="0.25">
      <c r="B7" s="574" t="s">
        <v>187</v>
      </c>
      <c r="C7" s="581"/>
      <c r="D7" s="576"/>
      <c r="E7" s="581"/>
      <c r="F7" s="581"/>
      <c r="H7" s="573"/>
      <c r="I7" s="573"/>
      <c r="J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c r="BD7" s="573"/>
      <c r="BE7" s="573"/>
      <c r="BF7" s="573"/>
      <c r="BG7" s="573"/>
      <c r="BH7" s="573"/>
      <c r="BI7" s="573"/>
      <c r="BJ7" s="573"/>
      <c r="BK7" s="573"/>
      <c r="BL7" s="573"/>
      <c r="BM7" s="573"/>
      <c r="BN7" s="573"/>
      <c r="BO7" s="573"/>
      <c r="BP7" s="573"/>
      <c r="BQ7" s="573"/>
      <c r="BR7" s="573"/>
      <c r="BS7" s="573"/>
      <c r="BT7" s="573"/>
      <c r="BU7" s="573"/>
      <c r="BV7" s="573"/>
      <c r="BW7" s="573"/>
      <c r="BX7" s="573"/>
      <c r="BY7" s="573"/>
      <c r="BZ7" s="573"/>
      <c r="CA7" s="573"/>
      <c r="CB7" s="573"/>
      <c r="CC7" s="573"/>
      <c r="CD7" s="573"/>
      <c r="CE7" s="573"/>
      <c r="CF7" s="573"/>
      <c r="CG7" s="573"/>
      <c r="CH7" s="573"/>
      <c r="CI7" s="573"/>
      <c r="CJ7" s="573"/>
      <c r="CK7" s="573"/>
      <c r="CL7" s="573"/>
      <c r="CM7" s="573"/>
      <c r="CN7" s="573"/>
      <c r="CO7" s="573"/>
      <c r="CP7" s="573"/>
      <c r="CQ7" s="573"/>
      <c r="CR7" s="573"/>
      <c r="CS7" s="573"/>
      <c r="CT7" s="573"/>
      <c r="CU7" s="573"/>
      <c r="CV7" s="573"/>
      <c r="CW7" s="573"/>
      <c r="CX7" s="573"/>
      <c r="CY7" s="573"/>
      <c r="CZ7" s="573"/>
      <c r="DA7" s="573"/>
      <c r="DB7" s="573"/>
      <c r="DC7" s="573"/>
      <c r="DD7" s="573"/>
      <c r="DE7" s="573"/>
      <c r="DF7" s="573"/>
      <c r="DG7" s="573"/>
      <c r="DH7" s="573"/>
      <c r="DI7" s="573"/>
      <c r="DJ7" s="573"/>
      <c r="DK7" s="573"/>
      <c r="DL7" s="573"/>
      <c r="DM7" s="573"/>
      <c r="DN7" s="573"/>
      <c r="DO7" s="573"/>
      <c r="DP7" s="573"/>
      <c r="DQ7" s="573"/>
      <c r="DR7" s="573"/>
      <c r="DS7" s="573"/>
      <c r="DT7" s="573"/>
      <c r="DU7" s="573"/>
      <c r="DV7" s="573"/>
      <c r="DW7" s="573"/>
      <c r="DX7" s="573"/>
      <c r="DY7" s="573"/>
      <c r="DZ7" s="573"/>
      <c r="EA7" s="573"/>
      <c r="EB7" s="573"/>
      <c r="EC7" s="573"/>
      <c r="ED7" s="573"/>
      <c r="EE7" s="573"/>
      <c r="EF7" s="573"/>
      <c r="EG7" s="573"/>
      <c r="EH7" s="573"/>
      <c r="EI7" s="573"/>
      <c r="EJ7" s="573"/>
      <c r="EK7" s="573"/>
      <c r="EL7" s="573"/>
      <c r="EM7" s="573"/>
      <c r="EN7" s="573"/>
      <c r="EO7" s="573"/>
      <c r="EP7" s="573"/>
      <c r="EQ7" s="573"/>
      <c r="ER7" s="573"/>
      <c r="ES7" s="573"/>
      <c r="ET7" s="573"/>
      <c r="EU7" s="573"/>
      <c r="EV7" s="573"/>
      <c r="EW7" s="573"/>
      <c r="EX7" s="573"/>
      <c r="EY7" s="573"/>
      <c r="EZ7" s="573"/>
      <c r="FA7" s="573"/>
      <c r="FB7" s="573"/>
      <c r="FC7" s="573"/>
      <c r="FD7" s="573"/>
      <c r="FE7" s="573"/>
      <c r="FF7" s="573"/>
      <c r="FG7" s="573"/>
      <c r="FH7" s="573"/>
      <c r="FI7" s="573"/>
      <c r="FJ7" s="573"/>
      <c r="FK7" s="573"/>
      <c r="FL7" s="573"/>
      <c r="FM7" s="573"/>
      <c r="FN7" s="573"/>
      <c r="FO7" s="573"/>
      <c r="FP7" s="573"/>
      <c r="FQ7" s="573"/>
      <c r="FR7" s="573"/>
      <c r="FS7" s="573"/>
      <c r="FT7" s="573"/>
      <c r="FU7" s="573"/>
      <c r="FV7" s="573"/>
      <c r="FW7" s="573"/>
      <c r="FX7" s="573"/>
      <c r="FY7" s="573"/>
      <c r="FZ7" s="573"/>
      <c r="GA7" s="573"/>
      <c r="GB7" s="573"/>
      <c r="GC7" s="573"/>
      <c r="GD7" s="573"/>
      <c r="GE7" s="573"/>
      <c r="GF7" s="573"/>
      <c r="GG7" s="573"/>
      <c r="GH7" s="573"/>
      <c r="GI7" s="573"/>
      <c r="GJ7" s="573"/>
      <c r="GK7" s="573"/>
      <c r="GL7" s="573"/>
      <c r="GM7" s="573"/>
      <c r="GN7" s="573"/>
      <c r="GO7" s="573"/>
      <c r="GP7" s="573"/>
      <c r="GQ7" s="573"/>
      <c r="GR7" s="573"/>
      <c r="GS7" s="573"/>
      <c r="GT7" s="573"/>
      <c r="GU7" s="573"/>
      <c r="GV7" s="573"/>
      <c r="GW7" s="573"/>
      <c r="GX7" s="573"/>
      <c r="GY7" s="573"/>
      <c r="GZ7" s="573"/>
      <c r="HA7" s="573"/>
      <c r="HB7" s="573"/>
      <c r="HC7" s="573"/>
      <c r="HD7" s="573"/>
      <c r="HE7" s="573"/>
      <c r="HF7" s="573"/>
      <c r="HG7" s="573"/>
      <c r="HH7" s="573"/>
      <c r="HI7" s="573"/>
      <c r="HJ7" s="573"/>
      <c r="HK7" s="573"/>
      <c r="HL7" s="573"/>
      <c r="HM7" s="573"/>
      <c r="HN7" s="573"/>
      <c r="HO7" s="573"/>
      <c r="HP7" s="573"/>
      <c r="HQ7" s="573"/>
      <c r="HR7" s="573"/>
      <c r="HS7" s="573"/>
      <c r="HT7" s="573"/>
      <c r="HU7" s="573"/>
      <c r="HV7" s="573"/>
      <c r="HW7" s="573"/>
      <c r="HX7" s="573"/>
      <c r="HY7" s="573"/>
      <c r="HZ7" s="573"/>
      <c r="IA7" s="573"/>
      <c r="IB7" s="573"/>
      <c r="IC7" s="573"/>
      <c r="ID7" s="573"/>
      <c r="IE7" s="573"/>
      <c r="IF7" s="573"/>
      <c r="IG7" s="573"/>
      <c r="IH7" s="573"/>
      <c r="II7" s="573"/>
      <c r="IJ7" s="573"/>
      <c r="IK7" s="573"/>
      <c r="IL7" s="573"/>
      <c r="IM7" s="573"/>
    </row>
    <row r="8" spans="1:247" s="588" customFormat="1" ht="12.75" customHeight="1" thickTop="1" thickBot="1" x14ac:dyDescent="0.25">
      <c r="B8" s="1063" t="s">
        <v>188</v>
      </c>
      <c r="C8" s="1064"/>
      <c r="D8" s="1064"/>
      <c r="E8" s="1065"/>
      <c r="F8" s="1066" t="s">
        <v>189</v>
      </c>
      <c r="G8" s="1067"/>
      <c r="H8" s="573"/>
      <c r="I8" s="573"/>
      <c r="J8" s="573"/>
      <c r="O8" s="573"/>
      <c r="P8" s="573"/>
      <c r="Q8" s="573"/>
      <c r="R8" s="573"/>
      <c r="S8" s="573"/>
      <c r="T8" s="573"/>
      <c r="U8" s="573"/>
      <c r="V8" s="573"/>
      <c r="W8" s="573"/>
      <c r="X8" s="573"/>
      <c r="Y8" s="573"/>
      <c r="Z8" s="573"/>
      <c r="AA8" s="573"/>
      <c r="AB8" s="573"/>
      <c r="AC8" s="573"/>
      <c r="AD8" s="573"/>
      <c r="AE8" s="573"/>
      <c r="AF8" s="573"/>
      <c r="AG8" s="573"/>
      <c r="AH8" s="573"/>
      <c r="AI8" s="573"/>
      <c r="AJ8" s="573"/>
      <c r="AK8" s="573"/>
      <c r="AL8" s="573"/>
      <c r="AM8" s="573"/>
      <c r="AN8" s="573"/>
      <c r="AO8" s="573"/>
      <c r="AP8" s="573"/>
      <c r="AQ8" s="573"/>
      <c r="AR8" s="573"/>
      <c r="AS8" s="573"/>
      <c r="AT8" s="573"/>
      <c r="AU8" s="573"/>
      <c r="AV8" s="573"/>
      <c r="AW8" s="573"/>
      <c r="AX8" s="573"/>
      <c r="AY8" s="573"/>
      <c r="AZ8" s="573"/>
      <c r="BA8" s="573"/>
      <c r="BB8" s="573"/>
      <c r="BC8" s="573"/>
      <c r="BD8" s="573"/>
      <c r="BE8" s="573"/>
      <c r="BF8" s="573"/>
      <c r="BG8" s="573"/>
      <c r="BH8" s="573"/>
      <c r="BI8" s="573"/>
      <c r="BJ8" s="573"/>
      <c r="BK8" s="573"/>
      <c r="BL8" s="573"/>
      <c r="BM8" s="573"/>
      <c r="BN8" s="573"/>
      <c r="BO8" s="573"/>
      <c r="BP8" s="573"/>
      <c r="BQ8" s="573"/>
      <c r="BR8" s="573"/>
      <c r="BS8" s="573"/>
      <c r="BT8" s="573"/>
      <c r="BU8" s="573"/>
      <c r="BV8" s="573"/>
      <c r="BW8" s="573"/>
      <c r="BX8" s="573"/>
      <c r="BY8" s="573"/>
      <c r="BZ8" s="573"/>
      <c r="CA8" s="573"/>
      <c r="CB8" s="573"/>
      <c r="CC8" s="573"/>
      <c r="CD8" s="573"/>
      <c r="CE8" s="573"/>
      <c r="CF8" s="573"/>
      <c r="CG8" s="573"/>
      <c r="CH8" s="573"/>
      <c r="CI8" s="573"/>
      <c r="CJ8" s="573"/>
      <c r="CK8" s="573"/>
      <c r="CL8" s="573"/>
      <c r="CM8" s="573"/>
      <c r="CN8" s="573"/>
      <c r="CO8" s="573"/>
      <c r="CP8" s="573"/>
      <c r="CQ8" s="573"/>
      <c r="CR8" s="573"/>
      <c r="CS8" s="573"/>
      <c r="CT8" s="573"/>
      <c r="CU8" s="573"/>
      <c r="CV8" s="573"/>
      <c r="CW8" s="573"/>
      <c r="CX8" s="573"/>
      <c r="CY8" s="573"/>
      <c r="CZ8" s="573"/>
      <c r="DA8" s="573"/>
      <c r="DB8" s="573"/>
      <c r="DC8" s="573"/>
      <c r="DD8" s="573"/>
      <c r="DE8" s="573"/>
      <c r="DF8" s="573"/>
      <c r="DG8" s="573"/>
      <c r="DH8" s="573"/>
      <c r="DI8" s="573"/>
      <c r="DJ8" s="573"/>
      <c r="DK8" s="573"/>
      <c r="DL8" s="573"/>
      <c r="DM8" s="573"/>
      <c r="DN8" s="573"/>
      <c r="DO8" s="573"/>
      <c r="DP8" s="573"/>
      <c r="DQ8" s="573"/>
      <c r="DR8" s="573"/>
      <c r="DS8" s="573"/>
      <c r="DT8" s="573"/>
      <c r="DU8" s="573"/>
      <c r="DV8" s="573"/>
      <c r="DW8" s="573"/>
      <c r="DX8" s="573"/>
      <c r="DY8" s="573"/>
      <c r="DZ8" s="573"/>
      <c r="EA8" s="573"/>
      <c r="EB8" s="573"/>
      <c r="EC8" s="573"/>
      <c r="ED8" s="573"/>
      <c r="EE8" s="573"/>
      <c r="EF8" s="573"/>
      <c r="EG8" s="573"/>
      <c r="EH8" s="573"/>
      <c r="EI8" s="573"/>
      <c r="EJ8" s="573"/>
      <c r="EK8" s="573"/>
      <c r="EL8" s="573"/>
      <c r="EM8" s="573"/>
      <c r="EN8" s="573"/>
      <c r="EO8" s="573"/>
      <c r="EP8" s="573"/>
      <c r="EQ8" s="573"/>
      <c r="ER8" s="573"/>
      <c r="ES8" s="573"/>
      <c r="ET8" s="573"/>
      <c r="EU8" s="573"/>
      <c r="EV8" s="573"/>
      <c r="EW8" s="573"/>
      <c r="EX8" s="573"/>
      <c r="EY8" s="573"/>
      <c r="EZ8" s="573"/>
      <c r="FA8" s="573"/>
      <c r="FB8" s="573"/>
      <c r="FC8" s="573"/>
      <c r="FD8" s="573"/>
      <c r="FE8" s="573"/>
      <c r="FF8" s="573"/>
      <c r="FG8" s="573"/>
      <c r="FH8" s="573"/>
      <c r="FI8" s="573"/>
      <c r="FJ8" s="573"/>
      <c r="FK8" s="573"/>
      <c r="FL8" s="573"/>
      <c r="FM8" s="573"/>
      <c r="FN8" s="573"/>
      <c r="FO8" s="573"/>
      <c r="FP8" s="573"/>
      <c r="FQ8" s="573"/>
      <c r="FR8" s="573"/>
      <c r="FS8" s="573"/>
      <c r="FT8" s="573"/>
      <c r="FU8" s="573"/>
      <c r="FV8" s="573"/>
      <c r="FW8" s="573"/>
      <c r="FX8" s="573"/>
      <c r="FY8" s="573"/>
      <c r="FZ8" s="573"/>
      <c r="GA8" s="573"/>
      <c r="GB8" s="573"/>
      <c r="GC8" s="573"/>
      <c r="GD8" s="573"/>
      <c r="GE8" s="573"/>
      <c r="GF8" s="573"/>
      <c r="GG8" s="573"/>
      <c r="GH8" s="573"/>
      <c r="GI8" s="573"/>
      <c r="GJ8" s="573"/>
      <c r="GK8" s="573"/>
      <c r="GL8" s="573"/>
      <c r="GM8" s="573"/>
      <c r="GN8" s="573"/>
      <c r="GO8" s="573"/>
      <c r="GP8" s="573"/>
      <c r="GQ8" s="573"/>
      <c r="GR8" s="573"/>
      <c r="GS8" s="573"/>
      <c r="GT8" s="573"/>
      <c r="GU8" s="573"/>
      <c r="GV8" s="573"/>
      <c r="GW8" s="573"/>
      <c r="GX8" s="573"/>
      <c r="GY8" s="573"/>
      <c r="GZ8" s="573"/>
      <c r="HA8" s="573"/>
      <c r="HB8" s="573"/>
      <c r="HC8" s="573"/>
      <c r="HD8" s="573"/>
      <c r="HE8" s="573"/>
      <c r="HF8" s="573"/>
      <c r="HG8" s="573"/>
      <c r="HH8" s="573"/>
      <c r="HI8" s="573"/>
      <c r="HJ8" s="573"/>
      <c r="HK8" s="573"/>
      <c r="HL8" s="573"/>
      <c r="HM8" s="573"/>
      <c r="HN8" s="573"/>
      <c r="HO8" s="573"/>
      <c r="HP8" s="573"/>
      <c r="HQ8" s="573"/>
      <c r="HR8" s="573"/>
      <c r="HS8" s="573"/>
      <c r="HT8" s="573"/>
      <c r="HU8" s="573"/>
      <c r="HV8" s="573"/>
      <c r="HW8" s="573"/>
      <c r="HX8" s="573"/>
      <c r="HY8" s="573"/>
      <c r="HZ8" s="573"/>
      <c r="IA8" s="573"/>
      <c r="IB8" s="573"/>
      <c r="IC8" s="573"/>
      <c r="ID8" s="573"/>
      <c r="IE8" s="573"/>
      <c r="IF8" s="573"/>
      <c r="IG8" s="573"/>
      <c r="IH8" s="573"/>
      <c r="II8" s="573"/>
      <c r="IJ8" s="573"/>
      <c r="IK8" s="573"/>
      <c r="IL8" s="573"/>
      <c r="IM8" s="573"/>
    </row>
    <row r="9" spans="1:247" s="588" customFormat="1" ht="12.75" customHeight="1" thickTop="1" x14ac:dyDescent="0.2">
      <c r="B9" s="1082" t="s">
        <v>266</v>
      </c>
      <c r="C9" s="1083"/>
      <c r="D9" s="1083"/>
      <c r="E9" s="1084"/>
      <c r="F9" s="1085" t="s">
        <v>191</v>
      </c>
      <c r="G9" s="1086"/>
      <c r="H9" s="573"/>
      <c r="I9" s="573"/>
      <c r="J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c r="AO9" s="573"/>
      <c r="AP9" s="573"/>
      <c r="AQ9" s="573"/>
      <c r="AR9" s="573"/>
      <c r="AS9" s="573"/>
      <c r="AT9" s="573"/>
      <c r="AU9" s="573"/>
      <c r="AV9" s="573"/>
      <c r="AW9" s="573"/>
      <c r="AX9" s="573"/>
      <c r="AY9" s="573"/>
      <c r="AZ9" s="573"/>
      <c r="BA9" s="573"/>
      <c r="BB9" s="573"/>
      <c r="BC9" s="573"/>
      <c r="BD9" s="573"/>
      <c r="BE9" s="573"/>
      <c r="BF9" s="573"/>
      <c r="BG9" s="573"/>
      <c r="BH9" s="573"/>
      <c r="BI9" s="573"/>
      <c r="BJ9" s="573"/>
      <c r="BK9" s="573"/>
      <c r="BL9" s="573"/>
      <c r="BM9" s="573"/>
      <c r="BN9" s="573"/>
      <c r="BO9" s="573"/>
      <c r="BP9" s="573"/>
      <c r="BQ9" s="573"/>
      <c r="BR9" s="573"/>
      <c r="BS9" s="573"/>
      <c r="BT9" s="573"/>
      <c r="BU9" s="573"/>
      <c r="BV9" s="573"/>
      <c r="BW9" s="573"/>
      <c r="BX9" s="573"/>
      <c r="BY9" s="573"/>
      <c r="BZ9" s="573"/>
      <c r="CA9" s="573"/>
      <c r="CB9" s="573"/>
      <c r="CC9" s="573"/>
      <c r="CD9" s="573"/>
      <c r="CE9" s="573"/>
      <c r="CF9" s="573"/>
      <c r="CG9" s="573"/>
      <c r="CH9" s="573"/>
      <c r="CI9" s="573"/>
      <c r="CJ9" s="573"/>
      <c r="CK9" s="573"/>
      <c r="CL9" s="573"/>
      <c r="CM9" s="573"/>
      <c r="CN9" s="573"/>
      <c r="CO9" s="573"/>
      <c r="CP9" s="573"/>
      <c r="CQ9" s="573"/>
      <c r="CR9" s="573"/>
      <c r="CS9" s="573"/>
      <c r="CT9" s="573"/>
      <c r="CU9" s="573"/>
      <c r="CV9" s="573"/>
      <c r="CW9" s="573"/>
      <c r="CX9" s="573"/>
      <c r="CY9" s="573"/>
      <c r="CZ9" s="573"/>
      <c r="DA9" s="573"/>
      <c r="DB9" s="573"/>
      <c r="DC9" s="573"/>
      <c r="DD9" s="573"/>
      <c r="DE9" s="573"/>
      <c r="DF9" s="573"/>
      <c r="DG9" s="573"/>
      <c r="DH9" s="573"/>
      <c r="DI9" s="573"/>
      <c r="DJ9" s="573"/>
      <c r="DK9" s="573"/>
      <c r="DL9" s="573"/>
      <c r="DM9" s="573"/>
      <c r="DN9" s="573"/>
      <c r="DO9" s="573"/>
      <c r="DP9" s="573"/>
      <c r="DQ9" s="573"/>
      <c r="DR9" s="573"/>
      <c r="DS9" s="573"/>
      <c r="DT9" s="573"/>
      <c r="DU9" s="573"/>
      <c r="DV9" s="573"/>
      <c r="DW9" s="573"/>
      <c r="DX9" s="573"/>
      <c r="DY9" s="573"/>
      <c r="DZ9" s="573"/>
      <c r="EA9" s="573"/>
      <c r="EB9" s="573"/>
      <c r="EC9" s="573"/>
      <c r="ED9" s="573"/>
      <c r="EE9" s="573"/>
      <c r="EF9" s="573"/>
      <c r="EG9" s="573"/>
      <c r="EH9" s="573"/>
      <c r="EI9" s="573"/>
      <c r="EJ9" s="573"/>
      <c r="EK9" s="573"/>
      <c r="EL9" s="573"/>
      <c r="EM9" s="573"/>
      <c r="EN9" s="573"/>
      <c r="EO9" s="573"/>
      <c r="EP9" s="573"/>
      <c r="EQ9" s="573"/>
      <c r="ER9" s="573"/>
      <c r="ES9" s="573"/>
      <c r="ET9" s="573"/>
      <c r="EU9" s="573"/>
      <c r="EV9" s="573"/>
      <c r="EW9" s="573"/>
      <c r="EX9" s="573"/>
      <c r="EY9" s="573"/>
      <c r="EZ9" s="573"/>
      <c r="FA9" s="573"/>
      <c r="FB9" s="573"/>
      <c r="FC9" s="573"/>
      <c r="FD9" s="573"/>
      <c r="FE9" s="573"/>
      <c r="FF9" s="573"/>
      <c r="FG9" s="573"/>
      <c r="FH9" s="573"/>
      <c r="FI9" s="573"/>
      <c r="FJ9" s="573"/>
      <c r="FK9" s="573"/>
      <c r="FL9" s="573"/>
      <c r="FM9" s="573"/>
      <c r="FN9" s="573"/>
      <c r="FO9" s="573"/>
      <c r="FP9" s="573"/>
      <c r="FQ9" s="573"/>
      <c r="FR9" s="573"/>
      <c r="FS9" s="573"/>
      <c r="FT9" s="573"/>
      <c r="FU9" s="573"/>
      <c r="FV9" s="573"/>
      <c r="FW9" s="573"/>
      <c r="FX9" s="573"/>
      <c r="FY9" s="573"/>
      <c r="FZ9" s="573"/>
      <c r="GA9" s="573"/>
      <c r="GB9" s="573"/>
      <c r="GC9" s="573"/>
      <c r="GD9" s="573"/>
      <c r="GE9" s="573"/>
      <c r="GF9" s="573"/>
      <c r="GG9" s="573"/>
      <c r="GH9" s="573"/>
      <c r="GI9" s="573"/>
      <c r="GJ9" s="573"/>
      <c r="GK9" s="573"/>
      <c r="GL9" s="573"/>
      <c r="GM9" s="573"/>
      <c r="GN9" s="573"/>
      <c r="GO9" s="573"/>
      <c r="GP9" s="573"/>
      <c r="GQ9" s="573"/>
      <c r="GR9" s="573"/>
      <c r="GS9" s="573"/>
      <c r="GT9" s="573"/>
      <c r="GU9" s="573"/>
      <c r="GV9" s="573"/>
      <c r="GW9" s="573"/>
      <c r="GX9" s="573"/>
      <c r="GY9" s="573"/>
      <c r="GZ9" s="573"/>
      <c r="HA9" s="573"/>
      <c r="HB9" s="573"/>
      <c r="HC9" s="573"/>
      <c r="HD9" s="573"/>
      <c r="HE9" s="573"/>
      <c r="HF9" s="573"/>
      <c r="HG9" s="573"/>
      <c r="HH9" s="573"/>
      <c r="HI9" s="573"/>
      <c r="HJ9" s="573"/>
      <c r="HK9" s="573"/>
      <c r="HL9" s="573"/>
      <c r="HM9" s="573"/>
      <c r="HN9" s="573"/>
      <c r="HO9" s="573"/>
      <c r="HP9" s="573"/>
      <c r="HQ9" s="573"/>
      <c r="HR9" s="573"/>
      <c r="HS9" s="573"/>
      <c r="HT9" s="573"/>
      <c r="HU9" s="573"/>
      <c r="HV9" s="573"/>
      <c r="HW9" s="573"/>
      <c r="HX9" s="573"/>
      <c r="HY9" s="573"/>
      <c r="HZ9" s="573"/>
      <c r="IA9" s="573"/>
      <c r="IB9" s="573"/>
      <c r="IC9" s="573"/>
      <c r="ID9" s="573"/>
      <c r="IE9" s="573"/>
      <c r="IF9" s="573"/>
      <c r="IG9" s="573"/>
      <c r="IH9" s="573"/>
      <c r="II9" s="573"/>
      <c r="IJ9" s="573"/>
      <c r="IK9" s="573"/>
      <c r="IL9" s="573"/>
      <c r="IM9" s="573"/>
    </row>
    <row r="10" spans="1:247" s="588" customFormat="1" ht="12.75" customHeight="1" thickBot="1" x14ac:dyDescent="0.25">
      <c r="B10" s="1087" t="s">
        <v>190</v>
      </c>
      <c r="C10" s="1088"/>
      <c r="D10" s="1088"/>
      <c r="E10" s="1089"/>
      <c r="F10" s="1090" t="s">
        <v>191</v>
      </c>
      <c r="G10" s="1091"/>
      <c r="H10" s="573"/>
      <c r="I10" s="573"/>
      <c r="J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c r="CD10" s="573"/>
      <c r="CE10" s="573"/>
      <c r="CF10" s="573"/>
      <c r="CG10" s="573"/>
      <c r="CH10" s="573"/>
      <c r="CI10" s="573"/>
      <c r="CJ10" s="573"/>
      <c r="CK10" s="573"/>
      <c r="CL10" s="573"/>
      <c r="CM10" s="573"/>
      <c r="CN10" s="573"/>
      <c r="CO10" s="573"/>
      <c r="CP10" s="573"/>
      <c r="CQ10" s="573"/>
      <c r="CR10" s="573"/>
      <c r="CS10" s="573"/>
      <c r="CT10" s="573"/>
      <c r="CU10" s="573"/>
      <c r="CV10" s="573"/>
      <c r="CW10" s="573"/>
      <c r="CX10" s="573"/>
      <c r="CY10" s="573"/>
      <c r="CZ10" s="573"/>
      <c r="DA10" s="573"/>
      <c r="DB10" s="573"/>
      <c r="DC10" s="573"/>
      <c r="DD10" s="573"/>
      <c r="DE10" s="573"/>
      <c r="DF10" s="573"/>
      <c r="DG10" s="573"/>
      <c r="DH10" s="573"/>
      <c r="DI10" s="573"/>
      <c r="DJ10" s="573"/>
      <c r="DK10" s="573"/>
      <c r="DL10" s="573"/>
      <c r="DM10" s="573"/>
      <c r="DN10" s="573"/>
      <c r="DO10" s="573"/>
      <c r="DP10" s="573"/>
      <c r="DQ10" s="573"/>
      <c r="DR10" s="573"/>
      <c r="DS10" s="573"/>
      <c r="DT10" s="573"/>
      <c r="DU10" s="573"/>
      <c r="DV10" s="573"/>
      <c r="DW10" s="573"/>
      <c r="DX10" s="573"/>
      <c r="DY10" s="573"/>
      <c r="DZ10" s="573"/>
      <c r="EA10" s="573"/>
      <c r="EB10" s="573"/>
      <c r="EC10" s="573"/>
      <c r="ED10" s="573"/>
      <c r="EE10" s="573"/>
      <c r="EF10" s="573"/>
      <c r="EG10" s="573"/>
      <c r="EH10" s="573"/>
      <c r="EI10" s="573"/>
      <c r="EJ10" s="573"/>
      <c r="EK10" s="573"/>
      <c r="EL10" s="573"/>
      <c r="EM10" s="573"/>
      <c r="EN10" s="573"/>
      <c r="EO10" s="573"/>
      <c r="EP10" s="573"/>
      <c r="EQ10" s="573"/>
      <c r="ER10" s="573"/>
      <c r="ES10" s="573"/>
      <c r="ET10" s="573"/>
      <c r="EU10" s="573"/>
      <c r="EV10" s="573"/>
      <c r="EW10" s="573"/>
      <c r="EX10" s="573"/>
      <c r="EY10" s="573"/>
      <c r="EZ10" s="573"/>
      <c r="FA10" s="573"/>
      <c r="FB10" s="573"/>
      <c r="FC10" s="573"/>
      <c r="FD10" s="573"/>
      <c r="FE10" s="573"/>
      <c r="FF10" s="573"/>
      <c r="FG10" s="573"/>
      <c r="FH10" s="573"/>
      <c r="FI10" s="573"/>
      <c r="FJ10" s="573"/>
      <c r="FK10" s="573"/>
      <c r="FL10" s="573"/>
      <c r="FM10" s="573"/>
      <c r="FN10" s="573"/>
      <c r="FO10" s="573"/>
      <c r="FP10" s="573"/>
      <c r="FQ10" s="573"/>
      <c r="FR10" s="573"/>
      <c r="FS10" s="573"/>
      <c r="FT10" s="573"/>
      <c r="FU10" s="573"/>
      <c r="FV10" s="573"/>
      <c r="FW10" s="573"/>
      <c r="FX10" s="573"/>
      <c r="FY10" s="573"/>
      <c r="FZ10" s="573"/>
      <c r="GA10" s="573"/>
      <c r="GB10" s="573"/>
      <c r="GC10" s="573"/>
      <c r="GD10" s="573"/>
      <c r="GE10" s="573"/>
      <c r="GF10" s="573"/>
      <c r="GG10" s="573"/>
      <c r="GH10" s="573"/>
      <c r="GI10" s="573"/>
      <c r="GJ10" s="573"/>
      <c r="GK10" s="573"/>
      <c r="GL10" s="573"/>
      <c r="GM10" s="573"/>
      <c r="GN10" s="573"/>
      <c r="GO10" s="573"/>
      <c r="GP10" s="573"/>
      <c r="GQ10" s="573"/>
      <c r="GR10" s="573"/>
      <c r="GS10" s="573"/>
      <c r="GT10" s="573"/>
      <c r="GU10" s="573"/>
      <c r="GV10" s="573"/>
      <c r="GW10" s="573"/>
      <c r="GX10" s="573"/>
      <c r="GY10" s="573"/>
      <c r="GZ10" s="573"/>
      <c r="HA10" s="573"/>
      <c r="HB10" s="573"/>
      <c r="HC10" s="573"/>
      <c r="HD10" s="573"/>
      <c r="HE10" s="573"/>
      <c r="HF10" s="573"/>
      <c r="HG10" s="573"/>
      <c r="HH10" s="573"/>
      <c r="HI10" s="573"/>
      <c r="HJ10" s="573"/>
      <c r="HK10" s="573"/>
      <c r="HL10" s="573"/>
      <c r="HM10" s="573"/>
      <c r="HN10" s="573"/>
      <c r="HO10" s="573"/>
      <c r="HP10" s="573"/>
      <c r="HQ10" s="573"/>
      <c r="HR10" s="573"/>
      <c r="HS10" s="573"/>
      <c r="HT10" s="573"/>
      <c r="HU10" s="573"/>
      <c r="HV10" s="573"/>
      <c r="HW10" s="573"/>
      <c r="HX10" s="573"/>
      <c r="HY10" s="573"/>
      <c r="HZ10" s="573"/>
      <c r="IA10" s="573"/>
      <c r="IB10" s="573"/>
      <c r="IC10" s="573"/>
      <c r="ID10" s="573"/>
      <c r="IE10" s="573"/>
      <c r="IF10" s="573"/>
      <c r="IG10" s="573"/>
      <c r="IH10" s="573"/>
      <c r="II10" s="573"/>
      <c r="IJ10" s="573"/>
      <c r="IK10" s="573"/>
      <c r="IL10" s="573"/>
      <c r="IM10" s="573"/>
    </row>
    <row r="11" spans="1:247" ht="12.75" customHeight="1" thickTop="1" x14ac:dyDescent="0.2">
      <c r="A11" s="573"/>
      <c r="B11" s="591"/>
      <c r="C11" s="591"/>
      <c r="D11" s="592"/>
      <c r="E11" s="592"/>
      <c r="F11" s="592"/>
      <c r="G11" s="593"/>
      <c r="H11" s="593"/>
      <c r="I11" s="593"/>
      <c r="J11" s="593"/>
      <c r="K11" s="593"/>
      <c r="L11" s="593"/>
      <c r="M11" s="593"/>
    </row>
    <row r="12" spans="1:247" ht="50.25" customHeight="1" x14ac:dyDescent="0.2">
      <c r="A12" s="573"/>
      <c r="B12" s="574" t="s">
        <v>194</v>
      </c>
      <c r="C12" s="1073" t="s">
        <v>286</v>
      </c>
      <c r="D12" s="1073"/>
      <c r="E12" s="1073"/>
      <c r="F12" s="1073"/>
      <c r="G12" s="1073"/>
      <c r="H12" s="1073"/>
      <c r="I12" s="1073"/>
      <c r="J12" s="1073"/>
      <c r="K12" s="1073"/>
      <c r="L12" s="1073"/>
      <c r="M12" s="573"/>
    </row>
    <row r="13" spans="1:247" ht="12.75" customHeight="1" x14ac:dyDescent="0.2">
      <c r="A13" s="573"/>
      <c r="B13" s="574"/>
      <c r="C13" s="598"/>
      <c r="E13" s="573"/>
      <c r="F13" s="599"/>
      <c r="G13" s="599"/>
      <c r="H13" s="600"/>
      <c r="I13" s="601"/>
      <c r="J13" s="601"/>
      <c r="K13" s="600"/>
      <c r="L13" s="573"/>
      <c r="M13" s="573"/>
    </row>
    <row r="14" spans="1:247" ht="12.75" customHeight="1" x14ac:dyDescent="0.2">
      <c r="A14" s="573"/>
      <c r="B14" s="574"/>
      <c r="C14" s="581"/>
      <c r="E14" s="573"/>
      <c r="F14" s="599"/>
      <c r="G14" s="599"/>
      <c r="H14" s="600"/>
      <c r="I14" s="601"/>
      <c r="J14" s="601"/>
      <c r="K14" s="600"/>
      <c r="L14" s="573"/>
      <c r="M14" s="573"/>
    </row>
    <row r="15" spans="1:247" ht="12.75" customHeight="1" x14ac:dyDescent="0.2">
      <c r="A15" s="573"/>
      <c r="B15" s="602"/>
      <c r="C15" s="602"/>
      <c r="F15" s="581"/>
      <c r="I15" s="573"/>
      <c r="J15" s="573"/>
      <c r="K15" s="573"/>
      <c r="L15" s="573"/>
      <c r="M15" s="573"/>
    </row>
    <row r="16" spans="1:247" s="37" customFormat="1" x14ac:dyDescent="0.25">
      <c r="A16" s="603" t="s">
        <v>195</v>
      </c>
      <c r="B16" s="603" t="s">
        <v>196</v>
      </c>
      <c r="C16" s="603"/>
      <c r="D16" s="603"/>
      <c r="E16" s="604"/>
      <c r="F16" s="604"/>
      <c r="G16" s="604"/>
      <c r="H16" s="604"/>
      <c r="I16" s="604"/>
      <c r="J16" s="604"/>
      <c r="K16" s="604"/>
      <c r="L16" s="605"/>
      <c r="M16" s="605"/>
      <c r="N16" s="134"/>
      <c r="O16" s="134"/>
    </row>
    <row r="17" spans="1:15" ht="12.75" customHeight="1" thickBot="1" x14ac:dyDescent="0.25">
      <c r="A17" s="606"/>
      <c r="B17" s="606"/>
      <c r="C17" s="606"/>
      <c r="D17" s="606"/>
      <c r="E17" s="606"/>
      <c r="F17" s="606"/>
      <c r="G17" s="606"/>
      <c r="H17" s="606"/>
      <c r="I17" s="606"/>
      <c r="J17" s="606"/>
      <c r="K17" s="606"/>
      <c r="L17" s="606"/>
      <c r="M17" s="606"/>
      <c r="N17" s="606"/>
    </row>
    <row r="18" spans="1:15" ht="12.75" customHeight="1" thickTop="1" thickBot="1" x14ac:dyDescent="0.25">
      <c r="A18" s="606"/>
      <c r="B18" s="606" t="s">
        <v>743</v>
      </c>
      <c r="C18" s="606"/>
      <c r="D18" s="606"/>
      <c r="E18" s="606"/>
      <c r="F18" s="606"/>
      <c r="G18" s="606"/>
      <c r="H18" s="41" t="s">
        <v>198</v>
      </c>
      <c r="I18" s="42" t="s">
        <v>199</v>
      </c>
      <c r="J18" s="42" t="s">
        <v>200</v>
      </c>
      <c r="K18" s="42" t="s">
        <v>201</v>
      </c>
      <c r="L18" s="43" t="s">
        <v>164</v>
      </c>
      <c r="M18" s="606"/>
      <c r="N18" s="606"/>
    </row>
    <row r="19" spans="1:15" ht="12.75" customHeight="1" thickTop="1" thickBot="1" x14ac:dyDescent="0.25">
      <c r="A19" s="606"/>
      <c r="B19" s="606" t="s">
        <v>744</v>
      </c>
      <c r="C19" s="606"/>
      <c r="D19" s="606"/>
      <c r="E19" s="606"/>
      <c r="F19" s="606"/>
      <c r="G19" s="606"/>
      <c r="H19" s="143">
        <f>30.11/1454/2.2*1000</f>
        <v>9.4129048393147414</v>
      </c>
      <c r="I19" s="143"/>
      <c r="J19" s="143">
        <v>6.6800000000000002E-3</v>
      </c>
      <c r="K19" s="614">
        <f>0.00247+0.0000441</f>
        <v>2.5141E-3</v>
      </c>
      <c r="L19" s="144">
        <f>0.46/1454/2.2*1000</f>
        <v>0.14380392647242718</v>
      </c>
      <c r="M19" s="606"/>
      <c r="N19" s="606"/>
    </row>
    <row r="20" spans="1:15" ht="38.25" customHeight="1" thickTop="1" thickBot="1" x14ac:dyDescent="0.25">
      <c r="A20" s="606"/>
      <c r="B20" s="573"/>
      <c r="C20" s="606"/>
      <c r="D20" s="1092" t="s">
        <v>283</v>
      </c>
      <c r="E20" s="1092"/>
      <c r="F20" s="1092"/>
      <c r="G20" s="1093"/>
      <c r="H20" s="41" t="s">
        <v>745</v>
      </c>
      <c r="I20" s="42" t="s">
        <v>199</v>
      </c>
      <c r="J20" s="42" t="s">
        <v>200</v>
      </c>
      <c r="K20" s="42" t="s">
        <v>201</v>
      </c>
      <c r="L20" s="43" t="s">
        <v>164</v>
      </c>
      <c r="M20" s="606"/>
      <c r="N20" s="606"/>
    </row>
    <row r="21" spans="1:15" ht="12.75" customHeight="1" thickTop="1" thickBot="1" x14ac:dyDescent="0.25">
      <c r="A21" s="606"/>
      <c r="B21" s="606" t="s">
        <v>282</v>
      </c>
      <c r="C21" s="606"/>
      <c r="D21" s="606"/>
      <c r="E21" s="606"/>
      <c r="F21" s="606"/>
      <c r="G21" s="606"/>
      <c r="H21" s="136">
        <v>4.7</v>
      </c>
      <c r="I21" s="137"/>
      <c r="J21" s="138"/>
      <c r="K21" s="139"/>
      <c r="L21" s="140">
        <v>0.4</v>
      </c>
      <c r="M21" s="606"/>
      <c r="N21" s="606"/>
    </row>
    <row r="22" spans="1:15" ht="12.75" customHeight="1" thickTop="1" x14ac:dyDescent="0.2">
      <c r="A22" s="606"/>
      <c r="B22" s="606" t="s">
        <v>746</v>
      </c>
      <c r="C22" s="606"/>
      <c r="D22" s="606"/>
      <c r="E22" s="606"/>
      <c r="F22" s="606"/>
      <c r="G22" s="606"/>
      <c r="H22" s="136">
        <v>4</v>
      </c>
      <c r="I22" s="137"/>
      <c r="J22" s="138">
        <v>5.4999999999999997E-3</v>
      </c>
      <c r="K22" s="139">
        <v>7.0500000000000001E-4</v>
      </c>
      <c r="L22" s="140">
        <v>0.02</v>
      </c>
      <c r="M22" s="606"/>
      <c r="N22" s="606"/>
    </row>
    <row r="23" spans="1:15" ht="12.75" customHeight="1" thickBot="1" x14ac:dyDescent="0.25">
      <c r="A23" s="606"/>
      <c r="B23" s="606" t="s">
        <v>279</v>
      </c>
      <c r="C23" s="606"/>
      <c r="D23" s="606"/>
      <c r="E23" s="606"/>
      <c r="F23" s="606"/>
      <c r="G23" s="606"/>
      <c r="H23" s="143">
        <v>4</v>
      </c>
      <c r="I23" s="143"/>
      <c r="J23" s="143"/>
      <c r="K23" s="614"/>
      <c r="L23" s="144">
        <v>0.2</v>
      </c>
      <c r="M23" s="606"/>
      <c r="N23" s="606"/>
    </row>
    <row r="24" spans="1:15" ht="12.75" customHeight="1" thickTop="1" x14ac:dyDescent="0.2">
      <c r="A24" s="606"/>
      <c r="B24" s="606"/>
      <c r="C24" s="606"/>
      <c r="D24" s="606"/>
      <c r="E24" s="606"/>
      <c r="F24" s="606"/>
      <c r="G24" s="606"/>
      <c r="H24" s="155"/>
      <c r="I24" s="155"/>
      <c r="J24" s="155"/>
      <c r="K24" s="155"/>
      <c r="L24" s="155"/>
      <c r="M24" s="606"/>
      <c r="N24" s="606"/>
    </row>
    <row r="25" spans="1:15" ht="12.75" customHeight="1" x14ac:dyDescent="0.2">
      <c r="A25" s="606"/>
      <c r="B25" s="606" t="s">
        <v>280</v>
      </c>
      <c r="C25" s="606"/>
      <c r="D25" s="606"/>
      <c r="E25" s="606" t="s">
        <v>281</v>
      </c>
      <c r="F25" s="606">
        <v>0.74570000000000003</v>
      </c>
      <c r="G25" s="606" t="s">
        <v>116</v>
      </c>
      <c r="H25" s="606"/>
      <c r="I25" s="606"/>
      <c r="J25" s="606"/>
      <c r="K25" s="606"/>
      <c r="L25" s="606"/>
      <c r="M25" s="606"/>
      <c r="N25" s="606"/>
    </row>
    <row r="26" spans="1:15" ht="12.75" customHeight="1" x14ac:dyDescent="0.2">
      <c r="A26" s="606"/>
      <c r="B26" s="606"/>
      <c r="C26" s="606"/>
      <c r="D26" s="606"/>
      <c r="E26" s="606"/>
      <c r="F26" s="606"/>
      <c r="G26" s="606"/>
      <c r="H26" s="606"/>
      <c r="I26" s="606"/>
      <c r="J26" s="606"/>
      <c r="K26" s="606"/>
      <c r="L26" s="606"/>
      <c r="M26" s="606"/>
      <c r="N26" s="606"/>
    </row>
    <row r="27" spans="1:15" ht="15" thickBot="1" x14ac:dyDescent="0.25">
      <c r="A27" s="580"/>
      <c r="B27" s="607" t="s">
        <v>197</v>
      </c>
      <c r="C27" s="608"/>
      <c r="D27" s="608"/>
      <c r="E27" s="608"/>
      <c r="F27" s="573"/>
      <c r="G27" s="573"/>
      <c r="H27" s="573"/>
      <c r="I27" s="573"/>
      <c r="J27" s="609"/>
      <c r="K27" s="573"/>
      <c r="L27" s="573"/>
      <c r="M27" s="573"/>
    </row>
    <row r="28" spans="1:15" s="610" customFormat="1" ht="15.75" thickTop="1" thickBot="1" x14ac:dyDescent="0.25">
      <c r="B28" s="39"/>
      <c r="C28" s="40"/>
      <c r="D28" s="40"/>
      <c r="E28" s="40"/>
      <c r="F28" s="40"/>
      <c r="G28" s="40"/>
      <c r="H28" s="41" t="s">
        <v>198</v>
      </c>
      <c r="I28" s="42" t="s">
        <v>199</v>
      </c>
      <c r="J28" s="42" t="s">
        <v>200</v>
      </c>
      <c r="K28" s="42" t="s">
        <v>201</v>
      </c>
      <c r="L28" s="43" t="s">
        <v>202</v>
      </c>
      <c r="M28" s="611" t="s">
        <v>203</v>
      </c>
      <c r="N28" s="135"/>
      <c r="O28" s="617"/>
    </row>
    <row r="29" spans="1:15" s="610" customFormat="1" ht="16.5" customHeight="1" thickTop="1" x14ac:dyDescent="0.25">
      <c r="B29" s="1094" t="s">
        <v>267</v>
      </c>
      <c r="C29" s="1095"/>
      <c r="D29" s="1095"/>
      <c r="E29" s="1095"/>
      <c r="F29" s="1095"/>
      <c r="G29" s="1095"/>
      <c r="H29" s="136">
        <v>2.4E-2</v>
      </c>
      <c r="I29" s="137">
        <v>8.09E-3</v>
      </c>
      <c r="J29" s="138">
        <v>5.4999999999999997E-3</v>
      </c>
      <c r="K29" s="139">
        <v>7.0500000000000001E-4</v>
      </c>
      <c r="L29" s="140">
        <v>4.0000000000000002E-4</v>
      </c>
      <c r="M29" s="141">
        <v>1.1599999999999999</v>
      </c>
      <c r="N29" s="142"/>
      <c r="O29" s="617"/>
    </row>
    <row r="30" spans="1:15" ht="16.5" customHeight="1" thickBot="1" x14ac:dyDescent="0.25">
      <c r="A30" s="573"/>
      <c r="B30" s="1096" t="s">
        <v>204</v>
      </c>
      <c r="C30" s="1097"/>
      <c r="D30" s="1097"/>
      <c r="E30" s="1097"/>
      <c r="F30" s="1097"/>
      <c r="G30" s="1098"/>
      <c r="H30" s="143">
        <v>3.1E-2</v>
      </c>
      <c r="I30" s="143">
        <v>2.0500000000000002E-3</v>
      </c>
      <c r="J30" s="143">
        <v>6.6800000000000002E-3</v>
      </c>
      <c r="K30" s="614">
        <f>0.00247+0.0000441</f>
        <v>2.5141E-3</v>
      </c>
      <c r="L30" s="144">
        <v>2.2000000000000001E-3</v>
      </c>
      <c r="M30" s="145">
        <v>1.1499999999999999</v>
      </c>
      <c r="N30" s="146"/>
    </row>
    <row r="31" spans="1:15" s="610" customFormat="1" ht="15" thickTop="1" x14ac:dyDescent="0.25">
      <c r="B31" s="616" t="s">
        <v>268</v>
      </c>
      <c r="C31" s="616"/>
      <c r="I31" s="147"/>
      <c r="J31" s="617"/>
      <c r="K31" s="617"/>
      <c r="L31" s="617"/>
      <c r="M31" s="617"/>
      <c r="N31" s="617"/>
    </row>
    <row r="32" spans="1:15" ht="12.75" customHeight="1" x14ac:dyDescent="0.2">
      <c r="A32" s="573"/>
      <c r="B32" s="574" t="s">
        <v>192</v>
      </c>
      <c r="C32" s="597" t="s">
        <v>193</v>
      </c>
      <c r="D32" s="618"/>
      <c r="E32" s="619"/>
      <c r="F32" s="619"/>
      <c r="G32" s="619"/>
      <c r="H32" s="619"/>
      <c r="I32" s="573"/>
      <c r="J32" s="573"/>
      <c r="K32" s="573"/>
      <c r="L32" s="573"/>
      <c r="M32" s="573"/>
    </row>
    <row r="33" spans="1:15" ht="12.75" customHeight="1" x14ac:dyDescent="0.2">
      <c r="A33" s="573"/>
      <c r="B33" s="574"/>
      <c r="C33" s="597"/>
      <c r="D33" s="618"/>
      <c r="E33" s="619"/>
      <c r="F33" s="619"/>
      <c r="G33" s="619"/>
      <c r="H33" s="619"/>
      <c r="I33" s="573"/>
      <c r="J33" s="573"/>
      <c r="K33" s="573"/>
      <c r="L33" s="573"/>
      <c r="M33" s="573"/>
    </row>
    <row r="34" spans="1:15" s="610" customFormat="1" ht="12.75" customHeight="1" x14ac:dyDescent="0.2">
      <c r="B34" s="582" t="s">
        <v>206</v>
      </c>
      <c r="C34" s="583"/>
      <c r="D34" s="573"/>
      <c r="E34" s="620"/>
      <c r="F34" s="573"/>
      <c r="G34" s="573"/>
    </row>
    <row r="35" spans="1:15" s="610" customFormat="1" ht="12.75" customHeight="1" x14ac:dyDescent="0.2">
      <c r="B35" s="608" t="s">
        <v>284</v>
      </c>
      <c r="C35" s="583"/>
      <c r="D35" s="573"/>
      <c r="E35" s="620"/>
      <c r="F35" s="573"/>
      <c r="G35" s="573"/>
    </row>
    <row r="36" spans="1:15" s="610" customFormat="1" ht="12.75" customHeight="1" x14ac:dyDescent="0.2">
      <c r="B36" s="608" t="s">
        <v>285</v>
      </c>
      <c r="C36" s="583"/>
      <c r="D36" s="573"/>
      <c r="E36" s="620"/>
      <c r="F36" s="573"/>
      <c r="G36" s="573"/>
    </row>
    <row r="37" spans="1:15" s="610" customFormat="1" ht="12.75" customHeight="1" x14ac:dyDescent="0.2">
      <c r="B37" s="608" t="s">
        <v>207</v>
      </c>
      <c r="C37" s="583"/>
      <c r="D37" s="573"/>
      <c r="E37" s="620"/>
      <c r="F37" s="573"/>
      <c r="G37" s="573"/>
    </row>
    <row r="38" spans="1:15" s="610" customFormat="1" ht="12.75" customHeight="1" x14ac:dyDescent="0.2">
      <c r="B38" s="621"/>
      <c r="C38" s="583"/>
      <c r="D38" s="573"/>
      <c r="E38" s="620"/>
      <c r="F38" s="573"/>
      <c r="G38" s="573"/>
    </row>
    <row r="39" spans="1:15" s="46" customFormat="1" x14ac:dyDescent="0.25">
      <c r="A39" s="622" t="s">
        <v>208</v>
      </c>
      <c r="B39" s="622"/>
      <c r="C39" s="622"/>
      <c r="D39" s="622"/>
      <c r="E39" s="623"/>
      <c r="F39" s="623"/>
      <c r="G39" s="623"/>
      <c r="H39" s="624"/>
      <c r="I39" s="624"/>
      <c r="J39" s="623"/>
      <c r="K39" s="623"/>
      <c r="L39" s="623"/>
      <c r="M39" s="623"/>
    </row>
    <row r="40" spans="1:15" ht="12.75" customHeight="1" thickBot="1" x14ac:dyDescent="0.25">
      <c r="A40" s="573"/>
      <c r="B40" s="573"/>
      <c r="C40" s="573"/>
      <c r="D40" s="573"/>
      <c r="E40" s="573"/>
      <c r="F40" s="573"/>
      <c r="G40" s="573"/>
      <c r="H40" s="573"/>
      <c r="I40" s="573"/>
      <c r="J40" s="573"/>
      <c r="K40" s="573"/>
      <c r="L40" s="573"/>
      <c r="M40" s="573"/>
    </row>
    <row r="41" spans="1:15" ht="16.5" customHeight="1" thickTop="1" x14ac:dyDescent="0.2">
      <c r="A41" s="577" t="s">
        <v>16</v>
      </c>
      <c r="B41" s="1053" t="s">
        <v>209</v>
      </c>
      <c r="C41" s="1056" t="s">
        <v>210</v>
      </c>
      <c r="D41" s="1056" t="s">
        <v>211</v>
      </c>
      <c r="E41" s="1059" t="s">
        <v>212</v>
      </c>
      <c r="F41" s="1059" t="s">
        <v>213</v>
      </c>
      <c r="G41" s="1056" t="s">
        <v>214</v>
      </c>
      <c r="H41" s="1074" t="s">
        <v>215</v>
      </c>
      <c r="I41" s="1074"/>
      <c r="J41" s="1074"/>
      <c r="K41" s="1074"/>
      <c r="L41" s="1074"/>
      <c r="M41" s="1075"/>
    </row>
    <row r="42" spans="1:15" ht="12.75" customHeight="1" x14ac:dyDescent="0.2">
      <c r="A42" s="577"/>
      <c r="B42" s="1054"/>
      <c r="C42" s="1057"/>
      <c r="D42" s="1057"/>
      <c r="E42" s="1060"/>
      <c r="F42" s="1060"/>
      <c r="G42" s="1057"/>
      <c r="H42" s="1076" t="s">
        <v>216</v>
      </c>
      <c r="I42" s="1076" t="s">
        <v>217</v>
      </c>
      <c r="J42" s="1076" t="s">
        <v>200</v>
      </c>
      <c r="K42" s="1076" t="s">
        <v>201</v>
      </c>
      <c r="L42" s="1076" t="s">
        <v>784</v>
      </c>
      <c r="M42" s="1080" t="s">
        <v>219</v>
      </c>
      <c r="N42" s="577"/>
    </row>
    <row r="43" spans="1:15" ht="13.5" customHeight="1" thickBot="1" x14ac:dyDescent="0.25">
      <c r="A43" s="577"/>
      <c r="B43" s="1055"/>
      <c r="C43" s="1058"/>
      <c r="D43" s="1058"/>
      <c r="E43" s="1061"/>
      <c r="F43" s="1062"/>
      <c r="G43" s="1058"/>
      <c r="H43" s="1077"/>
      <c r="I43" s="1078"/>
      <c r="J43" s="1077"/>
      <c r="K43" s="1077"/>
      <c r="L43" s="1079"/>
      <c r="M43" s="1081"/>
      <c r="O43" s="148"/>
    </row>
    <row r="44" spans="1:15" ht="12.75" customHeight="1" thickTop="1" x14ac:dyDescent="0.2">
      <c r="A44" s="573">
        <v>26</v>
      </c>
      <c r="B44" s="149" t="s">
        <v>269</v>
      </c>
      <c r="C44" s="626" t="s">
        <v>222</v>
      </c>
      <c r="D44" s="627">
        <v>2012</v>
      </c>
      <c r="E44" s="628" t="s">
        <v>270</v>
      </c>
      <c r="F44" s="150">
        <v>295</v>
      </c>
      <c r="G44" s="151">
        <v>500</v>
      </c>
      <c r="H44" s="48">
        <f>$F44*H22*$F25/1000*2.2*G44</f>
        <v>967.9186000000002</v>
      </c>
      <c r="I44" s="631">
        <f>F44*G44*$I$30</f>
        <v>302.375</v>
      </c>
      <c r="J44" s="631">
        <f>F44*G44*$J$30</f>
        <v>985.30000000000007</v>
      </c>
      <c r="K44" s="631">
        <f>F44*G44*$K$30</f>
        <v>370.82974999999999</v>
      </c>
      <c r="L44" s="48">
        <f>$F44*L22*$F25/1000*2.2*K44</f>
        <v>3.5893301245835003</v>
      </c>
      <c r="M44" s="49">
        <f>F44*G44*$M$30</f>
        <v>169625</v>
      </c>
      <c r="N44" s="577"/>
    </row>
    <row r="45" spans="1:15" ht="12.75" customHeight="1" x14ac:dyDescent="0.2">
      <c r="A45" s="573">
        <v>27</v>
      </c>
      <c r="B45" s="156">
        <v>1580</v>
      </c>
      <c r="C45" s="633" t="s">
        <v>271</v>
      </c>
      <c r="D45" s="634">
        <v>2009</v>
      </c>
      <c r="E45" s="635" t="s">
        <v>272</v>
      </c>
      <c r="F45" s="153">
        <v>67</v>
      </c>
      <c r="G45" s="151">
        <v>500</v>
      </c>
      <c r="H45" s="50">
        <f>F45*H21*F25/1000*2.2*G45</f>
        <v>258.30302300000005</v>
      </c>
      <c r="I45" s="51">
        <f>F45*G45*$I$30</f>
        <v>68.675000000000011</v>
      </c>
      <c r="J45" s="52">
        <f>F45*G45*$J$30</f>
        <v>223.78</v>
      </c>
      <c r="K45" s="53">
        <f>F45*G45*$K$30</f>
        <v>84.222350000000006</v>
      </c>
      <c r="L45" s="54">
        <f>F45*L21*F25/1000*2.2*G45</f>
        <v>21.983236000000002</v>
      </c>
      <c r="M45" s="55">
        <f>F45*G45*$M$30</f>
        <v>38525</v>
      </c>
      <c r="N45" s="577"/>
    </row>
    <row r="46" spans="1:15" ht="12.75" customHeight="1" x14ac:dyDescent="0.2">
      <c r="A46" s="577">
        <v>28</v>
      </c>
      <c r="B46" s="152">
        <v>3406</v>
      </c>
      <c r="C46" s="638" t="s">
        <v>273</v>
      </c>
      <c r="D46" s="639">
        <v>2007</v>
      </c>
      <c r="E46" s="635" t="s">
        <v>274</v>
      </c>
      <c r="F46" s="153">
        <v>398</v>
      </c>
      <c r="G46" s="151">
        <v>500</v>
      </c>
      <c r="H46" s="56">
        <f>F46*H23*F25/1000*2.2*G46</f>
        <v>1305.8698400000001</v>
      </c>
      <c r="I46" s="53">
        <f>F46*G46*$I$30</f>
        <v>407.95000000000005</v>
      </c>
      <c r="J46" s="53">
        <f>F46*G46*$J$30</f>
        <v>1329.32</v>
      </c>
      <c r="K46" s="52">
        <f>F46*G46*$K$30</f>
        <v>500.30590000000001</v>
      </c>
      <c r="L46" s="57">
        <f>F46*L23*F25/1000*2.2*G46</f>
        <v>65.293492000000029</v>
      </c>
      <c r="M46" s="58">
        <f>F46*G46*$M$30</f>
        <v>228849.99999999997</v>
      </c>
      <c r="N46" s="577"/>
    </row>
    <row r="47" spans="1:15" ht="12.75" customHeight="1" x14ac:dyDescent="0.2">
      <c r="A47" s="577">
        <v>29</v>
      </c>
      <c r="B47" s="156">
        <v>3567</v>
      </c>
      <c r="C47" s="641" t="s">
        <v>275</v>
      </c>
      <c r="D47" s="639" t="s">
        <v>276</v>
      </c>
      <c r="E47" s="635" t="s">
        <v>277</v>
      </c>
      <c r="F47" s="153">
        <v>47</v>
      </c>
      <c r="G47" s="151">
        <v>500</v>
      </c>
      <c r="H47" s="59">
        <f>F47*G47*$H$30</f>
        <v>728.5</v>
      </c>
      <c r="I47" s="50">
        <f>F47*G47*$I$30</f>
        <v>48.175000000000004</v>
      </c>
      <c r="J47" s="50">
        <f>F47*G47*$J$30</f>
        <v>156.98000000000002</v>
      </c>
      <c r="K47" s="51">
        <f>F47*G47*$K$30</f>
        <v>59.08135</v>
      </c>
      <c r="L47" s="60">
        <f>F47*G47*$L$30</f>
        <v>51.7</v>
      </c>
      <c r="M47" s="55">
        <f>F47*G47*$M$30</f>
        <v>27024.999999999996</v>
      </c>
      <c r="N47" s="577"/>
    </row>
    <row r="48" spans="1:15" s="643" customFormat="1" ht="36" customHeight="1" x14ac:dyDescent="0.2">
      <c r="A48" s="573">
        <v>11</v>
      </c>
      <c r="B48" s="152" t="s">
        <v>287</v>
      </c>
      <c r="C48" s="642" t="s">
        <v>273</v>
      </c>
      <c r="D48" s="639">
        <v>2003</v>
      </c>
      <c r="E48" s="635">
        <v>3512</v>
      </c>
      <c r="F48" s="153">
        <v>1454</v>
      </c>
      <c r="G48" s="151">
        <v>200</v>
      </c>
      <c r="H48" s="56">
        <f>F48*H$19/1000*2.2*G48</f>
        <v>6021.9999999999991</v>
      </c>
      <c r="I48" s="52">
        <f>F48*G48*$I$29</f>
        <v>2352.5720000000001</v>
      </c>
      <c r="J48" s="52">
        <f>F48*G48*$J$29</f>
        <v>1599.3999999999999</v>
      </c>
      <c r="K48" s="54">
        <f>F48*G48*$K$29</f>
        <v>205.01400000000001</v>
      </c>
      <c r="L48" s="61">
        <f>F48*L$19/1000*2.2*G48</f>
        <v>92.000000000000028</v>
      </c>
      <c r="M48" s="55">
        <f>F48*G48*$M$29</f>
        <v>337328</v>
      </c>
      <c r="N48" s="154"/>
    </row>
    <row r="49" spans="1:14" s="643" customFormat="1" ht="39.75" customHeight="1" x14ac:dyDescent="0.2">
      <c r="A49" s="573">
        <v>12</v>
      </c>
      <c r="B49" s="152" t="s">
        <v>287</v>
      </c>
      <c r="C49" s="642" t="s">
        <v>273</v>
      </c>
      <c r="D49" s="639">
        <v>2003</v>
      </c>
      <c r="E49" s="635">
        <v>3512</v>
      </c>
      <c r="F49" s="153">
        <v>1454</v>
      </c>
      <c r="G49" s="151">
        <v>200</v>
      </c>
      <c r="H49" s="56">
        <f>F49*H$19/1000*2.2*G49</f>
        <v>6021.9999999999991</v>
      </c>
      <c r="I49" s="52">
        <f t="shared" ref="I49:I50" si="0">F49*G49*$I$29</f>
        <v>2352.5720000000001</v>
      </c>
      <c r="J49" s="52">
        <f t="shared" ref="J49:J50" si="1">F49*G49*$J$29</f>
        <v>1599.3999999999999</v>
      </c>
      <c r="K49" s="54">
        <f t="shared" ref="K49:K50" si="2">F49*G49*$K$29</f>
        <v>205.01400000000001</v>
      </c>
      <c r="L49" s="61">
        <f>F49*L$19/1000*2.2*G49</f>
        <v>92.000000000000028</v>
      </c>
      <c r="M49" s="55">
        <f t="shared" ref="M49:M50" si="3">F49*G49*$M$29</f>
        <v>337328</v>
      </c>
    </row>
    <row r="50" spans="1:14" s="643" customFormat="1" ht="39.75" customHeight="1" thickBot="1" x14ac:dyDescent="0.25">
      <c r="A50" s="573">
        <v>13</v>
      </c>
      <c r="B50" s="152" t="s">
        <v>287</v>
      </c>
      <c r="C50" s="642" t="s">
        <v>273</v>
      </c>
      <c r="D50" s="639">
        <v>2003</v>
      </c>
      <c r="E50" s="635">
        <v>3512</v>
      </c>
      <c r="F50" s="153">
        <v>1454</v>
      </c>
      <c r="G50" s="151">
        <v>200</v>
      </c>
      <c r="H50" s="56">
        <f>F50*H$19/1000*2.2*G50</f>
        <v>6021.9999999999991</v>
      </c>
      <c r="I50" s="52">
        <f t="shared" si="0"/>
        <v>2352.5720000000001</v>
      </c>
      <c r="J50" s="52">
        <f t="shared" si="1"/>
        <v>1599.3999999999999</v>
      </c>
      <c r="K50" s="54">
        <f t="shared" si="2"/>
        <v>205.01400000000001</v>
      </c>
      <c r="L50" s="61">
        <f>F50*L$19/1000*2.2*G50</f>
        <v>92.000000000000028</v>
      </c>
      <c r="M50" s="55">
        <f t="shared" si="3"/>
        <v>337328</v>
      </c>
      <c r="N50" s="154"/>
    </row>
    <row r="51" spans="1:14" s="643" customFormat="1" ht="12.75" customHeight="1" thickTop="1" x14ac:dyDescent="0.2">
      <c r="A51" s="573"/>
      <c r="B51" s="649" t="s">
        <v>227</v>
      </c>
      <c r="C51" s="650"/>
      <c r="D51" s="651"/>
      <c r="E51" s="651"/>
      <c r="F51" s="651"/>
      <c r="G51" s="652"/>
      <c r="H51" s="653">
        <f>SUM(H44:H50)</f>
        <v>21326.591463000001</v>
      </c>
      <c r="I51" s="653">
        <f>SUM(I44:I50)</f>
        <v>7884.8910000000005</v>
      </c>
      <c r="J51" s="62">
        <f>IF((SUM(J44:J50))&lt;0.05,"&lt;0.1",(SUM(J44:J50)))</f>
        <v>7493.579999999999</v>
      </c>
      <c r="K51" s="62">
        <f>IF((SUM(K44:K50))&lt;0.05,"&lt;0.1",(SUM(K44:K50)))</f>
        <v>1629.48135</v>
      </c>
      <c r="L51" s="63">
        <f>IF((SUM(L44:L50))&lt;0.05,"&lt;0.1",(SUM(L44:L50)))</f>
        <v>418.56605812458361</v>
      </c>
      <c r="M51" s="654">
        <f>SUM(M44:M50)</f>
        <v>1476009</v>
      </c>
    </row>
    <row r="52" spans="1:14" s="643" customFormat="1" ht="12.75" customHeight="1" thickBot="1" x14ac:dyDescent="0.25">
      <c r="A52" s="573"/>
      <c r="B52" s="655" t="s">
        <v>228</v>
      </c>
      <c r="C52" s="656"/>
      <c r="D52" s="657"/>
      <c r="E52" s="657"/>
      <c r="F52" s="657"/>
      <c r="G52" s="658"/>
      <c r="H52" s="659">
        <f>H51/2000</f>
        <v>10.6632957315</v>
      </c>
      <c r="I52" s="659">
        <f>I51/2000</f>
        <v>3.9424455000000003</v>
      </c>
      <c r="J52" s="64">
        <f>IF(J51="&lt;0.1","&lt;0.01",IF((J51/2000)&lt;0.005,"&lt;0.01",(J51/2000)))</f>
        <v>3.7467899999999994</v>
      </c>
      <c r="K52" s="64">
        <f>IF(K51="&lt;0.1","&lt;0.01",IF((K51/2000)&lt;0.005,"&lt;0.01",(K51/2000)))</f>
        <v>0.81474067500000003</v>
      </c>
      <c r="L52" s="65">
        <f>IF(L51="&lt;0.1","&lt;0.01",IF((L51/2000)&lt;0.005,"&lt;0.01",(L51/2000)))</f>
        <v>0.20928302906229179</v>
      </c>
      <c r="M52" s="660">
        <f>M51/2000</f>
        <v>738.00450000000001</v>
      </c>
      <c r="N52" s="154"/>
    </row>
    <row r="53" spans="1:14" ht="12.75" customHeight="1" thickTop="1" x14ac:dyDescent="0.2">
      <c r="C53" s="661"/>
      <c r="M53" s="661"/>
      <c r="N53" s="577"/>
    </row>
    <row r="54" spans="1:14" ht="12.75" customHeight="1" x14ac:dyDescent="0.3">
      <c r="B54" s="578" t="s">
        <v>785</v>
      </c>
      <c r="C54" s="661"/>
    </row>
    <row r="55" spans="1:14" ht="12.75" customHeight="1" x14ac:dyDescent="0.2">
      <c r="C55" s="661"/>
    </row>
    <row r="56" spans="1:14" ht="12.75" customHeight="1" x14ac:dyDescent="0.2">
      <c r="B56" s="119" t="s">
        <v>1003</v>
      </c>
      <c r="C56" s="661"/>
    </row>
    <row r="57" spans="1:14" ht="12.75" customHeight="1" x14ac:dyDescent="0.2">
      <c r="C57" s="661"/>
    </row>
    <row r="58" spans="1:14" ht="12.75" customHeight="1" x14ac:dyDescent="0.2">
      <c r="C58" s="661"/>
    </row>
    <row r="59" spans="1:14" ht="12.75" customHeight="1" x14ac:dyDescent="0.2">
      <c r="C59" s="661"/>
    </row>
    <row r="60" spans="1:14" ht="12.75" customHeight="1" x14ac:dyDescent="0.2">
      <c r="C60" s="661"/>
    </row>
    <row r="61" spans="1:14" ht="12.75" customHeight="1" x14ac:dyDescent="0.2">
      <c r="C61" s="661"/>
    </row>
    <row r="62" spans="1:14" ht="12.75" customHeight="1" x14ac:dyDescent="0.2">
      <c r="C62" s="661"/>
    </row>
    <row r="63" spans="1:14" ht="12.75" customHeight="1" x14ac:dyDescent="0.2">
      <c r="C63" s="661"/>
    </row>
    <row r="64" spans="1:14" ht="12.75" customHeight="1" x14ac:dyDescent="0.2">
      <c r="C64" s="661"/>
    </row>
    <row r="65" spans="3:250" s="578" customFormat="1" ht="12.75" customHeight="1" x14ac:dyDescent="0.2">
      <c r="C65" s="661"/>
      <c r="N65" s="573"/>
      <c r="O65" s="573"/>
      <c r="P65" s="573"/>
      <c r="Q65" s="573"/>
      <c r="R65" s="573"/>
      <c r="S65" s="573"/>
      <c r="T65" s="573"/>
      <c r="U65" s="573"/>
      <c r="V65" s="573"/>
      <c r="W65" s="573"/>
      <c r="X65" s="573"/>
      <c r="Y65" s="573"/>
      <c r="Z65" s="573"/>
      <c r="AA65" s="573"/>
      <c r="AB65" s="573"/>
      <c r="AC65" s="573"/>
      <c r="AD65" s="573"/>
      <c r="AE65" s="573"/>
      <c r="AF65" s="573"/>
      <c r="AG65" s="573"/>
      <c r="AH65" s="573"/>
      <c r="AI65" s="573"/>
      <c r="AJ65" s="573"/>
      <c r="AK65" s="573"/>
      <c r="AL65" s="573"/>
      <c r="AM65" s="573"/>
      <c r="AN65" s="573"/>
      <c r="AO65" s="573"/>
      <c r="AP65" s="573"/>
      <c r="AQ65" s="573"/>
      <c r="AR65" s="573"/>
      <c r="AS65" s="573"/>
      <c r="AT65" s="573"/>
      <c r="AU65" s="573"/>
      <c r="AV65" s="573"/>
      <c r="AW65" s="573"/>
      <c r="AX65" s="573"/>
      <c r="AY65" s="573"/>
      <c r="AZ65" s="573"/>
      <c r="BA65" s="573"/>
      <c r="BB65" s="573"/>
      <c r="BC65" s="573"/>
      <c r="BD65" s="573"/>
      <c r="BE65" s="573"/>
      <c r="BF65" s="573"/>
      <c r="BG65" s="573"/>
      <c r="BH65" s="573"/>
      <c r="BI65" s="573"/>
      <c r="BJ65" s="573"/>
      <c r="BK65" s="573"/>
      <c r="BL65" s="573"/>
      <c r="BM65" s="573"/>
      <c r="BN65" s="573"/>
      <c r="BO65" s="573"/>
      <c r="BP65" s="573"/>
      <c r="BQ65" s="573"/>
      <c r="BR65" s="573"/>
      <c r="BS65" s="573"/>
      <c r="BT65" s="573"/>
      <c r="BU65" s="573"/>
      <c r="BV65" s="573"/>
      <c r="BW65" s="573"/>
      <c r="BX65" s="573"/>
      <c r="BY65" s="573"/>
      <c r="BZ65" s="573"/>
      <c r="CA65" s="573"/>
      <c r="CB65" s="573"/>
      <c r="CC65" s="573"/>
      <c r="CD65" s="573"/>
      <c r="CE65" s="573"/>
      <c r="CF65" s="573"/>
      <c r="CG65" s="573"/>
      <c r="CH65" s="573"/>
      <c r="CI65" s="573"/>
      <c r="CJ65" s="573"/>
      <c r="CK65" s="573"/>
      <c r="CL65" s="573"/>
      <c r="CM65" s="573"/>
      <c r="CN65" s="573"/>
      <c r="CO65" s="573"/>
      <c r="CP65" s="573"/>
      <c r="CQ65" s="573"/>
      <c r="CR65" s="573"/>
      <c r="CS65" s="573"/>
      <c r="CT65" s="573"/>
      <c r="CU65" s="573"/>
      <c r="CV65" s="573"/>
      <c r="CW65" s="573"/>
      <c r="CX65" s="573"/>
      <c r="CY65" s="573"/>
      <c r="CZ65" s="573"/>
      <c r="DA65" s="573"/>
      <c r="DB65" s="573"/>
      <c r="DC65" s="573"/>
      <c r="DD65" s="573"/>
      <c r="DE65" s="573"/>
      <c r="DF65" s="573"/>
      <c r="DG65" s="573"/>
      <c r="DH65" s="573"/>
      <c r="DI65" s="573"/>
      <c r="DJ65" s="573"/>
      <c r="DK65" s="573"/>
      <c r="DL65" s="573"/>
      <c r="DM65" s="573"/>
      <c r="DN65" s="573"/>
      <c r="DO65" s="573"/>
      <c r="DP65" s="573"/>
      <c r="DQ65" s="573"/>
      <c r="DR65" s="573"/>
      <c r="DS65" s="573"/>
      <c r="DT65" s="573"/>
      <c r="DU65" s="573"/>
      <c r="DV65" s="573"/>
      <c r="DW65" s="573"/>
      <c r="DX65" s="573"/>
      <c r="DY65" s="573"/>
      <c r="DZ65" s="573"/>
      <c r="EA65" s="573"/>
      <c r="EB65" s="573"/>
      <c r="EC65" s="573"/>
      <c r="ED65" s="573"/>
      <c r="EE65" s="573"/>
      <c r="EF65" s="573"/>
      <c r="EG65" s="573"/>
      <c r="EH65" s="573"/>
      <c r="EI65" s="573"/>
      <c r="EJ65" s="573"/>
      <c r="EK65" s="573"/>
      <c r="EL65" s="573"/>
      <c r="EM65" s="573"/>
      <c r="EN65" s="573"/>
      <c r="EO65" s="573"/>
      <c r="EP65" s="573"/>
      <c r="EQ65" s="573"/>
      <c r="ER65" s="573"/>
      <c r="ES65" s="573"/>
      <c r="ET65" s="573"/>
      <c r="EU65" s="573"/>
      <c r="EV65" s="573"/>
      <c r="EW65" s="573"/>
      <c r="EX65" s="573"/>
      <c r="EY65" s="573"/>
      <c r="EZ65" s="573"/>
      <c r="FA65" s="573"/>
      <c r="FB65" s="573"/>
      <c r="FC65" s="573"/>
      <c r="FD65" s="573"/>
      <c r="FE65" s="573"/>
      <c r="FF65" s="573"/>
      <c r="FG65" s="573"/>
      <c r="FH65" s="573"/>
      <c r="FI65" s="573"/>
      <c r="FJ65" s="573"/>
      <c r="FK65" s="573"/>
      <c r="FL65" s="573"/>
      <c r="FM65" s="573"/>
      <c r="FN65" s="573"/>
      <c r="FO65" s="573"/>
      <c r="FP65" s="573"/>
      <c r="FQ65" s="573"/>
      <c r="FR65" s="573"/>
      <c r="FS65" s="573"/>
      <c r="FT65" s="573"/>
      <c r="FU65" s="573"/>
      <c r="FV65" s="573"/>
      <c r="FW65" s="573"/>
      <c r="FX65" s="573"/>
      <c r="FY65" s="573"/>
      <c r="FZ65" s="573"/>
      <c r="GA65" s="573"/>
      <c r="GB65" s="573"/>
      <c r="GC65" s="573"/>
      <c r="GD65" s="573"/>
      <c r="GE65" s="573"/>
      <c r="GF65" s="573"/>
      <c r="GG65" s="573"/>
      <c r="GH65" s="573"/>
      <c r="GI65" s="573"/>
      <c r="GJ65" s="573"/>
      <c r="GK65" s="573"/>
      <c r="GL65" s="573"/>
      <c r="GM65" s="573"/>
      <c r="GN65" s="573"/>
      <c r="GO65" s="573"/>
      <c r="GP65" s="573"/>
      <c r="GQ65" s="573"/>
      <c r="GR65" s="573"/>
      <c r="GS65" s="573"/>
      <c r="GT65" s="573"/>
      <c r="GU65" s="573"/>
      <c r="GV65" s="573"/>
      <c r="GW65" s="573"/>
      <c r="GX65" s="573"/>
      <c r="GY65" s="573"/>
      <c r="GZ65" s="573"/>
      <c r="HA65" s="573"/>
      <c r="HB65" s="573"/>
      <c r="HC65" s="573"/>
      <c r="HD65" s="573"/>
      <c r="HE65" s="573"/>
      <c r="HF65" s="573"/>
      <c r="HG65" s="573"/>
      <c r="HH65" s="573"/>
      <c r="HI65" s="573"/>
      <c r="HJ65" s="573"/>
      <c r="HK65" s="573"/>
      <c r="HL65" s="573"/>
      <c r="HM65" s="573"/>
      <c r="HN65" s="573"/>
      <c r="HO65" s="573"/>
      <c r="HP65" s="573"/>
      <c r="HQ65" s="573"/>
      <c r="HR65" s="573"/>
      <c r="HS65" s="573"/>
      <c r="HT65" s="573"/>
      <c r="HU65" s="573"/>
      <c r="HV65" s="573"/>
      <c r="HW65" s="573"/>
      <c r="HX65" s="573"/>
      <c r="HY65" s="573"/>
      <c r="HZ65" s="573"/>
      <c r="IA65" s="573"/>
      <c r="IB65" s="573"/>
      <c r="IC65" s="573"/>
      <c r="ID65" s="573"/>
      <c r="IE65" s="573"/>
      <c r="IF65" s="573"/>
      <c r="IG65" s="573"/>
      <c r="IH65" s="573"/>
      <c r="II65" s="573"/>
      <c r="IJ65" s="573"/>
      <c r="IK65" s="573"/>
      <c r="IL65" s="573"/>
      <c r="IM65" s="573"/>
      <c r="IN65" s="573"/>
      <c r="IO65" s="573"/>
      <c r="IP65" s="573"/>
    </row>
    <row r="66" spans="3:250" s="578" customFormat="1" ht="12.75" customHeight="1" x14ac:dyDescent="0.2">
      <c r="C66" s="661"/>
      <c r="N66" s="573"/>
      <c r="O66" s="573"/>
      <c r="P66" s="573"/>
      <c r="Q66" s="573"/>
      <c r="R66" s="573"/>
      <c r="S66" s="573"/>
      <c r="T66" s="573"/>
      <c r="U66" s="573"/>
      <c r="V66" s="573"/>
      <c r="W66" s="573"/>
      <c r="X66" s="573"/>
      <c r="Y66" s="573"/>
      <c r="Z66" s="573"/>
      <c r="AA66" s="573"/>
      <c r="AB66" s="573"/>
      <c r="AC66" s="573"/>
      <c r="AD66" s="573"/>
      <c r="AE66" s="573"/>
      <c r="AF66" s="573"/>
      <c r="AG66" s="573"/>
      <c r="AH66" s="573"/>
      <c r="AI66" s="573"/>
      <c r="AJ66" s="573"/>
      <c r="AK66" s="573"/>
      <c r="AL66" s="573"/>
      <c r="AM66" s="573"/>
      <c r="AN66" s="573"/>
      <c r="AO66" s="573"/>
      <c r="AP66" s="573"/>
      <c r="AQ66" s="573"/>
      <c r="AR66" s="573"/>
      <c r="AS66" s="573"/>
      <c r="AT66" s="573"/>
      <c r="AU66" s="573"/>
      <c r="AV66" s="573"/>
      <c r="AW66" s="573"/>
      <c r="AX66" s="573"/>
      <c r="AY66" s="573"/>
      <c r="AZ66" s="573"/>
      <c r="BA66" s="573"/>
      <c r="BB66" s="573"/>
      <c r="BC66" s="573"/>
      <c r="BD66" s="573"/>
      <c r="BE66" s="573"/>
      <c r="BF66" s="573"/>
      <c r="BG66" s="573"/>
      <c r="BH66" s="573"/>
      <c r="BI66" s="573"/>
      <c r="BJ66" s="573"/>
      <c r="BK66" s="573"/>
      <c r="BL66" s="573"/>
      <c r="BM66" s="573"/>
      <c r="BN66" s="573"/>
      <c r="BO66" s="573"/>
      <c r="BP66" s="573"/>
      <c r="BQ66" s="573"/>
      <c r="BR66" s="573"/>
      <c r="BS66" s="573"/>
      <c r="BT66" s="573"/>
      <c r="BU66" s="573"/>
      <c r="BV66" s="573"/>
      <c r="BW66" s="573"/>
      <c r="BX66" s="573"/>
      <c r="BY66" s="573"/>
      <c r="BZ66" s="573"/>
      <c r="CA66" s="573"/>
      <c r="CB66" s="573"/>
      <c r="CC66" s="573"/>
      <c r="CD66" s="573"/>
      <c r="CE66" s="573"/>
      <c r="CF66" s="573"/>
      <c r="CG66" s="573"/>
      <c r="CH66" s="573"/>
      <c r="CI66" s="573"/>
      <c r="CJ66" s="573"/>
      <c r="CK66" s="573"/>
      <c r="CL66" s="573"/>
      <c r="CM66" s="573"/>
      <c r="CN66" s="573"/>
      <c r="CO66" s="573"/>
      <c r="CP66" s="573"/>
      <c r="CQ66" s="573"/>
      <c r="CR66" s="573"/>
      <c r="CS66" s="573"/>
      <c r="CT66" s="573"/>
      <c r="CU66" s="573"/>
      <c r="CV66" s="573"/>
      <c r="CW66" s="573"/>
      <c r="CX66" s="573"/>
      <c r="CY66" s="573"/>
      <c r="CZ66" s="573"/>
      <c r="DA66" s="573"/>
      <c r="DB66" s="573"/>
      <c r="DC66" s="573"/>
      <c r="DD66" s="573"/>
      <c r="DE66" s="573"/>
      <c r="DF66" s="573"/>
      <c r="DG66" s="573"/>
      <c r="DH66" s="573"/>
      <c r="DI66" s="573"/>
      <c r="DJ66" s="573"/>
      <c r="DK66" s="573"/>
      <c r="DL66" s="573"/>
      <c r="DM66" s="573"/>
      <c r="DN66" s="573"/>
      <c r="DO66" s="573"/>
      <c r="DP66" s="573"/>
      <c r="DQ66" s="573"/>
      <c r="DR66" s="573"/>
      <c r="DS66" s="573"/>
      <c r="DT66" s="573"/>
      <c r="DU66" s="573"/>
      <c r="DV66" s="573"/>
      <c r="DW66" s="573"/>
      <c r="DX66" s="573"/>
      <c r="DY66" s="573"/>
      <c r="DZ66" s="573"/>
      <c r="EA66" s="573"/>
      <c r="EB66" s="573"/>
      <c r="EC66" s="573"/>
      <c r="ED66" s="573"/>
      <c r="EE66" s="573"/>
      <c r="EF66" s="573"/>
      <c r="EG66" s="573"/>
      <c r="EH66" s="573"/>
      <c r="EI66" s="573"/>
      <c r="EJ66" s="573"/>
      <c r="EK66" s="573"/>
      <c r="EL66" s="573"/>
      <c r="EM66" s="573"/>
      <c r="EN66" s="573"/>
      <c r="EO66" s="573"/>
      <c r="EP66" s="573"/>
      <c r="EQ66" s="573"/>
      <c r="ER66" s="573"/>
      <c r="ES66" s="573"/>
      <c r="ET66" s="573"/>
      <c r="EU66" s="573"/>
      <c r="EV66" s="573"/>
      <c r="EW66" s="573"/>
      <c r="EX66" s="573"/>
      <c r="EY66" s="573"/>
      <c r="EZ66" s="573"/>
      <c r="FA66" s="573"/>
      <c r="FB66" s="573"/>
      <c r="FC66" s="573"/>
      <c r="FD66" s="573"/>
      <c r="FE66" s="573"/>
      <c r="FF66" s="573"/>
      <c r="FG66" s="573"/>
      <c r="FH66" s="573"/>
      <c r="FI66" s="573"/>
      <c r="FJ66" s="573"/>
      <c r="FK66" s="573"/>
      <c r="FL66" s="573"/>
      <c r="FM66" s="573"/>
      <c r="FN66" s="573"/>
      <c r="FO66" s="573"/>
      <c r="FP66" s="573"/>
      <c r="FQ66" s="573"/>
      <c r="FR66" s="573"/>
      <c r="FS66" s="573"/>
      <c r="FT66" s="573"/>
      <c r="FU66" s="573"/>
      <c r="FV66" s="573"/>
      <c r="FW66" s="573"/>
      <c r="FX66" s="573"/>
      <c r="FY66" s="573"/>
      <c r="FZ66" s="573"/>
      <c r="GA66" s="573"/>
      <c r="GB66" s="573"/>
      <c r="GC66" s="573"/>
      <c r="GD66" s="573"/>
      <c r="GE66" s="573"/>
      <c r="GF66" s="573"/>
      <c r="GG66" s="573"/>
      <c r="GH66" s="573"/>
      <c r="GI66" s="573"/>
      <c r="GJ66" s="573"/>
      <c r="GK66" s="573"/>
      <c r="GL66" s="573"/>
      <c r="GM66" s="573"/>
      <c r="GN66" s="573"/>
      <c r="GO66" s="573"/>
      <c r="GP66" s="573"/>
      <c r="GQ66" s="573"/>
      <c r="GR66" s="573"/>
      <c r="GS66" s="573"/>
      <c r="GT66" s="573"/>
      <c r="GU66" s="573"/>
      <c r="GV66" s="573"/>
      <c r="GW66" s="573"/>
      <c r="GX66" s="573"/>
      <c r="GY66" s="573"/>
      <c r="GZ66" s="573"/>
      <c r="HA66" s="573"/>
      <c r="HB66" s="573"/>
      <c r="HC66" s="573"/>
      <c r="HD66" s="573"/>
      <c r="HE66" s="573"/>
      <c r="HF66" s="573"/>
      <c r="HG66" s="573"/>
      <c r="HH66" s="573"/>
      <c r="HI66" s="573"/>
      <c r="HJ66" s="573"/>
      <c r="HK66" s="573"/>
      <c r="HL66" s="573"/>
      <c r="HM66" s="573"/>
      <c r="HN66" s="573"/>
      <c r="HO66" s="573"/>
      <c r="HP66" s="573"/>
      <c r="HQ66" s="573"/>
      <c r="HR66" s="573"/>
      <c r="HS66" s="573"/>
      <c r="HT66" s="573"/>
      <c r="HU66" s="573"/>
      <c r="HV66" s="573"/>
      <c r="HW66" s="573"/>
      <c r="HX66" s="573"/>
      <c r="HY66" s="573"/>
      <c r="HZ66" s="573"/>
      <c r="IA66" s="573"/>
      <c r="IB66" s="573"/>
      <c r="IC66" s="573"/>
      <c r="ID66" s="573"/>
      <c r="IE66" s="573"/>
      <c r="IF66" s="573"/>
      <c r="IG66" s="573"/>
      <c r="IH66" s="573"/>
      <c r="II66" s="573"/>
      <c r="IJ66" s="573"/>
      <c r="IK66" s="573"/>
      <c r="IL66" s="573"/>
      <c r="IM66" s="573"/>
      <c r="IN66" s="573"/>
      <c r="IO66" s="573"/>
      <c r="IP66" s="573"/>
    </row>
    <row r="67" spans="3:250" s="578" customFormat="1" ht="12.75" customHeight="1" x14ac:dyDescent="0.2">
      <c r="C67" s="661"/>
      <c r="N67" s="573"/>
      <c r="O67" s="573"/>
      <c r="P67" s="573"/>
      <c r="Q67" s="573"/>
      <c r="R67" s="573"/>
      <c r="S67" s="573"/>
      <c r="T67" s="573"/>
      <c r="U67" s="573"/>
      <c r="V67" s="573"/>
      <c r="W67" s="573"/>
      <c r="X67" s="573"/>
      <c r="Y67" s="573"/>
      <c r="Z67" s="573"/>
      <c r="AA67" s="573"/>
      <c r="AB67" s="573"/>
      <c r="AC67" s="573"/>
      <c r="AD67" s="573"/>
      <c r="AE67" s="573"/>
      <c r="AF67" s="573"/>
      <c r="AG67" s="573"/>
      <c r="AH67" s="573"/>
      <c r="AI67" s="573"/>
      <c r="AJ67" s="573"/>
      <c r="AK67" s="573"/>
      <c r="AL67" s="573"/>
      <c r="AM67" s="573"/>
      <c r="AN67" s="573"/>
      <c r="AO67" s="573"/>
      <c r="AP67" s="573"/>
      <c r="AQ67" s="573"/>
      <c r="AR67" s="573"/>
      <c r="AS67" s="573"/>
      <c r="AT67" s="573"/>
      <c r="AU67" s="573"/>
      <c r="AV67" s="573"/>
      <c r="AW67" s="573"/>
      <c r="AX67" s="573"/>
      <c r="AY67" s="573"/>
      <c r="AZ67" s="573"/>
      <c r="BA67" s="573"/>
      <c r="BB67" s="573"/>
      <c r="BC67" s="573"/>
      <c r="BD67" s="573"/>
      <c r="BE67" s="573"/>
      <c r="BF67" s="573"/>
      <c r="BG67" s="573"/>
      <c r="BH67" s="573"/>
      <c r="BI67" s="573"/>
      <c r="BJ67" s="573"/>
      <c r="BK67" s="573"/>
      <c r="BL67" s="573"/>
      <c r="BM67" s="573"/>
      <c r="BN67" s="573"/>
      <c r="BO67" s="573"/>
      <c r="BP67" s="573"/>
      <c r="BQ67" s="573"/>
      <c r="BR67" s="573"/>
      <c r="BS67" s="573"/>
      <c r="BT67" s="573"/>
      <c r="BU67" s="573"/>
      <c r="BV67" s="573"/>
      <c r="BW67" s="573"/>
      <c r="BX67" s="573"/>
      <c r="BY67" s="573"/>
      <c r="BZ67" s="573"/>
      <c r="CA67" s="573"/>
      <c r="CB67" s="573"/>
      <c r="CC67" s="573"/>
      <c r="CD67" s="573"/>
      <c r="CE67" s="573"/>
      <c r="CF67" s="573"/>
      <c r="CG67" s="573"/>
      <c r="CH67" s="573"/>
      <c r="CI67" s="573"/>
      <c r="CJ67" s="573"/>
      <c r="CK67" s="573"/>
      <c r="CL67" s="573"/>
      <c r="CM67" s="573"/>
      <c r="CN67" s="573"/>
      <c r="CO67" s="573"/>
      <c r="CP67" s="573"/>
      <c r="CQ67" s="573"/>
      <c r="CR67" s="573"/>
      <c r="CS67" s="573"/>
      <c r="CT67" s="573"/>
      <c r="CU67" s="573"/>
      <c r="CV67" s="573"/>
      <c r="CW67" s="573"/>
      <c r="CX67" s="573"/>
      <c r="CY67" s="573"/>
      <c r="CZ67" s="573"/>
      <c r="DA67" s="573"/>
      <c r="DB67" s="573"/>
      <c r="DC67" s="573"/>
      <c r="DD67" s="573"/>
      <c r="DE67" s="573"/>
      <c r="DF67" s="573"/>
      <c r="DG67" s="573"/>
      <c r="DH67" s="573"/>
      <c r="DI67" s="573"/>
      <c r="DJ67" s="573"/>
      <c r="DK67" s="573"/>
      <c r="DL67" s="573"/>
      <c r="DM67" s="573"/>
      <c r="DN67" s="573"/>
      <c r="DO67" s="573"/>
      <c r="DP67" s="573"/>
      <c r="DQ67" s="573"/>
      <c r="DR67" s="573"/>
      <c r="DS67" s="573"/>
      <c r="DT67" s="573"/>
      <c r="DU67" s="573"/>
      <c r="DV67" s="573"/>
      <c r="DW67" s="573"/>
      <c r="DX67" s="573"/>
      <c r="DY67" s="573"/>
      <c r="DZ67" s="573"/>
      <c r="EA67" s="573"/>
      <c r="EB67" s="573"/>
      <c r="EC67" s="573"/>
      <c r="ED67" s="573"/>
      <c r="EE67" s="573"/>
      <c r="EF67" s="573"/>
      <c r="EG67" s="573"/>
      <c r="EH67" s="573"/>
      <c r="EI67" s="573"/>
      <c r="EJ67" s="573"/>
      <c r="EK67" s="573"/>
      <c r="EL67" s="573"/>
      <c r="EM67" s="573"/>
      <c r="EN67" s="573"/>
      <c r="EO67" s="573"/>
      <c r="EP67" s="573"/>
      <c r="EQ67" s="573"/>
      <c r="ER67" s="573"/>
      <c r="ES67" s="573"/>
      <c r="ET67" s="573"/>
      <c r="EU67" s="573"/>
      <c r="EV67" s="573"/>
      <c r="EW67" s="573"/>
      <c r="EX67" s="573"/>
      <c r="EY67" s="573"/>
      <c r="EZ67" s="573"/>
      <c r="FA67" s="573"/>
      <c r="FB67" s="573"/>
      <c r="FC67" s="573"/>
      <c r="FD67" s="573"/>
      <c r="FE67" s="573"/>
      <c r="FF67" s="573"/>
      <c r="FG67" s="573"/>
      <c r="FH67" s="573"/>
      <c r="FI67" s="573"/>
      <c r="FJ67" s="573"/>
      <c r="FK67" s="573"/>
      <c r="FL67" s="573"/>
      <c r="FM67" s="573"/>
      <c r="FN67" s="573"/>
      <c r="FO67" s="573"/>
      <c r="FP67" s="573"/>
      <c r="FQ67" s="573"/>
      <c r="FR67" s="573"/>
      <c r="FS67" s="573"/>
      <c r="FT67" s="573"/>
      <c r="FU67" s="573"/>
      <c r="FV67" s="573"/>
      <c r="FW67" s="573"/>
      <c r="FX67" s="573"/>
      <c r="FY67" s="573"/>
      <c r="FZ67" s="573"/>
      <c r="GA67" s="573"/>
      <c r="GB67" s="573"/>
      <c r="GC67" s="573"/>
      <c r="GD67" s="573"/>
      <c r="GE67" s="573"/>
      <c r="GF67" s="573"/>
      <c r="GG67" s="573"/>
      <c r="GH67" s="573"/>
      <c r="GI67" s="573"/>
      <c r="GJ67" s="573"/>
      <c r="GK67" s="573"/>
      <c r="GL67" s="573"/>
      <c r="GM67" s="573"/>
      <c r="GN67" s="573"/>
      <c r="GO67" s="573"/>
      <c r="GP67" s="573"/>
      <c r="GQ67" s="573"/>
      <c r="GR67" s="573"/>
      <c r="GS67" s="573"/>
      <c r="GT67" s="573"/>
      <c r="GU67" s="573"/>
      <c r="GV67" s="573"/>
      <c r="GW67" s="573"/>
      <c r="GX67" s="573"/>
      <c r="GY67" s="573"/>
      <c r="GZ67" s="573"/>
      <c r="HA67" s="573"/>
      <c r="HB67" s="573"/>
      <c r="HC67" s="573"/>
      <c r="HD67" s="573"/>
      <c r="HE67" s="573"/>
      <c r="HF67" s="573"/>
      <c r="HG67" s="573"/>
      <c r="HH67" s="573"/>
      <c r="HI67" s="573"/>
      <c r="HJ67" s="573"/>
      <c r="HK67" s="573"/>
      <c r="HL67" s="573"/>
      <c r="HM67" s="573"/>
      <c r="HN67" s="573"/>
      <c r="HO67" s="573"/>
      <c r="HP67" s="573"/>
      <c r="HQ67" s="573"/>
      <c r="HR67" s="573"/>
      <c r="HS67" s="573"/>
      <c r="HT67" s="573"/>
      <c r="HU67" s="573"/>
      <c r="HV67" s="573"/>
      <c r="HW67" s="573"/>
      <c r="HX67" s="573"/>
      <c r="HY67" s="573"/>
      <c r="HZ67" s="573"/>
      <c r="IA67" s="573"/>
      <c r="IB67" s="573"/>
      <c r="IC67" s="573"/>
      <c r="ID67" s="573"/>
      <c r="IE67" s="573"/>
      <c r="IF67" s="573"/>
      <c r="IG67" s="573"/>
      <c r="IH67" s="573"/>
      <c r="II67" s="573"/>
      <c r="IJ67" s="573"/>
      <c r="IK67" s="573"/>
      <c r="IL67" s="573"/>
      <c r="IM67" s="573"/>
      <c r="IN67" s="573"/>
      <c r="IO67" s="573"/>
      <c r="IP67" s="573"/>
    </row>
  </sheetData>
  <sheetProtection selectLockedCells="1"/>
  <mergeCells count="23">
    <mergeCell ref="M42:M43"/>
    <mergeCell ref="C12:L12"/>
    <mergeCell ref="D20:G20"/>
    <mergeCell ref="B29:G29"/>
    <mergeCell ref="B30:G30"/>
    <mergeCell ref="B41:B43"/>
    <mergeCell ref="C41:C43"/>
    <mergeCell ref="D41:D43"/>
    <mergeCell ref="E41:E43"/>
    <mergeCell ref="F41:F43"/>
    <mergeCell ref="G41:G43"/>
    <mergeCell ref="H41:M41"/>
    <mergeCell ref="H42:H43"/>
    <mergeCell ref="I42:I43"/>
    <mergeCell ref="J42:J43"/>
    <mergeCell ref="K42:K43"/>
    <mergeCell ref="L42:L43"/>
    <mergeCell ref="B8:E8"/>
    <mergeCell ref="F8:G8"/>
    <mergeCell ref="B9:E9"/>
    <mergeCell ref="F9:G9"/>
    <mergeCell ref="B10:E10"/>
    <mergeCell ref="F10:G10"/>
  </mergeCells>
  <pageMargins left="0.75" right="0.75" top="1" bottom="1" header="0.5" footer="0.5"/>
  <pageSetup scale="74" fitToHeight="0" orientation="landscape" r:id="rId1"/>
  <headerFooter alignWithMargins="0">
    <oddHeader xml:space="preserve">&amp;C&amp;"Arial,Bold"INTERNAL COMBUSTION ENGINES - POTENTIAL EMISSIONS (Criteria Pollutants Subject to BACT)
</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K38"/>
  <sheetViews>
    <sheetView view="pageLayout" topLeftCell="A36" zoomScaleNormal="100" workbookViewId="0">
      <selection activeCell="C38" sqref="C38"/>
    </sheetView>
  </sheetViews>
  <sheetFormatPr defaultColWidth="9.140625" defaultRowHeight="12.75" x14ac:dyDescent="0.25"/>
  <cols>
    <col min="1" max="1" width="4.85546875" style="158" customWidth="1"/>
    <col min="2" max="3" width="10.7109375" style="158" customWidth="1"/>
    <col min="4" max="4" width="20.7109375" style="158" customWidth="1"/>
    <col min="5" max="5" width="16.7109375" style="158" customWidth="1"/>
    <col min="6" max="7" width="12.7109375" style="158" customWidth="1"/>
    <col min="8" max="9" width="12.7109375" style="158" hidden="1" customWidth="1"/>
    <col min="10" max="10" width="12.7109375" style="158" customWidth="1"/>
    <col min="11" max="11" width="12.7109375" style="158" hidden="1" customWidth="1"/>
    <col min="12" max="16384" width="9.140625" style="158"/>
  </cols>
  <sheetData>
    <row r="1" spans="1:11" x14ac:dyDescent="0.25">
      <c r="A1" s="157" t="s">
        <v>230</v>
      </c>
      <c r="B1" s="157"/>
      <c r="C1" s="157"/>
      <c r="D1" s="157"/>
      <c r="E1" s="157" t="s">
        <v>415</v>
      </c>
      <c r="F1" s="157"/>
      <c r="G1" s="157"/>
      <c r="H1" s="157"/>
      <c r="I1" s="157"/>
      <c r="J1" s="157"/>
      <c r="K1" s="157"/>
    </row>
    <row r="3" spans="1:11" x14ac:dyDescent="0.25">
      <c r="B3" s="159" t="s">
        <v>183</v>
      </c>
      <c r="D3" s="160" t="s">
        <v>184</v>
      </c>
    </row>
    <row r="4" spans="1:11" x14ac:dyDescent="0.25">
      <c r="B4" s="159" t="s">
        <v>185</v>
      </c>
      <c r="D4" s="160" t="s">
        <v>290</v>
      </c>
    </row>
    <row r="5" spans="1:11" x14ac:dyDescent="0.25">
      <c r="B5" s="159"/>
    </row>
    <row r="6" spans="1:11" ht="13.5" thickBot="1" x14ac:dyDescent="0.3">
      <c r="B6" s="161" t="s">
        <v>291</v>
      </c>
      <c r="C6" s="162"/>
      <c r="D6" s="163"/>
      <c r="E6" s="164"/>
    </row>
    <row r="7" spans="1:11" ht="14.25" thickTop="1" thickBot="1" x14ac:dyDescent="0.3">
      <c r="B7" s="1101"/>
      <c r="C7" s="1102"/>
      <c r="D7" s="1103"/>
      <c r="E7" s="165" t="s">
        <v>189</v>
      </c>
    </row>
    <row r="8" spans="1:11" ht="14.25" thickTop="1" thickBot="1" x14ac:dyDescent="0.3">
      <c r="B8" s="166" t="s">
        <v>292</v>
      </c>
      <c r="C8" s="167"/>
      <c r="D8" s="167"/>
      <c r="E8" s="168" t="s">
        <v>293</v>
      </c>
    </row>
    <row r="9" spans="1:11" ht="13.5" thickTop="1" x14ac:dyDescent="0.25"/>
    <row r="10" spans="1:11" x14ac:dyDescent="0.25">
      <c r="B10" s="159" t="s">
        <v>294</v>
      </c>
      <c r="C10" s="162" t="s">
        <v>295</v>
      </c>
    </row>
    <row r="11" spans="1:11" x14ac:dyDescent="0.25">
      <c r="B11" s="159"/>
      <c r="C11" s="162" t="s">
        <v>296</v>
      </c>
    </row>
    <row r="12" spans="1:11" x14ac:dyDescent="0.25">
      <c r="B12" s="159"/>
      <c r="C12" s="162"/>
    </row>
    <row r="13" spans="1:11" x14ac:dyDescent="0.25">
      <c r="B13" s="159" t="s">
        <v>239</v>
      </c>
      <c r="C13" s="162" t="s">
        <v>297</v>
      </c>
    </row>
    <row r="14" spans="1:11" x14ac:dyDescent="0.25">
      <c r="C14" s="162"/>
    </row>
    <row r="16" spans="1:11" x14ac:dyDescent="0.25">
      <c r="A16" s="169" t="s">
        <v>298</v>
      </c>
      <c r="B16" s="169"/>
      <c r="C16" s="169"/>
      <c r="D16" s="169"/>
      <c r="E16" s="170"/>
      <c r="F16" s="169"/>
      <c r="G16" s="169"/>
      <c r="H16" s="169"/>
      <c r="I16" s="169"/>
      <c r="J16" s="169"/>
      <c r="K16" s="169"/>
    </row>
    <row r="18" spans="1:11" ht="15" thickBot="1" x14ac:dyDescent="0.3">
      <c r="B18" s="171" t="s">
        <v>299</v>
      </c>
      <c r="C18" s="172"/>
      <c r="D18" s="172"/>
      <c r="E18" s="172"/>
      <c r="F18" s="172"/>
      <c r="G18" s="172"/>
      <c r="H18" s="172"/>
      <c r="I18" s="172"/>
      <c r="J18" s="172"/>
      <c r="K18" s="172"/>
    </row>
    <row r="19" spans="1:11" ht="15" thickTop="1" x14ac:dyDescent="0.25">
      <c r="B19" s="1104"/>
      <c r="C19" s="1105"/>
      <c r="D19" s="1105"/>
      <c r="E19" s="1106"/>
      <c r="F19" s="173" t="s">
        <v>300</v>
      </c>
      <c r="G19" s="173" t="s">
        <v>301</v>
      </c>
      <c r="H19" s="173" t="s">
        <v>200</v>
      </c>
      <c r="I19" s="173" t="s">
        <v>302</v>
      </c>
      <c r="J19" s="173" t="s">
        <v>303</v>
      </c>
      <c r="K19" s="174" t="s">
        <v>304</v>
      </c>
    </row>
    <row r="20" spans="1:11" ht="13.5" thickBot="1" x14ac:dyDescent="0.3">
      <c r="B20" s="1107" t="s">
        <v>305</v>
      </c>
      <c r="C20" s="1108"/>
      <c r="D20" s="1108"/>
      <c r="E20" s="1108"/>
      <c r="F20" s="175">
        <v>19</v>
      </c>
      <c r="G20" s="175">
        <v>294</v>
      </c>
      <c r="H20" s="175">
        <v>5</v>
      </c>
      <c r="I20" s="175">
        <v>1</v>
      </c>
      <c r="J20" s="175">
        <v>15.3</v>
      </c>
      <c r="K20" s="176">
        <v>22000</v>
      </c>
    </row>
    <row r="21" spans="1:11" ht="15" thickTop="1" x14ac:dyDescent="0.25">
      <c r="B21" s="177" t="s">
        <v>306</v>
      </c>
      <c r="C21" s="178"/>
      <c r="D21" s="178"/>
      <c r="E21" s="178"/>
      <c r="F21" s="178"/>
      <c r="G21" s="172"/>
      <c r="H21" s="172"/>
      <c r="I21" s="172"/>
      <c r="J21" s="178"/>
      <c r="K21" s="179"/>
    </row>
    <row r="22" spans="1:11" ht="15.75" x14ac:dyDescent="0.25">
      <c r="B22" s="177" t="s">
        <v>307</v>
      </c>
      <c r="C22" s="178"/>
      <c r="D22" s="178"/>
      <c r="E22" s="178"/>
      <c r="F22" s="178"/>
      <c r="G22" s="172"/>
      <c r="H22" s="172"/>
      <c r="I22" s="172"/>
      <c r="J22" s="178"/>
      <c r="K22" s="179"/>
    </row>
    <row r="23" spans="1:11" ht="15.75" x14ac:dyDescent="0.25">
      <c r="B23" s="177" t="s">
        <v>308</v>
      </c>
      <c r="C23" s="178"/>
      <c r="D23" s="178"/>
      <c r="E23" s="178"/>
      <c r="F23" s="178"/>
      <c r="G23" s="172"/>
      <c r="H23" s="172"/>
      <c r="I23" s="172"/>
      <c r="J23" s="178"/>
      <c r="K23" s="179"/>
    </row>
    <row r="24" spans="1:11" ht="14.25" x14ac:dyDescent="0.25">
      <c r="B24" s="172" t="s">
        <v>309</v>
      </c>
      <c r="C24" s="172"/>
      <c r="D24" s="172"/>
      <c r="E24" s="172"/>
      <c r="F24" s="172"/>
      <c r="G24" s="172"/>
      <c r="H24" s="172"/>
      <c r="I24" s="172"/>
      <c r="J24" s="172"/>
      <c r="K24" s="172"/>
    </row>
    <row r="25" spans="1:11" x14ac:dyDescent="0.25">
      <c r="B25" s="172"/>
      <c r="C25" s="172"/>
      <c r="D25" s="172"/>
      <c r="E25" s="172"/>
      <c r="F25" s="172"/>
      <c r="G25" s="172"/>
      <c r="H25" s="172"/>
      <c r="I25" s="172"/>
      <c r="J25" s="172"/>
      <c r="K25" s="172"/>
    </row>
    <row r="26" spans="1:11" x14ac:dyDescent="0.25">
      <c r="B26" s="180" t="s">
        <v>310</v>
      </c>
      <c r="C26" s="172"/>
      <c r="D26" s="172"/>
      <c r="E26" s="172"/>
      <c r="F26" s="172"/>
      <c r="G26" s="172"/>
      <c r="H26" s="172"/>
      <c r="I26" s="172"/>
      <c r="J26" s="172"/>
      <c r="K26" s="172"/>
    </row>
    <row r="27" spans="1:11" x14ac:dyDescent="0.25">
      <c r="B27" s="172" t="s">
        <v>311</v>
      </c>
      <c r="C27" s="172"/>
      <c r="D27" s="172"/>
      <c r="E27" s="172"/>
      <c r="F27" s="172"/>
      <c r="G27" s="172"/>
      <c r="H27" s="172"/>
      <c r="I27" s="172"/>
      <c r="J27" s="172"/>
      <c r="K27" s="172"/>
    </row>
    <row r="29" spans="1:11" x14ac:dyDescent="0.25">
      <c r="A29" s="181" t="s">
        <v>208</v>
      </c>
      <c r="B29" s="181"/>
      <c r="C29" s="182"/>
      <c r="D29" s="182"/>
      <c r="E29" s="182"/>
      <c r="F29" s="182"/>
      <c r="G29" s="182"/>
      <c r="H29" s="182"/>
      <c r="I29" s="182"/>
      <c r="J29" s="182"/>
      <c r="K29" s="182"/>
    </row>
    <row r="30" spans="1:11" ht="13.5" thickBot="1" x14ac:dyDescent="0.3">
      <c r="A30" s="183"/>
      <c r="B30" s="183"/>
    </row>
    <row r="31" spans="1:11" ht="26.25" thickTop="1" x14ac:dyDescent="0.25">
      <c r="B31" s="1109" t="s">
        <v>171</v>
      </c>
      <c r="C31" s="1110"/>
      <c r="D31" s="1110"/>
      <c r="E31" s="184" t="s">
        <v>312</v>
      </c>
      <c r="F31" s="185" t="s">
        <v>313</v>
      </c>
      <c r="G31" s="185" t="s">
        <v>314</v>
      </c>
      <c r="H31" s="185" t="s">
        <v>200</v>
      </c>
      <c r="I31" s="185" t="s">
        <v>302</v>
      </c>
      <c r="J31" s="1076" t="s">
        <v>784</v>
      </c>
      <c r="K31" s="186" t="s">
        <v>219</v>
      </c>
    </row>
    <row r="32" spans="1:11" ht="13.5" thickBot="1" x14ac:dyDescent="0.3">
      <c r="B32" s="1111" t="s">
        <v>316</v>
      </c>
      <c r="C32" s="1112"/>
      <c r="D32" s="1112"/>
      <c r="E32" s="187">
        <v>43800</v>
      </c>
      <c r="F32" s="188">
        <f>F$20*$E$32/1000</f>
        <v>832.2</v>
      </c>
      <c r="G32" s="188">
        <f t="shared" ref="G32:K32" si="0">G$20*$E$32/1000</f>
        <v>12877.2</v>
      </c>
      <c r="H32" s="188">
        <f t="shared" si="0"/>
        <v>219</v>
      </c>
      <c r="I32" s="188">
        <f t="shared" si="0"/>
        <v>43.8</v>
      </c>
      <c r="J32" s="1079"/>
      <c r="K32" s="189">
        <f t="shared" si="0"/>
        <v>963600</v>
      </c>
    </row>
    <row r="33" spans="2:11" ht="13.5" thickTop="1" x14ac:dyDescent="0.25">
      <c r="B33" s="1113" t="s">
        <v>227</v>
      </c>
      <c r="C33" s="1114"/>
      <c r="D33" s="1114"/>
      <c r="E33" s="1114"/>
      <c r="F33" s="190">
        <f t="shared" ref="F33:K33" si="1">F32</f>
        <v>832.2</v>
      </c>
      <c r="G33" s="190">
        <f t="shared" si="1"/>
        <v>12877.2</v>
      </c>
      <c r="H33" s="190">
        <f t="shared" si="1"/>
        <v>219</v>
      </c>
      <c r="I33" s="190">
        <f t="shared" si="1"/>
        <v>43.8</v>
      </c>
      <c r="J33" s="190">
        <f t="shared" si="1"/>
        <v>0</v>
      </c>
      <c r="K33" s="191">
        <f t="shared" si="1"/>
        <v>963600</v>
      </c>
    </row>
    <row r="34" spans="2:11" ht="13.5" thickBot="1" x14ac:dyDescent="0.3">
      <c r="B34" s="1099" t="s">
        <v>228</v>
      </c>
      <c r="C34" s="1100"/>
      <c r="D34" s="1100"/>
      <c r="E34" s="1100"/>
      <c r="F34" s="192">
        <f>IF((F33/2000)&lt;0.005,"&lt;0.01",(F33/2000))</f>
        <v>0.41610000000000003</v>
      </c>
      <c r="G34" s="192">
        <f t="shared" ref="G34:K34" si="2">IF((G33/2000)&lt;0.005,"&lt;0.01",(G33/2000))</f>
        <v>6.4386000000000001</v>
      </c>
      <c r="H34" s="192">
        <f t="shared" si="2"/>
        <v>0.1095</v>
      </c>
      <c r="I34" s="192">
        <f t="shared" si="2"/>
        <v>2.1899999999999999E-2</v>
      </c>
      <c r="J34" s="192" t="str">
        <f t="shared" si="2"/>
        <v>&lt;0.01</v>
      </c>
      <c r="K34" s="193">
        <f t="shared" si="2"/>
        <v>481.8</v>
      </c>
    </row>
    <row r="35" spans="2:11" ht="13.5" thickTop="1" x14ac:dyDescent="0.25"/>
    <row r="36" spans="2:11" ht="15.75" x14ac:dyDescent="0.3">
      <c r="B36" s="578" t="s">
        <v>785</v>
      </c>
    </row>
    <row r="38" spans="2:11" ht="14.25" x14ac:dyDescent="0.2">
      <c r="B38" s="119" t="s">
        <v>1003</v>
      </c>
    </row>
  </sheetData>
  <mergeCells count="8">
    <mergeCell ref="J31:J32"/>
    <mergeCell ref="B34:E34"/>
    <mergeCell ref="B7:D7"/>
    <mergeCell ref="B19:E19"/>
    <mergeCell ref="B20:E20"/>
    <mergeCell ref="B31:D31"/>
    <mergeCell ref="B32:D32"/>
    <mergeCell ref="B33:E33"/>
  </mergeCells>
  <printOptions horizontalCentered="1"/>
  <pageMargins left="1" right="1" top="1" bottom="1" header="0.5" footer="0.5"/>
  <pageSetup scale="77" orientation="landscape" r:id="rId1"/>
  <headerFooter alignWithMargins="0">
    <oddHeader>&amp;C&amp;"Arial,Bold"&amp;10WASTE OIL BOILER - POTENTIAL EMISSIONS (Criteria Pollutants Subject to BACT Review)</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29</vt:i4>
      </vt:variant>
    </vt:vector>
  </HeadingPairs>
  <TitlesOfParts>
    <vt:vector size="63" baseType="lpstr">
      <vt:lpstr>1a PTE Summary Base Case</vt:lpstr>
      <vt:lpstr>1b PTE Summary BACT Proposed</vt:lpstr>
      <vt:lpstr>3.1 Army AQ0236TVP03 Rev 2</vt:lpstr>
      <vt:lpstr>Army VOC Sources</vt:lpstr>
      <vt:lpstr>Army Boilers</vt:lpstr>
      <vt:lpstr>8 Fuel Oil Boiler FWA </vt:lpstr>
      <vt:lpstr>9 Engines FWA PTE</vt:lpstr>
      <vt:lpstr>10 Emer Gen FWA PTE</vt:lpstr>
      <vt:lpstr>11 Waste Oil Boiler-Criteria(P)</vt:lpstr>
      <vt:lpstr>Unpaved_RoadsREV</vt:lpstr>
      <vt:lpstr>Paved_RoadsREV</vt:lpstr>
      <vt:lpstr>Army Engines</vt:lpstr>
      <vt:lpstr>Army Material Handling</vt:lpstr>
      <vt:lpstr>DU Permit AQ1121TVP02 Rev 2</vt:lpstr>
      <vt:lpstr>3.2 DU Emission Units</vt:lpstr>
      <vt:lpstr>2a DU NOx Base Case</vt:lpstr>
      <vt:lpstr>2b DU NOx Proposed</vt:lpstr>
      <vt:lpstr>15 Proposed BACT Engines NOX</vt:lpstr>
      <vt:lpstr>D-2.7 PM10</vt:lpstr>
      <vt:lpstr>4a PM25 Base Case </vt:lpstr>
      <vt:lpstr>4b DU PM25 Proposed</vt:lpstr>
      <vt:lpstr>18 PM2.5 Controls for Engines</vt:lpstr>
      <vt:lpstr> A.  CPM&amp;PM25  for CHPP Boilers</vt:lpstr>
      <vt:lpstr>5 Coal Prep 7a 7b 7c</vt:lpstr>
      <vt:lpstr>7 DU Ash Handling</vt:lpstr>
      <vt:lpstr>6 DU Coal Pile</vt:lpstr>
      <vt:lpstr>3a DU SO2 base case</vt:lpstr>
      <vt:lpstr>3b DU  SO2 Proposed</vt:lpstr>
      <vt:lpstr>17 Proposed BACT Engines SO2</vt:lpstr>
      <vt:lpstr>SO2 costs for wet and semi dry</vt:lpstr>
      <vt:lpstr>Notes for calcs - DDH</vt:lpstr>
      <vt:lpstr>DU CHPP</vt:lpstr>
      <vt:lpstr>DU Material Handling</vt:lpstr>
      <vt:lpstr>DU Engines</vt:lpstr>
      <vt:lpstr>' A.  CPM&amp;PM25  for CHPP Boilers'!Print_Area</vt:lpstr>
      <vt:lpstr>'17 Proposed BACT Engines SO2'!Print_Area</vt:lpstr>
      <vt:lpstr>'18 PM2.5 Controls for Engines'!Print_Area</vt:lpstr>
      <vt:lpstr>'1a PTE Summary Base Case'!Print_Area</vt:lpstr>
      <vt:lpstr>'1b PTE Summary BACT Proposed'!Print_Area</vt:lpstr>
      <vt:lpstr>'2a DU NOx Base Case'!Print_Area</vt:lpstr>
      <vt:lpstr>'2b DU NOx Proposed'!Print_Area</vt:lpstr>
      <vt:lpstr>'3.1 Army AQ0236TVP03 Rev 2'!Print_Area</vt:lpstr>
      <vt:lpstr>'3.2 DU Emission Units'!Print_Area</vt:lpstr>
      <vt:lpstr>'3a DU SO2 base case'!Print_Area</vt:lpstr>
      <vt:lpstr>'3b DU  SO2 Proposed'!Print_Area</vt:lpstr>
      <vt:lpstr>'4a PM25 Base Case '!Print_Area</vt:lpstr>
      <vt:lpstr>'4b DU PM25 Proposed'!Print_Area</vt:lpstr>
      <vt:lpstr>'5 Coal Prep 7a 7b 7c'!Print_Area</vt:lpstr>
      <vt:lpstr>'7 DU Ash Handling'!Print_Area</vt:lpstr>
      <vt:lpstr>'9 Engines FWA PTE'!Print_Area</vt:lpstr>
      <vt:lpstr>'D-2.7 PM10'!Print_Area</vt:lpstr>
      <vt:lpstr>'DU Engines'!Print_Area</vt:lpstr>
      <vt:lpstr>Unpaved_RoadsREV!Print_Area</vt:lpstr>
      <vt:lpstr>'17 Proposed BACT Engines SO2'!Print_Titles</vt:lpstr>
      <vt:lpstr>'18 PM2.5 Controls for Engines'!Print_Titles</vt:lpstr>
      <vt:lpstr>'2a DU NOx Base Case'!Print_Titles</vt:lpstr>
      <vt:lpstr>'2b DU NOx Proposed'!Print_Titles</vt:lpstr>
      <vt:lpstr>'3.2 DU Emission Units'!Print_Titles</vt:lpstr>
      <vt:lpstr>'3a DU SO2 base case'!Print_Titles</vt:lpstr>
      <vt:lpstr>'3b DU  SO2 Proposed'!Print_Titles</vt:lpstr>
      <vt:lpstr>'4a PM25 Base Case '!Print_Titles</vt:lpstr>
      <vt:lpstr>'4b DU PM25 Proposed'!Print_Titles</vt:lpstr>
      <vt:lpstr>'D-2.7 PM10'!Print_Titles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Moreno, Maria</dc:creator>
  <cp:lastModifiedBy>Deanne D. Hughes</cp:lastModifiedBy>
  <cp:lastPrinted>2017-06-09T04:35:06Z</cp:lastPrinted>
  <dcterms:created xsi:type="dcterms:W3CDTF">2017-03-14T16:29:51Z</dcterms:created>
  <dcterms:modified xsi:type="dcterms:W3CDTF">2017-06-24T05:13:05Z</dcterms:modified>
</cp:coreProperties>
</file>