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Q\General\SIP_BACT_2017\BACT Determinations\FTWW\Department Cost Analysis\Additional Cost Analyses\"/>
    </mc:Choice>
  </mc:AlternateContent>
  <bookViews>
    <workbookView xWindow="0" yWindow="0" windowWidth="8925" windowHeight="3975" activeTab="2"/>
  </bookViews>
  <sheets>
    <sheet name="Read Me" sheetId="5" r:id="rId1"/>
    <sheet name="Source" sheetId="6" r:id="rId2"/>
    <sheet name="Sample" sheetId="3" r:id="rId3"/>
  </sheets>
  <definedNames>
    <definedName name="_xlnm.Print_Area" localSheetId="2">Sample!#REF!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3" l="1"/>
  <c r="E10" i="3"/>
  <c r="C82" i="3" l="1"/>
  <c r="E9" i="3"/>
  <c r="E8" i="3"/>
  <c r="C77" i="3" l="1"/>
  <c r="C59" i="3"/>
  <c r="C32" i="3"/>
  <c r="C31" i="3" l="1"/>
  <c r="C33" i="3"/>
  <c r="C34" i="3"/>
  <c r="C35" i="3" s="1"/>
  <c r="E14" i="3"/>
  <c r="C69" i="3" s="1"/>
  <c r="E12" i="3"/>
  <c r="E15" i="3"/>
  <c r="C70" i="3" s="1"/>
  <c r="C36" i="3" l="1"/>
  <c r="C42" i="3" s="1"/>
  <c r="C67" i="3"/>
  <c r="C68" i="3"/>
  <c r="C60" i="3" l="1"/>
  <c r="C61" i="3" s="1"/>
  <c r="C63" i="3" s="1"/>
  <c r="C80" i="3" s="1"/>
  <c r="C37" i="3"/>
  <c r="C41" i="3"/>
  <c r="C40" i="3"/>
  <c r="C72" i="3"/>
  <c r="C79" i="3" s="1"/>
  <c r="C44" i="3" l="1"/>
  <c r="C47" i="3" l="1"/>
  <c r="C76" i="3"/>
  <c r="C78" i="3" s="1"/>
  <c r="C81" i="3" s="1"/>
  <c r="C83" i="3" s="1"/>
  <c r="C45" i="3"/>
  <c r="C49" i="3" l="1"/>
  <c r="C50" i="3" s="1"/>
  <c r="C52" i="3"/>
  <c r="C54" i="3" s="1"/>
  <c r="C55" i="3" s="1"/>
</calcChain>
</file>

<file path=xl/sharedStrings.xml><?xml version="1.0" encoding="utf-8"?>
<sst xmlns="http://schemas.openxmlformats.org/spreadsheetml/2006/main" count="192" uniqueCount="172">
  <si>
    <t>Comments</t>
  </si>
  <si>
    <t>Variable</t>
  </si>
  <si>
    <t>Designation</t>
  </si>
  <si>
    <t>Units</t>
  </si>
  <si>
    <t>Value</t>
  </si>
  <si>
    <t>Calculation</t>
  </si>
  <si>
    <t>Unit Size (Gross)</t>
  </si>
  <si>
    <t>A</t>
  </si>
  <si>
    <t>(MW)</t>
  </si>
  <si>
    <t>Include Aux Power in VOM</t>
  </si>
  <si>
    <t>Retrofit Factor</t>
  </si>
  <si>
    <t>B</t>
  </si>
  <si>
    <t>&lt;--- User Input (An "average" retrofit has a factor =1.0)</t>
  </si>
  <si>
    <t>Type of Coal</t>
  </si>
  <si>
    <t>PRB</t>
  </si>
  <si>
    <t>Gross Heat Rate</t>
  </si>
  <si>
    <t>C</t>
  </si>
  <si>
    <t>(Btu/kWh)</t>
  </si>
  <si>
    <t>&lt;--- User Input</t>
  </si>
  <si>
    <t>5 -yr avg. excluding max and min</t>
  </si>
  <si>
    <t>SO2 Rate</t>
  </si>
  <si>
    <t>D</t>
  </si>
  <si>
    <t>(lb/MMBtu)</t>
  </si>
  <si>
    <t>Avg. of months with full operating time</t>
  </si>
  <si>
    <t>E</t>
  </si>
  <si>
    <t>&lt;--- User Input (PRB, BIT, or LIG)</t>
  </si>
  <si>
    <t>If blending, run once for PRB and one for LIG</t>
  </si>
  <si>
    <t>Coal Factor</t>
  </si>
  <si>
    <t>F</t>
  </si>
  <si>
    <t>Heat Rate Factor</t>
  </si>
  <si>
    <t>G</t>
  </si>
  <si>
    <t>C/10000</t>
  </si>
  <si>
    <t>Heat Input</t>
  </si>
  <si>
    <t>H</t>
  </si>
  <si>
    <t>(Btu/Hr)</t>
  </si>
  <si>
    <t>A*C*1000</t>
  </si>
  <si>
    <t>J</t>
  </si>
  <si>
    <t>(%)</t>
  </si>
  <si>
    <t>K</t>
  </si>
  <si>
    <t>(Ton/Hr)</t>
  </si>
  <si>
    <t>L</t>
  </si>
  <si>
    <t>User Input ---&gt;</t>
  </si>
  <si>
    <t>M</t>
  </si>
  <si>
    <t>Assume aux power is included in VOM</t>
  </si>
  <si>
    <t>Makeup Water Rate</t>
  </si>
  <si>
    <t>N</t>
  </si>
  <si>
    <t>(1000 gph)</t>
  </si>
  <si>
    <t>P</t>
  </si>
  <si>
    <t>($/Ton)</t>
  </si>
  <si>
    <t>Waste Disposal Cost</t>
  </si>
  <si>
    <t>Q</t>
  </si>
  <si>
    <t>default value</t>
  </si>
  <si>
    <t>Aux Power Cost</t>
  </si>
  <si>
    <t>R</t>
  </si>
  <si>
    <t>($/kWh)</t>
  </si>
  <si>
    <t>Makeup Water Cost</t>
  </si>
  <si>
    <t>S</t>
  </si>
  <si>
    <t>($/1000[gal])</t>
  </si>
  <si>
    <t>Operating Labor Rate</t>
  </si>
  <si>
    <t>T</t>
  </si>
  <si>
    <t>($/hr)</t>
  </si>
  <si>
    <t>&lt;--- User Input (Labor cost including all benefits)</t>
  </si>
  <si>
    <t>Elevation adjustment if &gt; 500 Feet</t>
  </si>
  <si>
    <t>(feet)</t>
  </si>
  <si>
    <t>&lt;--- User Input (no entry needed if less than 500 feet)</t>
  </si>
  <si>
    <t>Default value - check elevation.</t>
  </si>
  <si>
    <t>&lt;---- User Input</t>
  </si>
  <si>
    <t>(years)</t>
  </si>
  <si>
    <t>Gross Load</t>
  </si>
  <si>
    <t xml:space="preserve"> (MW-hours)</t>
  </si>
  <si>
    <t>SO2 Emission Baseline</t>
  </si>
  <si>
    <t>(tons/year)</t>
  </si>
  <si>
    <t>Costs are all based on 2012 dollars</t>
  </si>
  <si>
    <t>Capital Cost Calculation</t>
  </si>
  <si>
    <t xml:space="preserve">Explanation of Calculation </t>
  </si>
  <si>
    <t>Includes: Equipment, installation, buildings, foundations, electrical, and retrofit difficulty</t>
  </si>
  <si>
    <t>BMR($)</t>
  </si>
  <si>
    <t>BMF($)</t>
  </si>
  <si>
    <t>BMB($)</t>
  </si>
  <si>
    <t>BMBA($)</t>
  </si>
  <si>
    <t>BM($)</t>
  </si>
  <si>
    <t>Total Base module cost including retrofit factor</t>
  </si>
  <si>
    <t>BM($/kW)</t>
  </si>
  <si>
    <t>Total Project Cost</t>
  </si>
  <si>
    <t>A1</t>
  </si>
  <si>
    <t>Engineering and Construction Mnagement costs</t>
  </si>
  <si>
    <t>A2</t>
  </si>
  <si>
    <t>Labor adjustment for 6 x 10 hour shift premium, per diem, etc.</t>
  </si>
  <si>
    <t>A3</t>
  </si>
  <si>
    <t xml:space="preserve">Contractor profit and fees. </t>
  </si>
  <si>
    <t>CECC ($)</t>
  </si>
  <si>
    <t>Capital, engineering and construction cost subtotal</t>
  </si>
  <si>
    <t>Excludes Owner's Costs.</t>
  </si>
  <si>
    <t>CECC($/kW)</t>
  </si>
  <si>
    <t>Capital, engineering and construction cost subtotal per kW</t>
  </si>
  <si>
    <t>B1</t>
  </si>
  <si>
    <t>Owner's costs including all "home office" costs (owner's engineering, management, and procurement activities)</t>
  </si>
  <si>
    <t>TPC' ($)</t>
  </si>
  <si>
    <t>Total project cost without AFUDC</t>
  </si>
  <si>
    <t>Includes Owner's Costs</t>
  </si>
  <si>
    <t>TPC' ($/kw)</t>
  </si>
  <si>
    <t>Total project cost per kW without AFUDC</t>
  </si>
  <si>
    <t>B2</t>
  </si>
  <si>
    <t>AFUDC (Based on a 3 year engineering and construction cycle)</t>
  </si>
  <si>
    <t>TPC ($)</t>
  </si>
  <si>
    <t>Total Project Cost (including AFUDC and owner's costs)</t>
  </si>
  <si>
    <t>Includes Owner's Costs and AFUDC</t>
  </si>
  <si>
    <t>TPC ($/kW)</t>
  </si>
  <si>
    <t>Total Project Cost per kW (including AFUDC and owner's costs)</t>
  </si>
  <si>
    <t>Fixed O&amp;M Cost</t>
  </si>
  <si>
    <t>FOMO ($/kW-yr)</t>
  </si>
  <si>
    <t>FOMM ($/kW-yr)</t>
  </si>
  <si>
    <t>FOMA ($/kW-yr)</t>
  </si>
  <si>
    <t>Fixed O&amp;M additional administrative labor costs</t>
  </si>
  <si>
    <t>FOM ($/kW-yr)</t>
  </si>
  <si>
    <t>Total Fixed O&amp;M costs</t>
  </si>
  <si>
    <t>Variable O&amp;M Cost</t>
  </si>
  <si>
    <t>VOMR ($/MWh)</t>
  </si>
  <si>
    <t>VOMW ($/MWh)</t>
  </si>
  <si>
    <t>VOMP ($/MWh)</t>
  </si>
  <si>
    <t>Variable O&amp;M costs for additional auxiliary power required including additional fan power (Refer to Aux Power % above)</t>
  </si>
  <si>
    <t>In the calculation, the factor of "10" results from dividing the conversion from kilo to mega (1000) by 100% , since the input for M is a percentage.</t>
  </si>
  <si>
    <t>VOMM ($/MWh)</t>
  </si>
  <si>
    <t>Variable O&amp;M costs for makeup water</t>
  </si>
  <si>
    <t>VOM ($/MWh)</t>
  </si>
  <si>
    <t>Total Variable O&amp;M Costs</t>
  </si>
  <si>
    <t>Annualization</t>
  </si>
  <si>
    <t xml:space="preserve"> Capital, engineering and construction cost</t>
  </si>
  <si>
    <t>Excludes owner's costs and AFUDC</t>
  </si>
  <si>
    <t>Capital Recovery factor</t>
  </si>
  <si>
    <t>Annualized capital costs</t>
  </si>
  <si>
    <t>Variable operating costs</t>
  </si>
  <si>
    <t>VOM*(Gross Load)</t>
  </si>
  <si>
    <t>Fixed operating costs</t>
  </si>
  <si>
    <t>FOM*(Gross Load)*(1000kw/MW)*(8760 hours/year)</t>
  </si>
  <si>
    <t>Total annualized costs</t>
  </si>
  <si>
    <t>SO2 emissions reduction (tons)</t>
  </si>
  <si>
    <t>J/(100%)*(SO2 emission baseline)</t>
  </si>
  <si>
    <t>$/ton</t>
  </si>
  <si>
    <t>Design Limestone Rate</t>
  </si>
  <si>
    <t>(17.52*A*D*G/2000 (Based on 98% SO2 removal)</t>
  </si>
  <si>
    <r>
      <t>Operating SO</t>
    </r>
    <r>
      <rPr>
        <vertAlign val="subscript"/>
        <sz val="12"/>
        <color theme="1"/>
        <rFont val="Calibri"/>
        <family val="2"/>
        <scheme val="minor"/>
      </rPr>
      <t>2</t>
    </r>
    <r>
      <rPr>
        <sz val="12"/>
        <color theme="1"/>
        <rFont val="Calibri"/>
        <family val="2"/>
        <scheme val="minor"/>
      </rPr>
      <t xml:space="preserve"> Removal</t>
    </r>
  </si>
  <si>
    <t>Design Waste Rate</t>
  </si>
  <si>
    <t>1.811*K (Based on 98% SO2 removal)</t>
  </si>
  <si>
    <t>(1.05e^(0.155*D+1.3))*F*G</t>
  </si>
  <si>
    <t>(1.674*D+74.68)*A*F*G/1000</t>
  </si>
  <si>
    <t>Limestone Cost</t>
  </si>
  <si>
    <t>BMW($)</t>
  </si>
  <si>
    <t>Base absorber island cost</t>
  </si>
  <si>
    <t>Base reagent preparation and waste recycle/handling cost</t>
  </si>
  <si>
    <t>Base reagent preparation cost</t>
  </si>
  <si>
    <t>Base balance of plant costs (including ID or booster fans, piping, ductwork, electrical, etc.)</t>
  </si>
  <si>
    <t>Adjustment to base module balance of plant costs (including ID or booster fans, piping, ductwork, electrical, etc.), if elevation is greater than 500 feet.  See page 2 of the S&amp;L documentation.</t>
  </si>
  <si>
    <t>Base cost per kW</t>
  </si>
  <si>
    <t>Fixed O&amp;M additional operating labor costs.  IF MW &gt; 500, then 16 operators, else 12 operators</t>
  </si>
  <si>
    <t>Fixed O&amp;M additional maintenance material and labor costs</t>
  </si>
  <si>
    <t>Variable O&amp;M costs for limestone reagent</t>
  </si>
  <si>
    <t>Variable O&amp;M costs for waste disposal</t>
  </si>
  <si>
    <t>The cost algorithms present an additional factor, BMWW, for a possible future base wastewater treatment facility.  It is currently not used, so it is not included here.</t>
  </si>
  <si>
    <t>The cost algorithms present additional factors, FOMWW and VOMWW, for a possible future base wastewater treatment facility.  They are currently not used, so they are not included here.</t>
  </si>
  <si>
    <t>S&amp;L has a drop down menu for selection of an additional WWTP facility, but no capital or operational cost are implemented so it is not reproduced here.</t>
  </si>
  <si>
    <t>User must have "show objects" selected in Excel's options for the drop down menus to work:</t>
  </si>
  <si>
    <t>The elevation adjustment to the base absorber island and balance of plant costs, that is suggested on page 2 of the above documentation, was accomplished by incorporating an atmospheric pressure change with elevation calculation by NASA via http://exploration.grc.nasa.gov/education/rocket/atmosmet.html.  It should be noted that in addition to the NASA algorithm, this calculation requires converting the input feet to meters (multiplying elevation*0.3048) and K-Pa to psi (multiplying the calculation by 0.145038).</t>
  </si>
  <si>
    <t>Emissions data were downloaded from EPA CAMD's website: http://ampd.epa.gov/ampd/</t>
  </si>
  <si>
    <t>This spreadsheet is adapted from the Sargent and Lundy cost algorithms documentation for a wet FGD installation, as incorporated in version 5.13 of the IPM model.  The "Source" tab lists the origination of these cost algorithms and other information used in this spreadsheet.  The facilities tabs (i.e., BB 1) replicates the cost algorithms present in the documentation.  These tabs include a further correction recommended on page 2 of the Sargent and Lundy documentation, but not included in the actual cost algorithms - an adjustment to the base absorber island and balance of plant costs due to atmospheric pressure changes with elevation.  Finally, the facilities tabs annualize the costs and calculate a $/ton figure.   Emissions data are included in the remaining tabs as an aid in choosing some input values.</t>
  </si>
  <si>
    <t xml:space="preserve">IPM Model – Updates to Cost and Performance for APC Technologies, wet FGD Cost Development Methodology, Final March 2013, Project 12847-002, Systems Research and Applications Corporation, Prepared by Sargent and Lundy.  </t>
  </si>
  <si>
    <t>Documentation for v.5.13:  Chapter 5: Emission Control Technologies, Attachment 5-2: SDA FGD Cost Methodology, downloaded from http://www.epa.gov/airmarkets/progsregs/epa-ipm/docs/v513/attachment5_1.pdf on 12-18-13</t>
  </si>
  <si>
    <t>Interest Rate</t>
  </si>
  <si>
    <t>Equipment Lifetime</t>
  </si>
  <si>
    <t>Bit=1, Sub-Bit=1.05, Lig=1.07</t>
  </si>
  <si>
    <t>&lt;--- User Input (Conservative assumption based on a total heat input of 1380 MMBtu/hr)</t>
  </si>
  <si>
    <t>&lt;--- User Input (https://www3.epa.gov/ttncatc1/dir1/ffdg.pdf)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</si>
</sst>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0.0000"/>
    <numFmt numFmtId="166" formatCode="0.0"/>
  </numFmts>
  <fonts count="7" x14ac:knownFonts="1">
    <font>
      <sz val="11"/>
      <color theme="1"/>
      <name val="Calibri"/>
      <family val="2"/>
      <scheme val="minor"/>
    </font>
    <font>
      <sz val="12"/>
      <color theme="1"/>
      <name val="Calibri"/>
      <family val="2"/>
      <scheme val="minor"/>
    </font>
    <font>
      <b/>
      <sz val="12"/>
      <color theme="1"/>
      <name val="Calibri"/>
      <family val="2"/>
      <scheme val="minor"/>
    </font>
    <font>
      <b/>
      <sz val="12"/>
      <color indexed="8"/>
      <name val="Calibri"/>
      <family val="2"/>
    </font>
    <font>
      <b/>
      <sz val="14"/>
      <color theme="1"/>
      <name val="Calibri"/>
      <family val="2"/>
      <scheme val="minor"/>
    </font>
    <font>
      <sz val="12"/>
      <color indexed="8"/>
      <name val="Calibri"/>
      <family val="2"/>
    </font>
    <font>
      <vertAlign val="subscrip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65"/>
        <bgColor indexed="64"/>
      </patternFill>
    </fill>
  </fills>
  <borders count="51">
    <border>
      <left/>
      <right/>
      <top/>
      <bottom/>
      <diagonal/>
    </border>
    <border>
      <left style="thick">
        <color indexed="64"/>
      </left>
      <right style="thin">
        <color indexed="64"/>
      </right>
      <top style="thick">
        <color indexed="64"/>
      </top>
      <bottom style="thin">
        <color indexed="64"/>
      </bottom>
      <diagonal/>
    </border>
    <border>
      <left/>
      <right/>
      <top style="thin">
        <color theme="0" tint="-0.24994659260841701"/>
      </top>
      <bottom style="thin">
        <color theme="0" tint="-0.24994659260841701"/>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ck">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top style="thin">
        <color indexed="64"/>
      </top>
      <bottom style="thick">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1"/>
      </left>
      <right style="thin">
        <color theme="1"/>
      </right>
      <top style="thick">
        <color theme="1"/>
      </top>
      <bottom style="thin">
        <color theme="1"/>
      </bottom>
      <diagonal/>
    </border>
    <border>
      <left style="thin">
        <color theme="1"/>
      </left>
      <right style="thin">
        <color theme="1"/>
      </right>
      <top style="thick">
        <color theme="1"/>
      </top>
      <bottom style="thin">
        <color theme="1"/>
      </bottom>
      <diagonal/>
    </border>
    <border>
      <left style="thin">
        <color theme="1"/>
      </left>
      <right/>
      <top style="thick">
        <color theme="1"/>
      </top>
      <bottom style="thin">
        <color theme="1"/>
      </bottom>
      <diagonal/>
    </border>
    <border>
      <left/>
      <right/>
      <top style="thick">
        <color theme="1"/>
      </top>
      <bottom style="thin">
        <color theme="1"/>
      </bottom>
      <diagonal/>
    </border>
    <border>
      <left/>
      <right style="thin">
        <color theme="1"/>
      </right>
      <top style="thick">
        <color theme="1"/>
      </top>
      <bottom style="thin">
        <color theme="1"/>
      </bottom>
      <diagonal/>
    </border>
    <border>
      <left style="thin">
        <color theme="1"/>
      </left>
      <right style="thick">
        <color theme="1"/>
      </right>
      <top style="thick">
        <color theme="1"/>
      </top>
      <bottom style="thin">
        <color theme="1"/>
      </bottom>
      <diagonal/>
    </border>
    <border>
      <left style="thick">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ck">
        <color theme="1"/>
      </right>
      <top style="thin">
        <color theme="1"/>
      </top>
      <bottom style="thin">
        <color theme="1"/>
      </bottom>
      <diagonal/>
    </border>
    <border>
      <left style="thick">
        <color theme="1"/>
      </left>
      <right style="thin">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top style="thin">
        <color theme="1"/>
      </top>
      <bottom style="thick">
        <color theme="1"/>
      </bottom>
      <diagonal/>
    </border>
    <border>
      <left/>
      <right/>
      <top style="thin">
        <color theme="1"/>
      </top>
      <bottom style="thick">
        <color theme="1"/>
      </bottom>
      <diagonal/>
    </border>
    <border>
      <left style="thin">
        <color theme="1"/>
      </left>
      <right style="thick">
        <color theme="1"/>
      </right>
      <top style="thin">
        <color theme="1"/>
      </top>
      <bottom style="thick">
        <color theme="1"/>
      </bottom>
      <diagonal/>
    </border>
    <border>
      <left style="thin">
        <color indexed="64"/>
      </left>
      <right style="thick">
        <color indexed="64"/>
      </right>
      <top/>
      <bottom style="thin">
        <color indexed="64"/>
      </bottom>
      <diagonal/>
    </border>
    <border>
      <left style="thin">
        <color theme="1"/>
      </left>
      <right style="thick">
        <color theme="1"/>
      </right>
      <top style="thin">
        <color theme="1"/>
      </top>
      <bottom/>
      <diagonal/>
    </border>
    <border>
      <left style="thin">
        <color theme="1"/>
      </left>
      <right style="thick">
        <color theme="1"/>
      </right>
      <top/>
      <bottom style="thin">
        <color theme="1"/>
      </bottom>
      <diagonal/>
    </border>
    <border>
      <left style="thin">
        <color theme="1"/>
      </left>
      <right style="thick">
        <color theme="1"/>
      </right>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s>
  <cellStyleXfs count="2">
    <xf numFmtId="0" fontId="0" fillId="0" borderId="0"/>
    <xf numFmtId="0" fontId="1" fillId="0" borderId="0"/>
  </cellStyleXfs>
  <cellXfs count="117">
    <xf numFmtId="0" fontId="0" fillId="0" borderId="0" xfId="0"/>
    <xf numFmtId="0" fontId="1" fillId="0" borderId="0" xfId="1"/>
    <xf numFmtId="0" fontId="1" fillId="0" borderId="0" xfId="1" applyAlignment="1">
      <alignment horizontal="center"/>
    </xf>
    <xf numFmtId="0" fontId="1" fillId="0" borderId="0" xfId="1" applyAlignment="1">
      <alignment wrapText="1"/>
    </xf>
    <xf numFmtId="0" fontId="1" fillId="0" borderId="2" xfId="1" applyBorder="1" applyAlignment="1">
      <alignment wrapText="1"/>
    </xf>
    <xf numFmtId="0" fontId="2" fillId="0" borderId="5" xfId="1" applyFont="1" applyBorder="1" applyAlignment="1">
      <alignment horizontal="center" wrapText="1"/>
    </xf>
    <xf numFmtId="0" fontId="2" fillId="0" borderId="2" xfId="1" applyFont="1" applyBorder="1" applyAlignment="1">
      <alignment horizontal="center" wrapText="1"/>
    </xf>
    <xf numFmtId="0" fontId="3" fillId="0" borderId="0" xfId="1" applyFont="1"/>
    <xf numFmtId="0" fontId="3" fillId="2" borderId="1" xfId="1" applyFont="1" applyFill="1" applyBorder="1" applyAlignment="1">
      <alignment horizontal="center"/>
    </xf>
    <xf numFmtId="0" fontId="3" fillId="2" borderId="7" xfId="1" applyFont="1" applyFill="1" applyBorder="1" applyAlignment="1">
      <alignment horizontal="center"/>
    </xf>
    <xf numFmtId="0" fontId="3" fillId="2" borderId="8" xfId="1" applyFont="1" applyFill="1" applyBorder="1" applyAlignment="1">
      <alignment horizontal="center" wrapText="1"/>
    </xf>
    <xf numFmtId="0" fontId="3" fillId="0" borderId="2" xfId="1" applyFont="1" applyBorder="1"/>
    <xf numFmtId="0" fontId="1" fillId="2" borderId="9" xfId="1" applyFill="1" applyBorder="1"/>
    <xf numFmtId="0" fontId="1" fillId="2" borderId="10" xfId="1" applyFill="1" applyBorder="1" applyAlignment="1">
      <alignment horizontal="center"/>
    </xf>
    <xf numFmtId="0" fontId="3" fillId="3" borderId="10" xfId="1" applyFont="1" applyFill="1" applyBorder="1" applyAlignment="1" applyProtection="1">
      <alignment horizontal="center"/>
      <protection locked="0"/>
    </xf>
    <xf numFmtId="0" fontId="2" fillId="2" borderId="11" xfId="1" applyFont="1" applyFill="1" applyBorder="1" applyAlignment="1">
      <alignment wrapText="1"/>
    </xf>
    <xf numFmtId="0" fontId="1" fillId="0" borderId="12" xfId="1" applyBorder="1" applyAlignment="1">
      <alignment wrapText="1"/>
    </xf>
    <xf numFmtId="3" fontId="3" fillId="3" borderId="10" xfId="1" applyNumberFormat="1" applyFont="1" applyFill="1" applyBorder="1" applyAlignment="1" applyProtection="1">
      <alignment horizontal="center"/>
      <protection locked="0"/>
    </xf>
    <xf numFmtId="2" fontId="3" fillId="3" borderId="10" xfId="1" applyNumberFormat="1" applyFont="1" applyFill="1" applyBorder="1" applyAlignment="1" applyProtection="1">
      <alignment horizontal="center"/>
      <protection locked="0"/>
    </xf>
    <xf numFmtId="0" fontId="1" fillId="2" borderId="11" xfId="1" applyFill="1" applyBorder="1" applyAlignment="1">
      <alignment wrapText="1"/>
    </xf>
    <xf numFmtId="38" fontId="1" fillId="2" borderId="10" xfId="1" applyNumberFormat="1" applyFill="1" applyBorder="1" applyAlignment="1">
      <alignment horizontal="center"/>
    </xf>
    <xf numFmtId="0" fontId="2" fillId="0" borderId="11" xfId="1" applyFont="1" applyFill="1" applyBorder="1" applyAlignment="1">
      <alignment wrapText="1"/>
    </xf>
    <xf numFmtId="0" fontId="2" fillId="0" borderId="12" xfId="1" applyFont="1" applyFill="1" applyBorder="1" applyAlignment="1">
      <alignment wrapText="1"/>
    </xf>
    <xf numFmtId="38" fontId="1" fillId="2" borderId="13" xfId="1" applyNumberFormat="1" applyFill="1" applyBorder="1" applyAlignment="1">
      <alignment horizontal="center" wrapText="1"/>
    </xf>
    <xf numFmtId="0" fontId="2" fillId="2" borderId="6" xfId="1" applyFont="1" applyFill="1" applyBorder="1" applyAlignment="1">
      <alignment horizontal="right" vertical="center" wrapText="1"/>
    </xf>
    <xf numFmtId="0" fontId="3" fillId="3" borderId="10" xfId="1" applyFont="1" applyFill="1" applyBorder="1" applyAlignment="1">
      <alignment wrapText="1"/>
    </xf>
    <xf numFmtId="40" fontId="5" fillId="2" borderId="13" xfId="1" applyNumberFormat="1" applyFont="1" applyFill="1" applyBorder="1" applyAlignment="1">
      <alignment horizontal="center" wrapText="1"/>
    </xf>
    <xf numFmtId="0" fontId="1" fillId="2" borderId="14" xfId="1" applyFill="1" applyBorder="1"/>
    <xf numFmtId="0" fontId="1" fillId="2" borderId="15" xfId="1" applyFill="1" applyBorder="1" applyAlignment="1">
      <alignment horizontal="center"/>
    </xf>
    <xf numFmtId="0" fontId="3" fillId="3" borderId="15" xfId="1" applyFont="1" applyFill="1" applyBorder="1" applyAlignment="1" applyProtection="1">
      <alignment horizontal="center"/>
      <protection locked="0"/>
    </xf>
    <xf numFmtId="0" fontId="2" fillId="2" borderId="16" xfId="1" applyFont="1" applyFill="1" applyBorder="1" applyAlignment="1">
      <alignment wrapText="1"/>
    </xf>
    <xf numFmtId="0" fontId="1" fillId="2" borderId="9" xfId="1" applyFill="1" applyBorder="1" applyAlignment="1">
      <alignment vertical="top" wrapText="1"/>
    </xf>
    <xf numFmtId="0" fontId="1" fillId="0" borderId="9" xfId="1" applyBorder="1" applyAlignment="1">
      <alignment wrapText="1"/>
    </xf>
    <xf numFmtId="0" fontId="2" fillId="0" borderId="11" xfId="1" applyFont="1" applyBorder="1" applyAlignment="1">
      <alignment horizontal="left" wrapText="1"/>
    </xf>
    <xf numFmtId="0" fontId="1" fillId="0" borderId="14" xfId="1" applyBorder="1" applyAlignment="1">
      <alignment wrapText="1"/>
    </xf>
    <xf numFmtId="3" fontId="2" fillId="3" borderId="15" xfId="1" applyNumberFormat="1" applyFont="1" applyFill="1" applyBorder="1" applyAlignment="1">
      <alignment horizontal="center"/>
    </xf>
    <xf numFmtId="0" fontId="2" fillId="0" borderId="16" xfId="1" applyFont="1" applyBorder="1" applyAlignment="1">
      <alignment horizontal="left" wrapText="1"/>
    </xf>
    <xf numFmtId="0" fontId="1" fillId="0" borderId="18" xfId="1" applyBorder="1"/>
    <xf numFmtId="0" fontId="1" fillId="0" borderId="3" xfId="1" applyBorder="1" applyAlignment="1">
      <alignment wrapText="1"/>
    </xf>
    <xf numFmtId="0" fontId="1" fillId="2" borderId="17" xfId="1" applyFill="1" applyBorder="1" applyAlignment="1">
      <alignment horizontal="center"/>
    </xf>
    <xf numFmtId="3" fontId="2" fillId="3" borderId="17" xfId="1" applyNumberFormat="1" applyFont="1" applyFill="1" applyBorder="1" applyAlignment="1">
      <alignment horizontal="center"/>
    </xf>
    <xf numFmtId="0" fontId="2" fillId="0" borderId="19" xfId="1" applyFont="1" applyBorder="1" applyAlignment="1">
      <alignment horizontal="left" wrapText="1"/>
    </xf>
    <xf numFmtId="0" fontId="1" fillId="0" borderId="4" xfId="1" applyBorder="1" applyAlignment="1">
      <alignment wrapText="1"/>
    </xf>
    <xf numFmtId="0" fontId="1" fillId="0" borderId="21" xfId="1" applyBorder="1"/>
    <xf numFmtId="0" fontId="1" fillId="2" borderId="22" xfId="1" applyFill="1" applyBorder="1"/>
    <xf numFmtId="0" fontId="1" fillId="2" borderId="23" xfId="1" applyFill="1" applyBorder="1"/>
    <xf numFmtId="0" fontId="1" fillId="2" borderId="23" xfId="1" applyFill="1" applyBorder="1" applyAlignment="1">
      <alignment horizontal="center"/>
    </xf>
    <xf numFmtId="0" fontId="1" fillId="2" borderId="23" xfId="1" applyFill="1" applyBorder="1" applyAlignment="1">
      <alignment wrapText="1"/>
    </xf>
    <xf numFmtId="0" fontId="1" fillId="2" borderId="24" xfId="1" applyFill="1" applyBorder="1" applyAlignment="1">
      <alignment wrapText="1"/>
    </xf>
    <xf numFmtId="0" fontId="1" fillId="2" borderId="2" xfId="1" applyFill="1" applyBorder="1" applyAlignment="1">
      <alignment wrapText="1"/>
    </xf>
    <xf numFmtId="0" fontId="1" fillId="4" borderId="20" xfId="1" applyFill="1" applyBorder="1"/>
    <xf numFmtId="0" fontId="1" fillId="4" borderId="18" xfId="1" applyFill="1" applyBorder="1" applyAlignment="1">
      <alignment wrapText="1"/>
    </xf>
    <xf numFmtId="0" fontId="1" fillId="4" borderId="2" xfId="1" applyFill="1" applyBorder="1" applyAlignment="1">
      <alignment wrapText="1"/>
    </xf>
    <xf numFmtId="0" fontId="1" fillId="4" borderId="21" xfId="1" applyFill="1" applyBorder="1"/>
    <xf numFmtId="0" fontId="1" fillId="4" borderId="25" xfId="1" applyFill="1" applyBorder="1"/>
    <xf numFmtId="0" fontId="4" fillId="2" borderId="26" xfId="1" applyFont="1" applyFill="1" applyBorder="1" applyAlignment="1">
      <alignment horizontal="center"/>
    </xf>
    <xf numFmtId="0" fontId="1" fillId="2" borderId="26" xfId="1" applyFill="1" applyBorder="1" applyAlignment="1">
      <alignment horizontal="center"/>
    </xf>
    <xf numFmtId="0" fontId="1" fillId="4" borderId="27" xfId="1" applyFill="1" applyBorder="1" applyAlignment="1">
      <alignment wrapText="1"/>
    </xf>
    <xf numFmtId="0" fontId="1" fillId="4" borderId="26" xfId="1" applyFill="1" applyBorder="1"/>
    <xf numFmtId="0" fontId="3" fillId="2" borderId="28" xfId="1" applyFont="1" applyFill="1" applyBorder="1" applyAlignment="1">
      <alignment horizontal="center"/>
    </xf>
    <xf numFmtId="0" fontId="2" fillId="2" borderId="29" xfId="1" applyFont="1" applyFill="1" applyBorder="1"/>
    <xf numFmtId="0" fontId="2" fillId="0" borderId="33" xfId="1" applyFont="1" applyBorder="1" applyAlignment="1">
      <alignment horizontal="center" wrapText="1"/>
    </xf>
    <xf numFmtId="0" fontId="2" fillId="0" borderId="2" xfId="1" applyFont="1" applyBorder="1" applyAlignment="1">
      <alignment wrapText="1"/>
    </xf>
    <xf numFmtId="0" fontId="1" fillId="0" borderId="34" xfId="1" applyBorder="1"/>
    <xf numFmtId="0" fontId="1" fillId="0" borderId="35" xfId="1" applyBorder="1"/>
    <xf numFmtId="0" fontId="1" fillId="0" borderId="39" xfId="1" applyBorder="1" applyAlignment="1">
      <alignment wrapText="1"/>
    </xf>
    <xf numFmtId="0" fontId="1" fillId="0" borderId="34" xfId="1" applyBorder="1" applyAlignment="1">
      <alignment horizontal="right"/>
    </xf>
    <xf numFmtId="38" fontId="1" fillId="0" borderId="35" xfId="1" applyNumberFormat="1" applyBorder="1"/>
    <xf numFmtId="0" fontId="3" fillId="0" borderId="34" xfId="1" applyFont="1" applyBorder="1" applyAlignment="1">
      <alignment horizontal="right"/>
    </xf>
    <xf numFmtId="38" fontId="3" fillId="0" borderId="35" xfId="1" applyNumberFormat="1" applyFont="1" applyBorder="1"/>
    <xf numFmtId="0" fontId="3" fillId="0" borderId="34" xfId="1" applyFont="1" applyBorder="1"/>
    <xf numFmtId="3" fontId="1" fillId="0" borderId="35" xfId="1" applyNumberFormat="1" applyBorder="1"/>
    <xf numFmtId="0" fontId="1" fillId="0" borderId="0" xfId="1" applyBorder="1"/>
    <xf numFmtId="40" fontId="1" fillId="0" borderId="35" xfId="1" applyNumberFormat="1" applyBorder="1"/>
    <xf numFmtId="40" fontId="3" fillId="0" borderId="35" xfId="1" applyNumberFormat="1" applyFont="1" applyBorder="1"/>
    <xf numFmtId="0" fontId="3" fillId="0" borderId="34" xfId="1" applyFont="1" applyBorder="1" applyAlignment="1">
      <alignment horizontal="left"/>
    </xf>
    <xf numFmtId="0" fontId="1" fillId="0" borderId="34" xfId="1" applyBorder="1" applyAlignment="1">
      <alignment horizontal="right" wrapText="1"/>
    </xf>
    <xf numFmtId="164" fontId="1" fillId="0" borderId="35" xfId="1" applyNumberFormat="1" applyBorder="1"/>
    <xf numFmtId="165" fontId="1" fillId="0" borderId="35" xfId="1" applyNumberFormat="1" applyBorder="1"/>
    <xf numFmtId="0" fontId="2" fillId="0" borderId="34" xfId="1" applyFont="1" applyBorder="1" applyAlignment="1">
      <alignment horizontal="right" wrapText="1"/>
    </xf>
    <xf numFmtId="164" fontId="2" fillId="0" borderId="35" xfId="1" applyNumberFormat="1" applyFont="1" applyBorder="1"/>
    <xf numFmtId="0" fontId="2" fillId="0" borderId="40" xfId="1" applyFont="1" applyBorder="1" applyAlignment="1">
      <alignment horizontal="right"/>
    </xf>
    <xf numFmtId="3" fontId="2" fillId="0" borderId="41" xfId="1" applyNumberFormat="1" applyFont="1" applyBorder="1"/>
    <xf numFmtId="0" fontId="1" fillId="0" borderId="44" xfId="1" applyBorder="1" applyAlignment="1">
      <alignment wrapText="1"/>
    </xf>
    <xf numFmtId="0" fontId="1" fillId="0" borderId="0" xfId="1" applyBorder="1" applyAlignment="1">
      <alignment horizontal="center"/>
    </xf>
    <xf numFmtId="0" fontId="1" fillId="0" borderId="0" xfId="1" applyBorder="1" applyAlignment="1">
      <alignment wrapText="1"/>
    </xf>
    <xf numFmtId="0" fontId="3" fillId="3" borderId="10" xfId="0" applyFont="1" applyFill="1" applyBorder="1" applyAlignment="1" applyProtection="1">
      <alignment horizontal="center"/>
      <protection locked="0"/>
    </xf>
    <xf numFmtId="0" fontId="1" fillId="0" borderId="36" xfId="1" applyBorder="1" applyAlignment="1">
      <alignment wrapText="1"/>
    </xf>
    <xf numFmtId="0" fontId="1" fillId="0" borderId="37" xfId="1" applyBorder="1" applyAlignment="1">
      <alignment wrapText="1"/>
    </xf>
    <xf numFmtId="0" fontId="1" fillId="0" borderId="38" xfId="1" applyBorder="1" applyAlignment="1">
      <alignment wrapText="1"/>
    </xf>
    <xf numFmtId="40" fontId="2" fillId="3" borderId="11" xfId="0" applyNumberFormat="1" applyFont="1" applyFill="1" applyBorder="1" applyAlignment="1">
      <alignment horizontal="center"/>
    </xf>
    <xf numFmtId="0" fontId="1" fillId="0" borderId="39" xfId="1" applyBorder="1"/>
    <xf numFmtId="0" fontId="1" fillId="0" borderId="0" xfId="1" applyAlignment="1">
      <alignment vertical="top" wrapText="1"/>
    </xf>
    <xf numFmtId="0" fontId="1" fillId="0" borderId="0" xfId="1" applyAlignment="1">
      <alignment vertical="center" wrapText="1"/>
    </xf>
    <xf numFmtId="0" fontId="1" fillId="0" borderId="0" xfId="1" applyAlignment="1">
      <alignment vertical="center"/>
    </xf>
    <xf numFmtId="166" fontId="3" fillId="3" borderId="10" xfId="1" applyNumberFormat="1" applyFont="1" applyFill="1" applyBorder="1" applyAlignment="1" applyProtection="1">
      <alignment horizontal="center"/>
      <protection locked="0"/>
    </xf>
    <xf numFmtId="40" fontId="1" fillId="2" borderId="13" xfId="1" applyNumberFormat="1" applyFill="1" applyBorder="1" applyAlignment="1">
      <alignment horizontal="center" wrapText="1"/>
    </xf>
    <xf numFmtId="0" fontId="1" fillId="0" borderId="36" xfId="1" applyBorder="1" applyAlignment="1">
      <alignment wrapText="1"/>
    </xf>
    <xf numFmtId="0" fontId="1" fillId="0" borderId="37" xfId="1" applyBorder="1" applyAlignment="1">
      <alignment wrapText="1"/>
    </xf>
    <xf numFmtId="0" fontId="1" fillId="0" borderId="42" xfId="1" applyBorder="1" applyAlignment="1">
      <alignment horizontal="center"/>
    </xf>
    <xf numFmtId="0" fontId="1" fillId="0" borderId="43" xfId="1" applyBorder="1" applyAlignment="1"/>
    <xf numFmtId="0" fontId="1" fillId="0" borderId="46" xfId="1" applyBorder="1" applyAlignment="1">
      <alignment wrapText="1"/>
    </xf>
    <xf numFmtId="0" fontId="0" fillId="0" borderId="48" xfId="0" applyBorder="1" applyAlignment="1">
      <alignment wrapText="1"/>
    </xf>
    <xf numFmtId="0" fontId="0" fillId="0" borderId="47" xfId="0" applyBorder="1" applyAlignment="1">
      <alignment wrapText="1"/>
    </xf>
    <xf numFmtId="0" fontId="1" fillId="0" borderId="36" xfId="1" applyBorder="1" applyAlignment="1">
      <alignment horizontal="left" wrapText="1"/>
    </xf>
    <xf numFmtId="0" fontId="1" fillId="0" borderId="36" xfId="1" applyBorder="1" applyAlignment="1">
      <alignment horizontal="center" wrapText="1"/>
    </xf>
    <xf numFmtId="0" fontId="1" fillId="0" borderId="38" xfId="1" applyBorder="1" applyAlignment="1">
      <alignment wrapText="1"/>
    </xf>
    <xf numFmtId="0" fontId="2" fillId="2" borderId="36" xfId="1" applyFont="1" applyFill="1" applyBorder="1" applyAlignment="1">
      <alignment wrapText="1"/>
    </xf>
    <xf numFmtId="0" fontId="5" fillId="0" borderId="49" xfId="1" applyFont="1" applyBorder="1" applyAlignment="1">
      <alignment wrapText="1"/>
    </xf>
    <xf numFmtId="0" fontId="0" fillId="0" borderId="50" xfId="0" applyBorder="1" applyAlignment="1">
      <alignment wrapText="1"/>
    </xf>
    <xf numFmtId="0" fontId="0" fillId="0" borderId="45" xfId="0" applyBorder="1" applyAlignment="1">
      <alignment wrapText="1"/>
    </xf>
    <xf numFmtId="0" fontId="4" fillId="2" borderId="21" xfId="1" applyFont="1" applyFill="1" applyBorder="1" applyAlignment="1">
      <alignment horizontal="center"/>
    </xf>
    <xf numFmtId="0" fontId="1" fillId="2" borderId="21" xfId="1" applyFill="1" applyBorder="1" applyAlignment="1">
      <alignment horizontal="center"/>
    </xf>
    <xf numFmtId="0" fontId="2" fillId="2" borderId="30" xfId="1" applyFont="1" applyFill="1" applyBorder="1" applyAlignment="1">
      <alignment horizontal="center" wrapText="1"/>
    </xf>
    <xf numFmtId="0" fontId="1" fillId="0" borderId="31" xfId="1" applyBorder="1" applyAlignment="1">
      <alignment horizontal="center" wrapText="1"/>
    </xf>
    <xf numFmtId="0" fontId="1" fillId="0" borderId="32" xfId="1" applyBorder="1" applyAlignment="1">
      <alignment horizontal="center" wrapText="1"/>
    </xf>
    <xf numFmtId="0" fontId="1" fillId="2" borderId="36" xfId="1" applyFill="1" applyBorder="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5</xdr:row>
      <xdr:rowOff>44450</xdr:rowOff>
    </xdr:from>
    <xdr:to>
      <xdr:col>0</xdr:col>
      <xdr:colOff>5454650</xdr:colOff>
      <xdr:row>6</xdr:row>
      <xdr:rowOff>615950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0" y="2965450"/>
          <a:ext cx="5168900" cy="4711700"/>
        </a:xfrm>
        <a:prstGeom prst="rect">
          <a:avLst/>
        </a:prstGeom>
        <a:noFill/>
        <a:ln w="1">
          <a:noFill/>
          <a:miter lim="800000"/>
          <a:headEnd/>
          <a:tailEnd type="none" w="med" len="med"/>
        </a:ln>
        <a:effectLst/>
      </xdr:spPr>
    </xdr:pic>
    <xdr:clientData/>
  </xdr:twoCellAnchor>
  <xdr:twoCellAnchor>
    <xdr:from>
      <xdr:col>0</xdr:col>
      <xdr:colOff>1054100</xdr:colOff>
      <xdr:row>5</xdr:row>
      <xdr:rowOff>2800350</xdr:rowOff>
    </xdr:from>
    <xdr:to>
      <xdr:col>0</xdr:col>
      <xdr:colOff>1670050</xdr:colOff>
      <xdr:row>5</xdr:row>
      <xdr:rowOff>3079750</xdr:rowOff>
    </xdr:to>
    <xdr:sp macro="" textlink="">
      <xdr:nvSpPr>
        <xdr:cNvPr id="3" name="Right Arrow 2"/>
        <xdr:cNvSpPr/>
      </xdr:nvSpPr>
      <xdr:spPr>
        <a:xfrm>
          <a:off x="1054100" y="5721350"/>
          <a:ext cx="615950" cy="279400"/>
        </a:xfrm>
        <a:prstGeom prst="rightArrow">
          <a:avLst/>
        </a:prstGeom>
        <a:solidFill>
          <a:srgbClr val="FF0000"/>
        </a:solidFill>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n-US"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zoomScale="70" zoomScaleNormal="70" workbookViewId="0">
      <selection activeCell="A4" sqref="A4"/>
    </sheetView>
  </sheetViews>
  <sheetFormatPr defaultColWidth="8.7109375" defaultRowHeight="15.75" x14ac:dyDescent="0.25"/>
  <cols>
    <col min="1" max="1" width="82.140625" style="1" customWidth="1"/>
    <col min="2" max="16384" width="8.7109375" style="1"/>
  </cols>
  <sheetData>
    <row r="2" spans="1:1" ht="155.44999999999999" customHeight="1" x14ac:dyDescent="0.25">
      <c r="A2" s="92" t="s">
        <v>164</v>
      </c>
    </row>
    <row r="3" spans="1:1" ht="14.1" customHeight="1" x14ac:dyDescent="0.25">
      <c r="A3" s="92"/>
    </row>
    <row r="4" spans="1:1" ht="31.5" x14ac:dyDescent="0.25">
      <c r="A4" s="3" t="s">
        <v>161</v>
      </c>
    </row>
    <row r="5" spans="1:1" ht="14.1" customHeight="1" x14ac:dyDescent="0.25"/>
    <row r="6" spans="1:1" ht="326.10000000000002" customHeight="1" x14ac:dyDescent="0.25"/>
    <row r="7" spans="1:1" ht="57.6" customHeight="1" x14ac:dyDescent="0.25"/>
    <row r="8" spans="1:1" ht="41.1" customHeigh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2" sqref="A2"/>
    </sheetView>
  </sheetViews>
  <sheetFormatPr defaultColWidth="12" defaultRowHeight="15.75" x14ac:dyDescent="0.25"/>
  <cols>
    <col min="1" max="1" width="83.85546875" style="93" customWidth="1"/>
    <col min="2" max="16384" width="12" style="1"/>
  </cols>
  <sheetData>
    <row r="1" spans="1:1" ht="69.599999999999994" customHeight="1" x14ac:dyDescent="0.25">
      <c r="A1" s="93" t="s">
        <v>165</v>
      </c>
    </row>
    <row r="2" spans="1:1" s="94" customFormat="1" ht="54" customHeight="1" x14ac:dyDescent="0.25">
      <c r="A2" s="93" t="s">
        <v>166</v>
      </c>
    </row>
    <row r="3" spans="1:1" s="94" customFormat="1" x14ac:dyDescent="0.25">
      <c r="A3" s="93"/>
    </row>
    <row r="4" spans="1:1" s="94" customFormat="1" ht="110.25" x14ac:dyDescent="0.25">
      <c r="A4" s="93" t="s">
        <v>162</v>
      </c>
    </row>
    <row r="5" spans="1:1" s="94" customFormat="1" x14ac:dyDescent="0.25">
      <c r="A5" s="93"/>
    </row>
    <row r="6" spans="1:1" s="94" customFormat="1" ht="31.5" x14ac:dyDescent="0.25">
      <c r="A6" s="93" t="s">
        <v>163</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tabSelected="1" topLeftCell="A58" zoomScaleNormal="100" workbookViewId="0">
      <selection activeCell="C33" sqref="C33"/>
    </sheetView>
  </sheetViews>
  <sheetFormatPr defaultColWidth="12" defaultRowHeight="15.75" x14ac:dyDescent="0.25"/>
  <cols>
    <col min="1" max="1" width="17.140625" style="1" customWidth="1"/>
    <col min="2" max="2" width="28.140625" style="1" customWidth="1"/>
    <col min="3" max="3" width="20.140625" style="1" customWidth="1"/>
    <col min="4" max="4" width="14.85546875" style="2" customWidth="1"/>
    <col min="5" max="5" width="19.7109375" style="1" customWidth="1"/>
    <col min="6" max="6" width="52.28515625" style="3" customWidth="1"/>
    <col min="7" max="7" width="33.28515625" style="3" customWidth="1"/>
    <col min="8" max="8" width="7.85546875" style="4" customWidth="1"/>
    <col min="9" max="16384" width="12" style="1"/>
  </cols>
  <sheetData>
    <row r="1" spans="1:8" ht="17.25" thickTop="1" thickBot="1" x14ac:dyDescent="0.3">
      <c r="G1" s="5" t="s">
        <v>0</v>
      </c>
      <c r="H1" s="6"/>
    </row>
    <row r="2" spans="1:8" s="7" customFormat="1" ht="16.5" thickTop="1" x14ac:dyDescent="0.25">
      <c r="B2" s="8" t="s">
        <v>1</v>
      </c>
      <c r="C2" s="9" t="s">
        <v>2</v>
      </c>
      <c r="D2" s="9" t="s">
        <v>3</v>
      </c>
      <c r="E2" s="9" t="s">
        <v>4</v>
      </c>
      <c r="F2" s="10" t="s">
        <v>5</v>
      </c>
      <c r="G2" s="108" t="s">
        <v>160</v>
      </c>
      <c r="H2" s="11"/>
    </row>
    <row r="3" spans="1:8" ht="31.5" x14ac:dyDescent="0.25">
      <c r="B3" s="12" t="s">
        <v>6</v>
      </c>
      <c r="C3" s="13" t="s">
        <v>7</v>
      </c>
      <c r="D3" s="13" t="s">
        <v>8</v>
      </c>
      <c r="E3" s="14">
        <v>138</v>
      </c>
      <c r="F3" s="15" t="s">
        <v>170</v>
      </c>
      <c r="G3" s="109"/>
    </row>
    <row r="4" spans="1:8" ht="51.95" customHeight="1" x14ac:dyDescent="0.25">
      <c r="B4" s="12" t="s">
        <v>10</v>
      </c>
      <c r="C4" s="13" t="s">
        <v>11</v>
      </c>
      <c r="D4" s="13"/>
      <c r="E4" s="95">
        <v>1</v>
      </c>
      <c r="F4" s="15" t="s">
        <v>12</v>
      </c>
      <c r="G4" s="110"/>
    </row>
    <row r="5" spans="1:8" x14ac:dyDescent="0.25">
      <c r="B5" s="12" t="s">
        <v>15</v>
      </c>
      <c r="C5" s="13" t="s">
        <v>16</v>
      </c>
      <c r="D5" s="13" t="s">
        <v>17</v>
      </c>
      <c r="E5" s="17">
        <v>10000</v>
      </c>
      <c r="F5" s="15" t="s">
        <v>18</v>
      </c>
      <c r="G5" s="16" t="s">
        <v>19</v>
      </c>
    </row>
    <row r="6" spans="1:8" ht="31.5" x14ac:dyDescent="0.25">
      <c r="B6" s="12" t="s">
        <v>20</v>
      </c>
      <c r="C6" s="13" t="s">
        <v>21</v>
      </c>
      <c r="D6" s="13" t="s">
        <v>22</v>
      </c>
      <c r="E6" s="18">
        <v>0.46</v>
      </c>
      <c r="F6" s="15"/>
      <c r="G6" s="16" t="s">
        <v>23</v>
      </c>
    </row>
    <row r="7" spans="1:8" ht="31.5" x14ac:dyDescent="0.25">
      <c r="B7" s="12" t="s">
        <v>13</v>
      </c>
      <c r="C7" s="13" t="s">
        <v>24</v>
      </c>
      <c r="D7" s="13"/>
      <c r="E7" s="86" t="s">
        <v>14</v>
      </c>
      <c r="F7" s="15" t="s">
        <v>25</v>
      </c>
      <c r="G7" s="16" t="s">
        <v>26</v>
      </c>
    </row>
    <row r="8" spans="1:8" x14ac:dyDescent="0.25">
      <c r="B8" s="12" t="s">
        <v>27</v>
      </c>
      <c r="C8" s="13" t="s">
        <v>28</v>
      </c>
      <c r="D8" s="13"/>
      <c r="E8" s="13">
        <f>IF(E7="BIT",1,IF(E7="PRB",1.05,IF(E7="LIG",1.07,"error")))</f>
        <v>1.05</v>
      </c>
      <c r="F8" s="19" t="s">
        <v>169</v>
      </c>
      <c r="G8" s="16"/>
    </row>
    <row r="9" spans="1:8" x14ac:dyDescent="0.25">
      <c r="B9" s="12" t="s">
        <v>29</v>
      </c>
      <c r="C9" s="13" t="s">
        <v>30</v>
      </c>
      <c r="D9" s="13"/>
      <c r="E9" s="13">
        <f>E5/10000</f>
        <v>1</v>
      </c>
      <c r="F9" s="19" t="s">
        <v>31</v>
      </c>
      <c r="G9" s="16"/>
    </row>
    <row r="10" spans="1:8" x14ac:dyDescent="0.25">
      <c r="B10" s="12" t="s">
        <v>32</v>
      </c>
      <c r="C10" s="13" t="s">
        <v>33</v>
      </c>
      <c r="D10" s="13" t="s">
        <v>34</v>
      </c>
      <c r="E10" s="20">
        <f>E3*E5*1000</f>
        <v>1380000000</v>
      </c>
      <c r="F10" s="19" t="s">
        <v>35</v>
      </c>
      <c r="G10" s="16"/>
    </row>
    <row r="11" spans="1:8" ht="63.6" customHeight="1" x14ac:dyDescent="0.35">
      <c r="B11" s="12" t="s">
        <v>141</v>
      </c>
      <c r="C11" s="13" t="s">
        <v>36</v>
      </c>
      <c r="D11" s="13" t="s">
        <v>37</v>
      </c>
      <c r="E11" s="90">
        <v>99</v>
      </c>
      <c r="F11" s="21" t="s">
        <v>18</v>
      </c>
      <c r="G11" s="22"/>
    </row>
    <row r="12" spans="1:8" ht="30.6" customHeight="1" x14ac:dyDescent="0.25">
      <c r="B12" s="12" t="s">
        <v>139</v>
      </c>
      <c r="C12" s="13" t="s">
        <v>38</v>
      </c>
      <c r="D12" s="13" t="s">
        <v>39</v>
      </c>
      <c r="E12" s="96">
        <f>17.52*E3*E6*E9/2000</f>
        <v>0.55608479999999993</v>
      </c>
      <c r="F12" s="19" t="s">
        <v>140</v>
      </c>
      <c r="G12" s="16"/>
    </row>
    <row r="13" spans="1:8" ht="30.95" customHeight="1" thickBot="1" x14ac:dyDescent="0.3">
      <c r="B13" s="12" t="s">
        <v>142</v>
      </c>
      <c r="C13" s="13" t="s">
        <v>40</v>
      </c>
      <c r="D13" s="13" t="s">
        <v>39</v>
      </c>
      <c r="E13" s="96">
        <f>1.811*E12</f>
        <v>1.0070695727999999</v>
      </c>
      <c r="F13" s="19" t="s">
        <v>143</v>
      </c>
      <c r="G13" s="16"/>
    </row>
    <row r="14" spans="1:8" ht="32.450000000000003" customHeight="1" thickTop="1" thickBot="1" x14ac:dyDescent="0.3">
      <c r="A14" s="24" t="s">
        <v>41</v>
      </c>
      <c r="B14" s="25" t="s">
        <v>9</v>
      </c>
      <c r="C14" s="13" t="s">
        <v>42</v>
      </c>
      <c r="D14" s="13" t="s">
        <v>37</v>
      </c>
      <c r="E14" s="26">
        <f>(1.05*EXP(0.155*E6))*E8*E9</f>
        <v>1.1839784417786956</v>
      </c>
      <c r="F14" s="19" t="s">
        <v>144</v>
      </c>
      <c r="G14" s="16" t="s">
        <v>43</v>
      </c>
    </row>
    <row r="15" spans="1:8" ht="16.5" thickTop="1" x14ac:dyDescent="0.25">
      <c r="B15" s="12" t="s">
        <v>44</v>
      </c>
      <c r="C15" s="13" t="s">
        <v>45</v>
      </c>
      <c r="D15" s="13" t="s">
        <v>46</v>
      </c>
      <c r="E15" s="23">
        <f>(1.674*E6+74.68)*E3*E8*E9/1000</f>
        <v>10.932710796000002</v>
      </c>
      <c r="F15" s="19" t="s">
        <v>145</v>
      </c>
      <c r="G15" s="16"/>
    </row>
    <row r="16" spans="1:8" ht="31.5" x14ac:dyDescent="0.25">
      <c r="B16" s="12" t="s">
        <v>146</v>
      </c>
      <c r="C16" s="13" t="s">
        <v>47</v>
      </c>
      <c r="D16" s="13" t="s">
        <v>48</v>
      </c>
      <c r="E16" s="14">
        <v>20</v>
      </c>
      <c r="F16" s="15" t="s">
        <v>171</v>
      </c>
      <c r="G16" s="16"/>
    </row>
    <row r="17" spans="1:14" ht="31.5" x14ac:dyDescent="0.25">
      <c r="B17" s="12" t="s">
        <v>49</v>
      </c>
      <c r="C17" s="13" t="s">
        <v>50</v>
      </c>
      <c r="D17" s="13" t="s">
        <v>48</v>
      </c>
      <c r="E17" s="14">
        <v>30</v>
      </c>
      <c r="F17" s="15" t="s">
        <v>171</v>
      </c>
      <c r="G17" s="16" t="s">
        <v>51</v>
      </c>
    </row>
    <row r="18" spans="1:14" x14ac:dyDescent="0.25">
      <c r="B18" s="12" t="s">
        <v>52</v>
      </c>
      <c r="C18" s="13" t="s">
        <v>53</v>
      </c>
      <c r="D18" s="13" t="s">
        <v>54</v>
      </c>
      <c r="E18" s="14">
        <v>0.21</v>
      </c>
      <c r="F18" s="15" t="s">
        <v>18</v>
      </c>
      <c r="G18" s="16" t="s">
        <v>51</v>
      </c>
    </row>
    <row r="19" spans="1:14" x14ac:dyDescent="0.25">
      <c r="B19" s="12" t="s">
        <v>55</v>
      </c>
      <c r="C19" s="13" t="s">
        <v>56</v>
      </c>
      <c r="D19" s="13" t="s">
        <v>57</v>
      </c>
      <c r="E19" s="14">
        <v>1</v>
      </c>
      <c r="F19" s="15" t="s">
        <v>18</v>
      </c>
      <c r="G19" s="16" t="s">
        <v>51</v>
      </c>
    </row>
    <row r="20" spans="1:14" ht="30.95" customHeight="1" x14ac:dyDescent="0.25">
      <c r="B20" s="27" t="s">
        <v>58</v>
      </c>
      <c r="C20" s="28" t="s">
        <v>59</v>
      </c>
      <c r="D20" s="28" t="s">
        <v>60</v>
      </c>
      <c r="E20" s="29">
        <v>60</v>
      </c>
      <c r="F20" s="30" t="s">
        <v>61</v>
      </c>
      <c r="G20" s="16" t="s">
        <v>51</v>
      </c>
    </row>
    <row r="21" spans="1:14" ht="32.450000000000003" customHeight="1" x14ac:dyDescent="0.25">
      <c r="B21" s="31" t="s">
        <v>62</v>
      </c>
      <c r="C21" s="13"/>
      <c r="D21" s="13" t="s">
        <v>63</v>
      </c>
      <c r="E21" s="14">
        <v>0</v>
      </c>
      <c r="F21" s="15" t="s">
        <v>64</v>
      </c>
      <c r="G21" s="16" t="s">
        <v>65</v>
      </c>
    </row>
    <row r="22" spans="1:14" ht="15.6" customHeight="1" x14ac:dyDescent="0.25">
      <c r="B22" s="32" t="s">
        <v>167</v>
      </c>
      <c r="C22" s="13"/>
      <c r="D22" s="13" t="s">
        <v>37</v>
      </c>
      <c r="E22" s="14">
        <v>7</v>
      </c>
      <c r="F22" s="33" t="s">
        <v>66</v>
      </c>
      <c r="G22" s="16"/>
    </row>
    <row r="23" spans="1:14" ht="15.6" customHeight="1" x14ac:dyDescent="0.25">
      <c r="B23" s="32" t="s">
        <v>168</v>
      </c>
      <c r="C23" s="13"/>
      <c r="D23" s="13" t="s">
        <v>67</v>
      </c>
      <c r="E23" s="14">
        <v>20</v>
      </c>
      <c r="F23" s="33" t="s">
        <v>66</v>
      </c>
      <c r="G23" s="16"/>
    </row>
    <row r="24" spans="1:14" ht="15.6" customHeight="1" x14ac:dyDescent="0.25">
      <c r="B24" s="34" t="s">
        <v>68</v>
      </c>
      <c r="C24" s="28"/>
      <c r="D24" s="28" t="s">
        <v>69</v>
      </c>
      <c r="E24" s="35">
        <v>4295229</v>
      </c>
      <c r="F24" s="36" t="s">
        <v>66</v>
      </c>
      <c r="G24" s="16" t="s">
        <v>19</v>
      </c>
      <c r="N24" s="43"/>
    </row>
    <row r="25" spans="1:14" s="43" customFormat="1" ht="15.6" customHeight="1" thickBot="1" x14ac:dyDescent="0.3">
      <c r="A25" s="37"/>
      <c r="B25" s="38" t="s">
        <v>70</v>
      </c>
      <c r="C25" s="39"/>
      <c r="D25" s="39" t="s">
        <v>71</v>
      </c>
      <c r="E25" s="40">
        <v>2800</v>
      </c>
      <c r="F25" s="41" t="s">
        <v>66</v>
      </c>
      <c r="G25" s="42" t="s">
        <v>19</v>
      </c>
      <c r="H25" s="4"/>
      <c r="N25" s="45"/>
    </row>
    <row r="26" spans="1:14" s="45" customFormat="1" ht="16.5" thickTop="1" x14ac:dyDescent="0.25">
      <c r="A26" s="44"/>
      <c r="D26" s="46"/>
      <c r="E26" s="46"/>
      <c r="F26" s="47"/>
      <c r="G26" s="48"/>
      <c r="H26" s="49"/>
      <c r="N26" s="53"/>
    </row>
    <row r="27" spans="1:14" s="53" customFormat="1" ht="18.75" x14ac:dyDescent="0.3">
      <c r="A27" s="50"/>
      <c r="B27" s="111" t="s">
        <v>72</v>
      </c>
      <c r="C27" s="112"/>
      <c r="D27" s="112"/>
      <c r="E27" s="112"/>
      <c r="F27" s="112"/>
      <c r="G27" s="51"/>
      <c r="H27" s="52"/>
      <c r="N27" s="58"/>
    </row>
    <row r="28" spans="1:14" s="58" customFormat="1" ht="19.5" thickBot="1" x14ac:dyDescent="0.35">
      <c r="A28" s="54"/>
      <c r="B28" s="55"/>
      <c r="C28" s="56"/>
      <c r="D28" s="56"/>
      <c r="E28" s="56"/>
      <c r="F28" s="56"/>
      <c r="G28" s="57"/>
      <c r="H28" s="52"/>
      <c r="N28" s="1"/>
    </row>
    <row r="29" spans="1:14" ht="16.5" thickTop="1" x14ac:dyDescent="0.25">
      <c r="A29" s="37"/>
      <c r="B29" s="59" t="s">
        <v>73</v>
      </c>
      <c r="C29" s="60"/>
      <c r="D29" s="113" t="s">
        <v>74</v>
      </c>
      <c r="E29" s="114"/>
      <c r="F29" s="115"/>
      <c r="G29" s="61" t="s">
        <v>0</v>
      </c>
      <c r="H29" s="62"/>
    </row>
    <row r="30" spans="1:14" ht="15.6" customHeight="1" x14ac:dyDescent="0.25">
      <c r="A30" s="37"/>
      <c r="B30" s="63"/>
      <c r="C30" s="64"/>
      <c r="D30" s="116" t="s">
        <v>75</v>
      </c>
      <c r="E30" s="98"/>
      <c r="F30" s="106"/>
      <c r="G30" s="65"/>
      <c r="N30" s="4"/>
    </row>
    <row r="31" spans="1:14" s="4" customFormat="1" ht="15.6" customHeight="1" x14ac:dyDescent="0.25">
      <c r="A31" s="1"/>
      <c r="B31" s="66" t="s">
        <v>76</v>
      </c>
      <c r="C31" s="67">
        <f>ROUND(584000*E4*((E8*E9)^0.6)*((E6/2)^0.02)*(E3^0.716),-3)</f>
        <v>19884000</v>
      </c>
      <c r="D31" s="97" t="s">
        <v>148</v>
      </c>
      <c r="E31" s="98"/>
      <c r="F31" s="106"/>
      <c r="G31" s="65"/>
    </row>
    <row r="32" spans="1:14" s="4" customFormat="1" ht="15.6" customHeight="1" x14ac:dyDescent="0.25">
      <c r="A32" s="1"/>
      <c r="B32" s="66" t="s">
        <v>77</v>
      </c>
      <c r="C32" s="67">
        <f>ROUND(202000*E4*((E6*E9)^0.3)*(E3^0.716),-3)</f>
        <v>5449000</v>
      </c>
      <c r="D32" s="97" t="s">
        <v>149</v>
      </c>
      <c r="E32" s="98"/>
      <c r="F32" s="106"/>
      <c r="G32" s="65"/>
    </row>
    <row r="33" spans="1:14" s="4" customFormat="1" ht="15.6" customHeight="1" x14ac:dyDescent="0.25">
      <c r="A33" s="1"/>
      <c r="B33" s="66" t="s">
        <v>147</v>
      </c>
      <c r="C33" s="67">
        <f>ROUND(106000*E4*((E6*E9)^0.45)*(E3^0.716),-3)</f>
        <v>2545000</v>
      </c>
      <c r="D33" s="87" t="s">
        <v>150</v>
      </c>
      <c r="E33" s="88"/>
      <c r="F33" s="89"/>
      <c r="G33" s="65"/>
    </row>
    <row r="34" spans="1:14" s="4" customFormat="1" ht="30.6" customHeight="1" x14ac:dyDescent="0.25">
      <c r="A34" s="1"/>
      <c r="B34" s="66" t="s">
        <v>78</v>
      </c>
      <c r="C34" s="67">
        <f>ROUND(1070000*E4*((E8*E9)^0.4)*(E3^0.716),-3)</f>
        <v>37155000</v>
      </c>
      <c r="D34" s="97" t="s">
        <v>151</v>
      </c>
      <c r="E34" s="98"/>
      <c r="F34" s="106"/>
      <c r="G34" s="101" t="s">
        <v>158</v>
      </c>
    </row>
    <row r="35" spans="1:14" s="4" customFormat="1" ht="48.6" customHeight="1" x14ac:dyDescent="0.25">
      <c r="A35" s="1"/>
      <c r="B35" s="66" t="s">
        <v>79</v>
      </c>
      <c r="C35" s="67">
        <f>IF(E21&gt;500,C34*14.7/((101.29*((((15.04-0.00649*E21*0.3048)+273.1)/288.08)^5.256))*0.145038),C34)</f>
        <v>37155000</v>
      </c>
      <c r="D35" s="97" t="s">
        <v>152</v>
      </c>
      <c r="E35" s="98"/>
      <c r="F35" s="106"/>
      <c r="G35" s="102"/>
    </row>
    <row r="36" spans="1:14" s="4" customFormat="1" x14ac:dyDescent="0.25">
      <c r="A36" s="1"/>
      <c r="B36" s="68" t="s">
        <v>80</v>
      </c>
      <c r="C36" s="69">
        <f>ROUND(C31+C32+C33+C35,-3)</f>
        <v>65033000</v>
      </c>
      <c r="D36" s="97" t="s">
        <v>81</v>
      </c>
      <c r="E36" s="98"/>
      <c r="F36" s="106"/>
      <c r="G36" s="103"/>
    </row>
    <row r="37" spans="1:14" s="4" customFormat="1" x14ac:dyDescent="0.25">
      <c r="A37" s="1"/>
      <c r="B37" s="66" t="s">
        <v>82</v>
      </c>
      <c r="C37" s="67">
        <f>C36/(1000*$E$3)</f>
        <v>471.25362318840581</v>
      </c>
      <c r="D37" s="97" t="s">
        <v>153</v>
      </c>
      <c r="E37" s="98"/>
      <c r="F37" s="106"/>
      <c r="G37" s="65"/>
    </row>
    <row r="38" spans="1:14" s="4" customFormat="1" x14ac:dyDescent="0.25">
      <c r="A38" s="1"/>
      <c r="B38" s="63"/>
      <c r="C38" s="64"/>
      <c r="D38" s="105"/>
      <c r="E38" s="98"/>
      <c r="F38" s="106"/>
      <c r="G38" s="65"/>
    </row>
    <row r="39" spans="1:14" s="4" customFormat="1" x14ac:dyDescent="0.25">
      <c r="A39" s="1"/>
      <c r="B39" s="70" t="s">
        <v>83</v>
      </c>
      <c r="C39" s="64"/>
      <c r="D39" s="105"/>
      <c r="E39" s="98"/>
      <c r="F39" s="106"/>
      <c r="G39" s="65"/>
    </row>
    <row r="40" spans="1:14" s="4" customFormat="1" x14ac:dyDescent="0.25">
      <c r="A40" s="1"/>
      <c r="B40" s="66" t="s">
        <v>84</v>
      </c>
      <c r="C40" s="67">
        <f>ROUND(0.1*C36,-3)</f>
        <v>6503000</v>
      </c>
      <c r="D40" s="97" t="s">
        <v>85</v>
      </c>
      <c r="E40" s="98"/>
      <c r="F40" s="106"/>
      <c r="G40" s="65"/>
    </row>
    <row r="41" spans="1:14" s="4" customFormat="1" x14ac:dyDescent="0.25">
      <c r="A41" s="1"/>
      <c r="B41" s="66" t="s">
        <v>86</v>
      </c>
      <c r="C41" s="67">
        <f>ROUND(0.1*C36,-3)</f>
        <v>6503000</v>
      </c>
      <c r="D41" s="97" t="s">
        <v>87</v>
      </c>
      <c r="E41" s="98"/>
      <c r="F41" s="106"/>
      <c r="G41" s="65"/>
    </row>
    <row r="42" spans="1:14" s="4" customFormat="1" x14ac:dyDescent="0.25">
      <c r="A42" s="1"/>
      <c r="B42" s="66" t="s">
        <v>88</v>
      </c>
      <c r="C42" s="67">
        <f>ROUND(0.1*C36,-3)</f>
        <v>6503000</v>
      </c>
      <c r="D42" s="97" t="s">
        <v>89</v>
      </c>
      <c r="E42" s="98"/>
      <c r="F42" s="106"/>
      <c r="G42" s="65"/>
    </row>
    <row r="43" spans="1:14" s="4" customFormat="1" x14ac:dyDescent="0.25">
      <c r="A43" s="1"/>
      <c r="B43" s="66"/>
      <c r="C43" s="64"/>
      <c r="D43" s="105"/>
      <c r="E43" s="98"/>
      <c r="F43" s="106"/>
      <c r="G43" s="65"/>
    </row>
    <row r="44" spans="1:14" s="4" customFormat="1" x14ac:dyDescent="0.25">
      <c r="A44" s="1"/>
      <c r="B44" s="68" t="s">
        <v>90</v>
      </c>
      <c r="C44" s="69">
        <f>ROUND(C36+C40+C41+C42,-3)</f>
        <v>84542000</v>
      </c>
      <c r="D44" s="97" t="s">
        <v>91</v>
      </c>
      <c r="E44" s="98"/>
      <c r="F44" s="106"/>
      <c r="G44" s="65" t="s">
        <v>92</v>
      </c>
    </row>
    <row r="45" spans="1:14" s="4" customFormat="1" x14ac:dyDescent="0.25">
      <c r="A45" s="1"/>
      <c r="B45" s="68" t="s">
        <v>93</v>
      </c>
      <c r="C45" s="69">
        <f>C44/(1000*$E$3)</f>
        <v>612.62318840579712</v>
      </c>
      <c r="D45" s="97" t="s">
        <v>94</v>
      </c>
      <c r="E45" s="98"/>
      <c r="F45" s="106"/>
      <c r="G45" s="65" t="s">
        <v>92</v>
      </c>
    </row>
    <row r="46" spans="1:14" s="4" customFormat="1" x14ac:dyDescent="0.25">
      <c r="A46" s="1"/>
      <c r="B46" s="66"/>
      <c r="C46" s="64"/>
      <c r="D46" s="105"/>
      <c r="E46" s="98"/>
      <c r="F46" s="106"/>
      <c r="G46" s="65"/>
    </row>
    <row r="47" spans="1:14" s="4" customFormat="1" ht="32.1" customHeight="1" x14ac:dyDescent="0.25">
      <c r="A47" s="1"/>
      <c r="B47" s="66" t="s">
        <v>95</v>
      </c>
      <c r="C47" s="71">
        <f>ROUND(0.05*C44,-3)</f>
        <v>4227000</v>
      </c>
      <c r="D47" s="97" t="s">
        <v>96</v>
      </c>
      <c r="E47" s="98"/>
      <c r="F47" s="106"/>
      <c r="G47" s="65"/>
      <c r="N47" s="1"/>
    </row>
    <row r="48" spans="1:14" x14ac:dyDescent="0.25">
      <c r="B48" s="66"/>
      <c r="C48" s="64"/>
      <c r="D48" s="105"/>
      <c r="E48" s="98"/>
      <c r="F48" s="106"/>
      <c r="G48" s="65"/>
    </row>
    <row r="49" spans="2:14" x14ac:dyDescent="0.25">
      <c r="B49" s="68" t="s">
        <v>97</v>
      </c>
      <c r="C49" s="69">
        <f>ROUND(C44+C47,-3)</f>
        <v>88769000</v>
      </c>
      <c r="D49" s="97" t="s">
        <v>98</v>
      </c>
      <c r="E49" s="98"/>
      <c r="F49" s="106"/>
      <c r="G49" s="65" t="s">
        <v>99</v>
      </c>
    </row>
    <row r="50" spans="2:14" x14ac:dyDescent="0.25">
      <c r="B50" s="68" t="s">
        <v>100</v>
      </c>
      <c r="C50" s="69">
        <f>C49/(1000*$E$3)</f>
        <v>643.25362318840575</v>
      </c>
      <c r="D50" s="97" t="s">
        <v>101</v>
      </c>
      <c r="E50" s="98"/>
      <c r="F50" s="106"/>
      <c r="G50" s="65" t="s">
        <v>99</v>
      </c>
    </row>
    <row r="51" spans="2:14" x14ac:dyDescent="0.25">
      <c r="B51" s="66"/>
      <c r="C51" s="64"/>
      <c r="D51" s="105"/>
      <c r="E51" s="98"/>
      <c r="F51" s="106"/>
      <c r="G51" s="65"/>
    </row>
    <row r="52" spans="2:14" x14ac:dyDescent="0.25">
      <c r="B52" s="66" t="s">
        <v>102</v>
      </c>
      <c r="C52" s="71">
        <f>ROUND(0.1*(C44+C47),-3)</f>
        <v>8877000</v>
      </c>
      <c r="D52" s="97" t="s">
        <v>103</v>
      </c>
      <c r="E52" s="98"/>
      <c r="F52" s="106"/>
      <c r="G52" s="65"/>
    </row>
    <row r="53" spans="2:14" x14ac:dyDescent="0.25">
      <c r="B53" s="66"/>
      <c r="C53" s="64"/>
      <c r="D53" s="105"/>
      <c r="E53" s="98"/>
      <c r="F53" s="106"/>
      <c r="G53" s="65"/>
    </row>
    <row r="54" spans="2:14" ht="31.5" x14ac:dyDescent="0.25">
      <c r="B54" s="68" t="s">
        <v>104</v>
      </c>
      <c r="C54" s="69">
        <f>ROUND(C44+C47+C52,-3)</f>
        <v>97646000</v>
      </c>
      <c r="D54" s="97" t="s">
        <v>105</v>
      </c>
      <c r="E54" s="98"/>
      <c r="F54" s="106"/>
      <c r="G54" s="65" t="s">
        <v>106</v>
      </c>
    </row>
    <row r="55" spans="2:14" ht="31.5" x14ac:dyDescent="0.25">
      <c r="B55" s="68" t="s">
        <v>107</v>
      </c>
      <c r="C55" s="69">
        <f>C54/(1000*$E$3)</f>
        <v>707.5797101449275</v>
      </c>
      <c r="D55" s="97" t="s">
        <v>108</v>
      </c>
      <c r="E55" s="98"/>
      <c r="F55" s="106"/>
      <c r="G55" s="65" t="s">
        <v>106</v>
      </c>
      <c r="N55" s="72"/>
    </row>
    <row r="56" spans="2:14" s="72" customFormat="1" x14ac:dyDescent="0.25">
      <c r="B56" s="63"/>
      <c r="C56" s="64"/>
      <c r="D56" s="105"/>
      <c r="E56" s="98"/>
      <c r="F56" s="106"/>
      <c r="G56" s="65"/>
      <c r="H56" s="4"/>
      <c r="N56" s="1"/>
    </row>
    <row r="57" spans="2:14" x14ac:dyDescent="0.25">
      <c r="B57" s="70" t="s">
        <v>109</v>
      </c>
      <c r="C57" s="64"/>
      <c r="D57" s="105"/>
      <c r="E57" s="98"/>
      <c r="F57" s="106"/>
      <c r="G57" s="101" t="s">
        <v>159</v>
      </c>
    </row>
    <row r="58" spans="2:14" x14ac:dyDescent="0.25">
      <c r="B58" s="63"/>
      <c r="C58" s="64"/>
      <c r="D58" s="105"/>
      <c r="E58" s="98"/>
      <c r="F58" s="106"/>
      <c r="G58" s="102"/>
    </row>
    <row r="59" spans="2:14" ht="30.95" customHeight="1" x14ac:dyDescent="0.25">
      <c r="B59" s="66" t="s">
        <v>110</v>
      </c>
      <c r="C59" s="73">
        <f>IF(E3&gt;500,16*2080*E20/(E3*1000),12*2080*E20/(E3*1000))</f>
        <v>10.852173913043478</v>
      </c>
      <c r="D59" s="97" t="s">
        <v>154</v>
      </c>
      <c r="E59" s="98"/>
      <c r="F59" s="106"/>
      <c r="G59" s="102"/>
    </row>
    <row r="60" spans="2:14" x14ac:dyDescent="0.25">
      <c r="B60" s="66" t="s">
        <v>111</v>
      </c>
      <c r="C60" s="73">
        <f>C36*0.015/(E4*E3*1000)</f>
        <v>7.0688043478260871</v>
      </c>
      <c r="D60" s="97" t="s">
        <v>155</v>
      </c>
      <c r="E60" s="98"/>
      <c r="F60" s="106"/>
      <c r="G60" s="102"/>
    </row>
    <row r="61" spans="2:14" x14ac:dyDescent="0.25">
      <c r="B61" s="66" t="s">
        <v>112</v>
      </c>
      <c r="C61" s="73">
        <f>0.03*(C59+0.4*C60)</f>
        <v>0.41039086956521736</v>
      </c>
      <c r="D61" s="97" t="s">
        <v>113</v>
      </c>
      <c r="E61" s="98"/>
      <c r="F61" s="106"/>
      <c r="G61" s="103"/>
    </row>
    <row r="62" spans="2:14" ht="15.6" customHeight="1" x14ac:dyDescent="0.25">
      <c r="B62" s="66"/>
      <c r="C62" s="73"/>
      <c r="D62" s="105"/>
      <c r="E62" s="98"/>
      <c r="F62" s="106"/>
      <c r="G62" s="65"/>
    </row>
    <row r="63" spans="2:14" x14ac:dyDescent="0.25">
      <c r="B63" s="68" t="s">
        <v>114</v>
      </c>
      <c r="C63" s="74">
        <f>SUM(C59:C61)</f>
        <v>18.33136913043478</v>
      </c>
      <c r="D63" s="97" t="s">
        <v>115</v>
      </c>
      <c r="E63" s="98"/>
      <c r="F63" s="106"/>
      <c r="G63" s="65"/>
      <c r="N63" s="72"/>
    </row>
    <row r="64" spans="2:14" s="72" customFormat="1" ht="15.6" customHeight="1" x14ac:dyDescent="0.25">
      <c r="B64" s="63"/>
      <c r="C64" s="73"/>
      <c r="D64" s="105"/>
      <c r="E64" s="98"/>
      <c r="F64" s="106"/>
      <c r="G64" s="91"/>
      <c r="H64" s="4"/>
      <c r="N64" s="1"/>
    </row>
    <row r="65" spans="1:14" x14ac:dyDescent="0.25">
      <c r="B65" s="70" t="s">
        <v>116</v>
      </c>
      <c r="C65" s="73"/>
      <c r="D65" s="105"/>
      <c r="E65" s="98"/>
      <c r="F65" s="106"/>
      <c r="G65" s="65"/>
    </row>
    <row r="66" spans="1:14" x14ac:dyDescent="0.25">
      <c r="B66" s="63"/>
      <c r="C66" s="73"/>
      <c r="D66" s="105"/>
      <c r="E66" s="98"/>
      <c r="F66" s="106"/>
      <c r="G66" s="65"/>
    </row>
    <row r="67" spans="1:14" x14ac:dyDescent="0.25">
      <c r="B67" s="66" t="s">
        <v>117</v>
      </c>
      <c r="C67" s="73">
        <f>E12*E16/E3*E11/98</f>
        <v>8.1414367346938757E-2</v>
      </c>
      <c r="D67" s="97" t="s">
        <v>156</v>
      </c>
      <c r="E67" s="98"/>
      <c r="F67" s="106"/>
      <c r="G67" s="65"/>
    </row>
    <row r="68" spans="1:14" x14ac:dyDescent="0.25">
      <c r="B68" s="66" t="s">
        <v>118</v>
      </c>
      <c r="C68" s="73">
        <f>E13*E17/E3*E11/98</f>
        <v>0.22116212889795916</v>
      </c>
      <c r="D68" s="97" t="s">
        <v>157</v>
      </c>
      <c r="E68" s="98"/>
      <c r="F68" s="106"/>
      <c r="G68" s="65"/>
    </row>
    <row r="69" spans="1:14" ht="66" customHeight="1" x14ac:dyDescent="0.25">
      <c r="B69" s="66" t="s">
        <v>119</v>
      </c>
      <c r="C69" s="73">
        <f>IF(B14="Include Aux Power in VOM",E14*E18*10,"")</f>
        <v>2.4863547277352609</v>
      </c>
      <c r="D69" s="97" t="s">
        <v>120</v>
      </c>
      <c r="E69" s="98"/>
      <c r="F69" s="106"/>
      <c r="G69" s="65" t="s">
        <v>121</v>
      </c>
    </row>
    <row r="70" spans="1:14" x14ac:dyDescent="0.25">
      <c r="B70" s="66" t="s">
        <v>122</v>
      </c>
      <c r="C70" s="73">
        <f>E15*E19/E3</f>
        <v>7.9222542000000021E-2</v>
      </c>
      <c r="D70" s="97" t="s">
        <v>123</v>
      </c>
      <c r="E70" s="98"/>
      <c r="F70" s="106"/>
      <c r="G70" s="65"/>
    </row>
    <row r="71" spans="1:14" x14ac:dyDescent="0.25">
      <c r="B71" s="66"/>
      <c r="C71" s="73"/>
      <c r="D71" s="105"/>
      <c r="E71" s="98"/>
      <c r="F71" s="106"/>
      <c r="G71" s="65"/>
    </row>
    <row r="72" spans="1:14" x14ac:dyDescent="0.25">
      <c r="B72" s="68" t="s">
        <v>124</v>
      </c>
      <c r="C72" s="74">
        <f>SUM(C67:C70)</f>
        <v>2.8681537659801588</v>
      </c>
      <c r="D72" s="97" t="s">
        <v>125</v>
      </c>
      <c r="E72" s="98"/>
      <c r="F72" s="98"/>
      <c r="G72" s="65"/>
      <c r="N72" s="72"/>
    </row>
    <row r="73" spans="1:14" s="72" customFormat="1" x14ac:dyDescent="0.25">
      <c r="B73" s="68"/>
      <c r="C73" s="74"/>
      <c r="D73" s="105"/>
      <c r="E73" s="98"/>
      <c r="F73" s="98"/>
      <c r="G73" s="65"/>
      <c r="H73" s="4"/>
      <c r="N73" s="1"/>
    </row>
    <row r="74" spans="1:14" x14ac:dyDescent="0.25">
      <c r="B74" s="75" t="s">
        <v>126</v>
      </c>
      <c r="C74" s="74"/>
      <c r="D74" s="107"/>
      <c r="E74" s="98"/>
      <c r="F74" s="98"/>
      <c r="G74" s="65"/>
    </row>
    <row r="75" spans="1:14" x14ac:dyDescent="0.25">
      <c r="A75" s="72"/>
      <c r="B75" s="63"/>
      <c r="C75" s="64"/>
      <c r="D75" s="105"/>
      <c r="E75" s="98"/>
      <c r="F75" s="98"/>
      <c r="G75" s="65"/>
    </row>
    <row r="76" spans="1:14" ht="33.950000000000003" customHeight="1" x14ac:dyDescent="0.25">
      <c r="A76" s="72"/>
      <c r="B76" s="76" t="s">
        <v>127</v>
      </c>
      <c r="C76" s="77">
        <f>C44</f>
        <v>84542000</v>
      </c>
      <c r="D76" s="104" t="s">
        <v>128</v>
      </c>
      <c r="E76" s="98"/>
      <c r="F76" s="98"/>
      <c r="G76" s="65"/>
    </row>
    <row r="77" spans="1:14" x14ac:dyDescent="0.25">
      <c r="A77" s="72"/>
      <c r="B77" s="76" t="s">
        <v>129</v>
      </c>
      <c r="C77" s="78">
        <f>(E22/100*((1+E22/100)^30))/((1+E22/100)^E23-1)</f>
        <v>0.18568517199437859</v>
      </c>
      <c r="D77" s="105"/>
      <c r="E77" s="98"/>
      <c r="F77" s="98"/>
      <c r="G77" s="65"/>
    </row>
    <row r="78" spans="1:14" x14ac:dyDescent="0.25">
      <c r="A78" s="72"/>
      <c r="B78" s="76" t="s">
        <v>130</v>
      </c>
      <c r="C78" s="77">
        <f>C77*C76</f>
        <v>15698195.810748754</v>
      </c>
      <c r="D78" s="105"/>
      <c r="E78" s="98"/>
      <c r="F78" s="98"/>
      <c r="G78" s="65"/>
    </row>
    <row r="79" spans="1:14" x14ac:dyDescent="0.25">
      <c r="A79" s="72"/>
      <c r="B79" s="76" t="s">
        <v>131</v>
      </c>
      <c r="C79" s="77">
        <f>C72*E24</f>
        <v>12319377.232097192</v>
      </c>
      <c r="D79" s="97" t="s">
        <v>132</v>
      </c>
      <c r="E79" s="98"/>
      <c r="F79" s="98"/>
      <c r="G79" s="65"/>
      <c r="N79" s="4"/>
    </row>
    <row r="80" spans="1:14" s="4" customFormat="1" x14ac:dyDescent="0.25">
      <c r="A80" s="72"/>
      <c r="B80" s="76" t="s">
        <v>133</v>
      </c>
      <c r="C80" s="77">
        <f>C63*E24*1000/8760</f>
        <v>8988290.9016835913</v>
      </c>
      <c r="D80" s="97" t="s">
        <v>134</v>
      </c>
      <c r="E80" s="98"/>
      <c r="F80" s="98"/>
      <c r="G80" s="65"/>
    </row>
    <row r="81" spans="1:14" s="4" customFormat="1" x14ac:dyDescent="0.25">
      <c r="A81" s="72"/>
      <c r="B81" s="79" t="s">
        <v>135</v>
      </c>
      <c r="C81" s="80">
        <f>SUM(C78:C80)</f>
        <v>37005863.944529533</v>
      </c>
      <c r="D81" s="97"/>
      <c r="E81" s="98"/>
      <c r="F81" s="98"/>
      <c r="G81" s="65"/>
    </row>
    <row r="82" spans="1:14" s="4" customFormat="1" ht="15.95" customHeight="1" x14ac:dyDescent="0.25">
      <c r="A82" s="72"/>
      <c r="B82" s="76" t="s">
        <v>136</v>
      </c>
      <c r="C82" s="71">
        <f>E11/100*E25</f>
        <v>2772</v>
      </c>
      <c r="D82" s="97" t="s">
        <v>137</v>
      </c>
      <c r="E82" s="98"/>
      <c r="F82" s="98"/>
      <c r="G82" s="65"/>
    </row>
    <row r="83" spans="1:14" s="4" customFormat="1" ht="16.5" thickBot="1" x14ac:dyDescent="0.3">
      <c r="A83" s="72"/>
      <c r="B83" s="81" t="s">
        <v>138</v>
      </c>
      <c r="C83" s="82">
        <f>C81/C82</f>
        <v>13349.878767867796</v>
      </c>
      <c r="D83" s="99"/>
      <c r="E83" s="100"/>
      <c r="F83" s="100"/>
      <c r="G83" s="83"/>
    </row>
    <row r="84" spans="1:14" s="4" customFormat="1" ht="16.5" thickTop="1" x14ac:dyDescent="0.25">
      <c r="A84" s="72"/>
      <c r="B84" s="72"/>
      <c r="C84" s="72"/>
      <c r="D84" s="84"/>
      <c r="E84" s="72"/>
      <c r="F84" s="85"/>
      <c r="G84" s="3"/>
      <c r="N84" s="1"/>
    </row>
  </sheetData>
  <mergeCells count="58">
    <mergeCell ref="D32:F32"/>
    <mergeCell ref="G2:G4"/>
    <mergeCell ref="B27:F27"/>
    <mergeCell ref="D29:F29"/>
    <mergeCell ref="D30:F30"/>
    <mergeCell ref="D31:F31"/>
    <mergeCell ref="D45:F45"/>
    <mergeCell ref="D34:F34"/>
    <mergeCell ref="D35:F35"/>
    <mergeCell ref="D36:F36"/>
    <mergeCell ref="D37:F37"/>
    <mergeCell ref="D38:F38"/>
    <mergeCell ref="D39:F39"/>
    <mergeCell ref="D40:F40"/>
    <mergeCell ref="D41:F41"/>
    <mergeCell ref="D42:F42"/>
    <mergeCell ref="D43:F43"/>
    <mergeCell ref="D44:F44"/>
    <mergeCell ref="D57:F57"/>
    <mergeCell ref="D46:F46"/>
    <mergeCell ref="D47:F47"/>
    <mergeCell ref="D48:F48"/>
    <mergeCell ref="D49:F49"/>
    <mergeCell ref="D50:F50"/>
    <mergeCell ref="D51:F51"/>
    <mergeCell ref="D52:F52"/>
    <mergeCell ref="D53:F53"/>
    <mergeCell ref="D54:F54"/>
    <mergeCell ref="D55:F55"/>
    <mergeCell ref="D56:F56"/>
    <mergeCell ref="D69:F69"/>
    <mergeCell ref="D58:F58"/>
    <mergeCell ref="D59:F59"/>
    <mergeCell ref="D60:F60"/>
    <mergeCell ref="D61:F61"/>
    <mergeCell ref="D62:F62"/>
    <mergeCell ref="D63:F63"/>
    <mergeCell ref="D64:F64"/>
    <mergeCell ref="D65:F65"/>
    <mergeCell ref="D66:F66"/>
    <mergeCell ref="D67:F67"/>
    <mergeCell ref="D68:F68"/>
    <mergeCell ref="D82:F82"/>
    <mergeCell ref="D83:F83"/>
    <mergeCell ref="G34:G36"/>
    <mergeCell ref="G57:G61"/>
    <mergeCell ref="D76:F76"/>
    <mergeCell ref="D77:F77"/>
    <mergeCell ref="D78:F78"/>
    <mergeCell ref="D79:F79"/>
    <mergeCell ref="D80:F80"/>
    <mergeCell ref="D81:F81"/>
    <mergeCell ref="D70:F70"/>
    <mergeCell ref="D71:F71"/>
    <mergeCell ref="D72:F72"/>
    <mergeCell ref="D73:F73"/>
    <mergeCell ref="D74:F74"/>
    <mergeCell ref="D75:F75"/>
  </mergeCells>
  <dataValidations count="4">
    <dataValidation type="list" allowBlank="1" showInputMessage="1" showErrorMessage="1" error="Click Cancel and use one of the values in the drop down list " sqref="B14">
      <formula1>#REF!</formula1>
    </dataValidation>
    <dataValidation type="decimal" operator="lessThanOrEqual" allowBlank="1" showInputMessage="1" showErrorMessage="1" error="Must be less than 3.0 Lbs/MMBtu.  Click Cancel and try again" sqref="E6">
      <formula1>3</formula1>
    </dataValidation>
    <dataValidation type="decimal" operator="greaterThan" allowBlank="1" showInputMessage="1" showErrorMessage="1" error="Must be greater than 50 MW.  Click Cancel and try again" sqref="E3">
      <formula1>50</formula1>
    </dataValidation>
    <dataValidation type="list" operator="lessThanOrEqual" allowBlank="1" showInputMessage="1" showErrorMessage="1" error="Must be BIT, PRB, or LIG.  Click Cancel and try again" sqref="E7">
      <formula1>#REF!</formula1>
    </dataValidation>
  </dataValidations>
  <pageMargins left="0.75" right="0.75" top="1" bottom="1" header="0.5" footer="0.5"/>
  <pageSetup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Source</vt:lpstr>
      <vt:lpstr>Sample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jkordzi</dc:creator>
  <cp:lastModifiedBy>Simpson, Aaron</cp:lastModifiedBy>
  <dcterms:created xsi:type="dcterms:W3CDTF">2014-05-29T13:09:13Z</dcterms:created>
  <dcterms:modified xsi:type="dcterms:W3CDTF">2018-02-09T18:55:55Z</dcterms:modified>
</cp:coreProperties>
</file>