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n-svrfile\groups\AQ\General\SIP_BACT_2017\BACT Determinations\Final\Fort Wainwright\BACT Economic Analyses\"/>
    </mc:Choice>
  </mc:AlternateContent>
  <bookViews>
    <workbookView xWindow="0" yWindow="1350" windowWidth="15360" windowHeight="8295" activeTab="1"/>
  </bookViews>
  <sheets>
    <sheet name="Dry Sorbent Injection" sheetId="1" r:id="rId1"/>
    <sheet name="Spray Dry Absorber" sheetId="8" r:id="rId2"/>
    <sheet name="Wet Scrubber" sheetId="9" r:id="rId3"/>
    <sheet name="ESRI_MAPINFO_SHEET" sheetId="5" state="veryHidden" r:id="rId4"/>
  </sheets>
  <calcPr calcId="152511"/>
</workbook>
</file>

<file path=xl/calcChain.xml><?xml version="1.0" encoding="utf-8"?>
<calcChain xmlns="http://schemas.openxmlformats.org/spreadsheetml/2006/main">
  <c r="D41" i="1" l="1"/>
  <c r="D105" i="1" l="1"/>
  <c r="D106" i="1" s="1"/>
  <c r="D104" i="1"/>
  <c r="D42" i="1"/>
  <c r="D15" i="1" l="1"/>
  <c r="D19" i="1"/>
  <c r="D16" i="1"/>
  <c r="D7" i="1" l="1"/>
  <c r="B91" i="1" l="1"/>
  <c r="D121" i="9" l="1"/>
  <c r="D111" i="8"/>
  <c r="D17" i="1"/>
  <c r="D30" i="1" s="1"/>
  <c r="D123" i="9" l="1"/>
  <c r="B108" i="9"/>
  <c r="D82" i="9"/>
  <c r="D36" i="9"/>
  <c r="D32" i="9"/>
  <c r="D30" i="9"/>
  <c r="D19" i="9"/>
  <c r="D94" i="9" s="1"/>
  <c r="D16" i="9"/>
  <c r="D91" i="9" s="1"/>
  <c r="D15" i="9"/>
  <c r="D14" i="9"/>
  <c r="D34" i="9" s="1"/>
  <c r="D40" i="9" l="1"/>
  <c r="D17" i="9"/>
  <c r="D92" i="9" s="1"/>
  <c r="D18" i="9"/>
  <c r="D93" i="9" s="1"/>
  <c r="D97" i="9" l="1"/>
  <c r="D83" i="9"/>
  <c r="D45" i="9"/>
  <c r="D41" i="9"/>
  <c r="D47" i="9"/>
  <c r="D46" i="9"/>
  <c r="D49" i="9" l="1"/>
  <c r="D50" i="9" s="1"/>
  <c r="D84" i="9"/>
  <c r="D87" i="9" s="1"/>
  <c r="D52" i="9" l="1"/>
  <c r="D101" i="9"/>
  <c r="D54" i="9" l="1"/>
  <c r="D57" i="9"/>
  <c r="D55" i="9" l="1"/>
  <c r="D59" i="9"/>
  <c r="D113" i="8"/>
  <c r="B98" i="8"/>
  <c r="D74" i="8"/>
  <c r="D32" i="8"/>
  <c r="D30" i="8"/>
  <c r="D17" i="8"/>
  <c r="D83" i="8" s="1"/>
  <c r="D16" i="8"/>
  <c r="D82" i="8" s="1"/>
  <c r="D15" i="8"/>
  <c r="D14" i="8"/>
  <c r="D19" i="8" s="1"/>
  <c r="D85" i="8" s="1"/>
  <c r="D104" i="9" l="1"/>
  <c r="D103" i="9"/>
  <c r="D60" i="9"/>
  <c r="D108" i="9"/>
  <c r="D102" i="9"/>
  <c r="D18" i="8"/>
  <c r="D84" i="8" s="1"/>
  <c r="D87" i="8" s="1"/>
  <c r="D34" i="8"/>
  <c r="D36" i="8" s="1"/>
  <c r="D110" i="9" l="1"/>
  <c r="D112" i="9" s="1"/>
  <c r="D118" i="9" s="1"/>
  <c r="D125" i="9" s="1"/>
  <c r="D43" i="8"/>
  <c r="D42" i="8"/>
  <c r="D75" i="8"/>
  <c r="D41" i="8"/>
  <c r="D37" i="8"/>
  <c r="D68" i="1"/>
  <c r="D45" i="8" l="1"/>
  <c r="D48" i="8"/>
  <c r="D53" i="8" s="1"/>
  <c r="D46" i="8"/>
  <c r="D76" i="8"/>
  <c r="D78" i="8"/>
  <c r="D91" i="8" l="1"/>
  <c r="D50" i="8"/>
  <c r="D20" i="1"/>
  <c r="D76" i="1"/>
  <c r="D55" i="8" l="1"/>
  <c r="D51" i="8"/>
  <c r="D39" i="1"/>
  <c r="D38" i="1"/>
  <c r="D37" i="1"/>
  <c r="D18" i="1"/>
  <c r="D93" i="8" l="1"/>
  <c r="D56" i="8"/>
  <c r="D92" i="8"/>
  <c r="D94" i="8"/>
  <c r="D98" i="8"/>
  <c r="D69" i="1"/>
  <c r="D70" i="1" s="1"/>
  <c r="D100" i="8" l="1"/>
  <c r="D102" i="8" s="1"/>
  <c r="D108" i="8" s="1"/>
  <c r="D115" i="8" s="1"/>
  <c r="D78" i="1" l="1"/>
  <c r="D77" i="1"/>
  <c r="D33" i="1"/>
  <c r="D80" i="1" l="1"/>
  <c r="D44" i="1"/>
  <c r="D46" i="1" s="1"/>
  <c r="D51" i="1" s="1"/>
  <c r="D72" i="1"/>
  <c r="D84" i="1" s="1"/>
  <c r="D47" i="1" l="1"/>
  <c r="D91" i="1"/>
  <c r="D52" i="1" l="1"/>
  <c r="D86" i="1"/>
  <c r="D87" i="1"/>
  <c r="D85" i="1"/>
  <c r="D93" i="1" l="1"/>
  <c r="D95" i="1" s="1"/>
  <c r="D101" i="1" s="1"/>
  <c r="D108" i="1" l="1"/>
</calcChain>
</file>

<file path=xl/comments1.xml><?xml version="1.0" encoding="utf-8"?>
<comments xmlns="http://schemas.openxmlformats.org/spreadsheetml/2006/main">
  <authors>
    <author>Jones, David</author>
  </authors>
  <commentList>
    <comment ref="D41" authorId="0" shapeId="0">
      <text>
        <r>
          <rPr>
            <b/>
            <sz val="9"/>
            <color indexed="81"/>
            <rFont val="Tahoma"/>
            <family val="2"/>
          </rPr>
          <t>Jones, David:</t>
        </r>
        <r>
          <rPr>
            <sz val="9"/>
            <color indexed="81"/>
            <rFont val="Tahoma"/>
            <family val="2"/>
          </rPr>
          <t xml:space="preserve">
DU's B&amp;V quote for the 6 boilers divided by 6.</t>
        </r>
      </text>
    </comment>
  </commentList>
</comments>
</file>

<file path=xl/sharedStrings.xml><?xml version="1.0" encoding="utf-8"?>
<sst xmlns="http://schemas.openxmlformats.org/spreadsheetml/2006/main" count="587" uniqueCount="228">
  <si>
    <t>Variable</t>
  </si>
  <si>
    <t>Designation</t>
  </si>
  <si>
    <t>Units</t>
  </si>
  <si>
    <t>Value</t>
  </si>
  <si>
    <t>Calculation</t>
  </si>
  <si>
    <t>A</t>
  </si>
  <si>
    <t>B</t>
  </si>
  <si>
    <t>C</t>
  </si>
  <si>
    <t>E</t>
  </si>
  <si>
    <t>F</t>
  </si>
  <si>
    <t>G</t>
  </si>
  <si>
    <t>H</t>
  </si>
  <si>
    <t>J</t>
  </si>
  <si>
    <t>K</t>
  </si>
  <si>
    <t>M</t>
  </si>
  <si>
    <t>N</t>
  </si>
  <si>
    <t>P</t>
  </si>
  <si>
    <t>Q</t>
  </si>
  <si>
    <t>R</t>
  </si>
  <si>
    <t>S</t>
  </si>
  <si>
    <t>T</t>
  </si>
  <si>
    <t>U</t>
  </si>
  <si>
    <t>D</t>
  </si>
  <si>
    <t>(MW)</t>
  </si>
  <si>
    <t>(Btu/kWh)</t>
  </si>
  <si>
    <t>(lb/MMBtu)</t>
  </si>
  <si>
    <t>(%)</t>
  </si>
  <si>
    <t>(Btu/hr)</t>
  </si>
  <si>
    <t>(ton/hr)</t>
  </si>
  <si>
    <t>($/ton)</t>
  </si>
  <si>
    <t>($/kWh)</t>
  </si>
  <si>
    <t>($/hr)</t>
  </si>
  <si>
    <t>Unit Size (Gross)</t>
  </si>
  <si>
    <t>&lt;-- User Input</t>
  </si>
  <si>
    <t>Based on in-line milling equipment</t>
  </si>
  <si>
    <t>Maximum Removal Targets:
Unmilled Trona with an ESP = 65%
Milled Trona with an ESP = 80%
Unmilled Trona with a Baghouse = 80%
Milled Trona with Baghouse = 90%</t>
  </si>
  <si>
    <t>=if Milled Trona M*20/A else M*18/A</t>
  </si>
  <si>
    <t>&lt;-- User Input (Labor cost including all benefits)</t>
  </si>
  <si>
    <t>Retrofit Factor</t>
  </si>
  <si>
    <t>Gross Heat Rate</t>
  </si>
  <si>
    <t>SO2 Rate</t>
  </si>
  <si>
    <t>Type of Coal</t>
  </si>
  <si>
    <t>Particulate Capture</t>
  </si>
  <si>
    <t>Baghouse</t>
  </si>
  <si>
    <t>Milled Trona</t>
  </si>
  <si>
    <t>Removal Target</t>
  </si>
  <si>
    <t>sub-bituminous</t>
  </si>
  <si>
    <t>Heat Input</t>
  </si>
  <si>
    <t>NSR</t>
  </si>
  <si>
    <t>Trona Feed Rate</t>
  </si>
  <si>
    <t>Sorbent Waste Rate</t>
  </si>
  <si>
    <t>Trona Cost</t>
  </si>
  <si>
    <t>Waste Disposal Cost</t>
  </si>
  <si>
    <t>Aux Power Cost</t>
  </si>
  <si>
    <t>Operating Labor Rate</t>
  </si>
  <si>
    <t>Base Module (BM) ($)</t>
  </si>
  <si>
    <t>=</t>
  </si>
  <si>
    <t>Comments</t>
  </si>
  <si>
    <t>Base DSI module includes all equipment from unloading to injection</t>
  </si>
  <si>
    <t>BM ($/kW)</t>
  </si>
  <si>
    <t>Base module cost per kW</t>
  </si>
  <si>
    <t>Total Project Cost</t>
  </si>
  <si>
    <t>CECC ($) - Excludes Owner's Costs = BM + A1 + A2 + A3</t>
  </si>
  <si>
    <t>CECC ($/kW) - Excludes Owner's Costs</t>
  </si>
  <si>
    <t>Capital, engineering, and construction costst subtotal per kW</t>
  </si>
  <si>
    <t>B1 = 5% of CECC</t>
  </si>
  <si>
    <t>Owner's costs including all "home office" costs (owner's engineering, management, and procurement activities)</t>
  </si>
  <si>
    <t>TPC ($) - Includes Owners Costs = CECC + B1</t>
  </si>
  <si>
    <t>Total project cost</t>
  </si>
  <si>
    <t>Total project cost per kW without AFUDC</t>
  </si>
  <si>
    <t>TPC ($/kW) - Include Owner's Costs</t>
  </si>
  <si>
    <t>B2 = 0% of (CECC + B1)</t>
  </si>
  <si>
    <t>TPC ($/kW)</t>
  </si>
  <si>
    <t>TPC ($) = CECC + B1 + B2</t>
  </si>
  <si>
    <t>Total project cost per kW</t>
  </si>
  <si>
    <t>Fixed O&amp;M Cost</t>
  </si>
  <si>
    <t>Variable O&amp;M Cost</t>
  </si>
  <si>
    <t>Fixed O&amp;M additional operating labor costs</t>
  </si>
  <si>
    <t>Fixed O&amp;M additional maintenance material and labor costs</t>
  </si>
  <si>
    <t>Fixed O&amp;M additional administrative labor costs</t>
  </si>
  <si>
    <t>Variable O&amp;M costs for Trona reagent</t>
  </si>
  <si>
    <t>Variable O&amp;M costs for waste disposal that includes both the sorbent and the fly ash waste not removed prior to the sorbent injection</t>
  </si>
  <si>
    <t>Variable O&amp;M costs for additional auxiliary power required (Refer to Aux Power % above)</t>
  </si>
  <si>
    <t>Capital Cost Calculation (2012 dollars)</t>
  </si>
  <si>
    <t>Direct Annual Costs</t>
  </si>
  <si>
    <t>Administrative charges (2% of total capital investment)</t>
  </si>
  <si>
    <t>Insurance (1% of total capital investment)</t>
  </si>
  <si>
    <t>Property tax (1% of total capital investment)</t>
  </si>
  <si>
    <t>TOTAL INDIRECT ANNUAL OPERATING COSTS</t>
  </si>
  <si>
    <t>Indirect Annual Costs</t>
  </si>
  <si>
    <t>Composite CE Index for 2012 (cost year of equation)</t>
  </si>
  <si>
    <r>
      <t>SO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REMOVAL EFFICIENCY, %</t>
    </r>
  </si>
  <si>
    <r>
      <t>TOTAL UNCONTROLLED SO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EMISSIONS, tons</t>
    </r>
  </si>
  <si>
    <r>
      <t>TOTAL SO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REMOVED, tons</t>
    </r>
  </si>
  <si>
    <r>
      <t>SO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COST-EFFECTIVENESS, $/ton removed</t>
    </r>
  </si>
  <si>
    <t>TOTAL ANNUALIZED OPERATING COSTS (2012 $)</t>
  </si>
  <si>
    <t>&lt;-- User Input (based on delivered price paid by Healy)</t>
  </si>
  <si>
    <t>AFUDC (Zero for less than 1 year engineering and construction cycle)</t>
  </si>
  <si>
    <t xml:space="preserve">Fly Ash Waste Rate </t>
  </si>
  <si>
    <t>Aux Power</t>
  </si>
  <si>
    <t>Capital, engineering, and construction costs subtotal</t>
  </si>
  <si>
    <t>TOTAL ANNUALIZED OPERATING COSTS (2016 $)</t>
  </si>
  <si>
    <t>Composite CE Index for 2016 (cost year of review)</t>
  </si>
  <si>
    <t>Total project cost without Allowance for Funds Used During Construction (AFUDC)</t>
  </si>
  <si>
    <t>Overhead (60% of total labor and material costs)</t>
  </si>
  <si>
    <t>CC Manual</t>
  </si>
  <si>
    <t>A1 = 10% of BM</t>
  </si>
  <si>
    <t>A2 = 10% of BM</t>
  </si>
  <si>
    <t>A3 = 10% of BM</t>
  </si>
  <si>
    <t>Fixed Operating and Maintenance (O&amp;M) Cost</t>
  </si>
  <si>
    <r>
      <rPr>
        <sz val="11"/>
        <color rgb="FF0070C0"/>
        <rFont val="Arial"/>
        <family val="2"/>
      </rPr>
      <t>A</t>
    </r>
    <r>
      <rPr>
        <sz val="11"/>
        <color theme="1"/>
        <rFont val="Arial"/>
        <family val="2"/>
      </rPr>
      <t>*</t>
    </r>
    <r>
      <rPr>
        <sz val="11"/>
        <color rgb="FFFF0000"/>
        <rFont val="Arial"/>
        <family val="2"/>
      </rPr>
      <t>C</t>
    </r>
    <r>
      <rPr>
        <sz val="11"/>
        <color theme="1"/>
        <rFont val="Arial"/>
        <family val="2"/>
      </rPr>
      <t>*1000</t>
    </r>
  </si>
  <si>
    <r>
      <t>(1.2011x10^-06)*</t>
    </r>
    <r>
      <rPr>
        <sz val="11"/>
        <color rgb="FF0070C0"/>
        <rFont val="Arial"/>
        <family val="2"/>
      </rPr>
      <t>K</t>
    </r>
    <r>
      <rPr>
        <sz val="11"/>
        <color theme="1"/>
        <rFont val="Arial"/>
        <family val="2"/>
      </rPr>
      <t>*</t>
    </r>
    <r>
      <rPr>
        <sz val="11"/>
        <color rgb="FFFF0000"/>
        <rFont val="Arial"/>
        <family val="2"/>
      </rPr>
      <t>A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C</t>
    </r>
    <r>
      <rPr>
        <sz val="11"/>
        <color theme="1"/>
        <rFont val="Arial"/>
        <family val="2"/>
      </rPr>
      <t>*</t>
    </r>
    <r>
      <rPr>
        <sz val="11"/>
        <color rgb="FF00B050"/>
        <rFont val="Arial"/>
        <family val="2"/>
      </rPr>
      <t>D</t>
    </r>
    <r>
      <rPr>
        <sz val="11"/>
        <color theme="1"/>
        <rFont val="Arial"/>
        <family val="2"/>
      </rPr>
      <t/>
    </r>
  </si>
  <si>
    <r>
      <t>(0.7035-0.00073696*</t>
    </r>
    <r>
      <rPr>
        <sz val="11"/>
        <color rgb="FF0070C0"/>
        <rFont val="Arial"/>
        <family val="2"/>
      </rPr>
      <t>H</t>
    </r>
    <r>
      <rPr>
        <sz val="11"/>
        <color theme="1"/>
        <rFont val="Arial"/>
        <family val="2"/>
      </rPr>
      <t>/</t>
    </r>
    <r>
      <rPr>
        <sz val="11"/>
        <color rgb="FFFF0000"/>
        <rFont val="Arial"/>
        <family val="2"/>
      </rPr>
      <t>K</t>
    </r>
    <r>
      <rPr>
        <sz val="11"/>
        <color theme="1"/>
        <rFont val="Arial"/>
        <family val="2"/>
      </rPr>
      <t>)*</t>
    </r>
    <r>
      <rPr>
        <sz val="11"/>
        <color rgb="FF7030A0"/>
        <rFont val="Arial"/>
        <family val="2"/>
      </rPr>
      <t>M</t>
    </r>
    <r>
      <rPr>
        <sz val="11"/>
        <color theme="1"/>
        <rFont val="Arial"/>
        <family val="2"/>
      </rPr>
      <t xml:space="preserve">  Based on a final reaction product of Na2SO4 and unreacted dry sorbent as Na2CO3. </t>
    </r>
  </si>
  <si>
    <r>
      <t>(</t>
    </r>
    <r>
      <rPr>
        <sz val="11"/>
        <color rgb="FF0070C0"/>
        <rFont val="Arial"/>
        <family val="2"/>
      </rPr>
      <t>A</t>
    </r>
    <r>
      <rPr>
        <sz val="11"/>
        <color theme="1"/>
        <rFont val="Arial"/>
        <family val="2"/>
      </rPr>
      <t>*</t>
    </r>
    <r>
      <rPr>
        <sz val="11"/>
        <color rgb="FFFF0000"/>
        <rFont val="Arial"/>
        <family val="2"/>
      </rPr>
      <t>C</t>
    </r>
    <r>
      <rPr>
        <sz val="11"/>
        <color theme="1"/>
        <rFont val="Arial"/>
        <family val="2"/>
      </rPr>
      <t xml:space="preserve">)*Ash incoal*(1-Boiler Ash Removal)/(2*HHV)
For Bituminous Coal: Ash in Coal = 0.12; Boiler Ash Removal = 0.2, HHV = 11,000
For PRB Coal: Ash in Coal = 0.06; Boiler Ash Removal = 0.2, HHV = 8,400
For Lignite Coal: Ash in Coal = 0.08; Boiler Ash Removal = 0.2, HHV = 7,200
&lt;-- </t>
    </r>
    <r>
      <rPr>
        <sz val="11"/>
        <rFont val="Arial"/>
        <family val="2"/>
      </rPr>
      <t>User Input (Usibelli Coal: Ash in Coal = 0.07; Boiler Ash Removal = 0.6; HHV = 7,560)</t>
    </r>
  </si>
  <si>
    <r>
      <t>Unmilled Trona = if(</t>
    </r>
    <r>
      <rPr>
        <sz val="11"/>
        <color rgb="FF0070C0"/>
        <rFont val="Arial"/>
        <family val="2"/>
      </rPr>
      <t>M</t>
    </r>
    <r>
      <rPr>
        <sz val="11"/>
        <color theme="1"/>
        <rFont val="Arial"/>
        <family val="2"/>
      </rPr>
      <t>&gt;25 then (682,000*</t>
    </r>
    <r>
      <rPr>
        <sz val="11"/>
        <color rgb="FFFF0000"/>
        <rFont val="Arial"/>
        <family val="2"/>
      </rPr>
      <t>B</t>
    </r>
    <r>
      <rPr>
        <sz val="11"/>
        <color theme="1"/>
        <rFont val="Arial"/>
        <family val="2"/>
      </rPr>
      <t>*</t>
    </r>
    <r>
      <rPr>
        <sz val="11"/>
        <color rgb="FF0070C0"/>
        <rFont val="Arial"/>
        <family val="2"/>
      </rPr>
      <t>M</t>
    </r>
    <r>
      <rPr>
        <sz val="11"/>
        <color theme="1"/>
        <rFont val="Arial"/>
        <family val="2"/>
      </rPr>
      <t>) else 6,833,000*</t>
    </r>
    <r>
      <rPr>
        <sz val="11"/>
        <color rgb="FFFF0000"/>
        <rFont val="Arial"/>
        <family val="2"/>
      </rPr>
      <t>B</t>
    </r>
    <r>
      <rPr>
        <sz val="11"/>
        <color theme="1"/>
        <rFont val="Arial"/>
        <family val="2"/>
      </rPr>
      <t>*(</t>
    </r>
    <r>
      <rPr>
        <sz val="11"/>
        <color rgb="FF0070C0"/>
        <rFont val="Arial"/>
        <family val="2"/>
      </rPr>
      <t>M</t>
    </r>
    <r>
      <rPr>
        <sz val="11"/>
        <color theme="1"/>
        <rFont val="Arial"/>
        <family val="2"/>
      </rPr>
      <t>^0.284)</t>
    </r>
  </si>
  <si>
    <r>
      <t>Milled Trona = if(</t>
    </r>
    <r>
      <rPr>
        <sz val="11"/>
        <color rgb="FF0070C0"/>
        <rFont val="Arial"/>
        <family val="2"/>
      </rPr>
      <t>M</t>
    </r>
    <r>
      <rPr>
        <sz val="11"/>
        <color theme="1"/>
        <rFont val="Arial"/>
        <family val="2"/>
      </rPr>
      <t>&gt;25 then (750,000*</t>
    </r>
    <r>
      <rPr>
        <sz val="11"/>
        <color rgb="FFFF0000"/>
        <rFont val="Arial"/>
        <family val="2"/>
      </rPr>
      <t>B</t>
    </r>
    <r>
      <rPr>
        <sz val="11"/>
        <color theme="1"/>
        <rFont val="Arial"/>
        <family val="2"/>
      </rPr>
      <t>*</t>
    </r>
    <r>
      <rPr>
        <sz val="11"/>
        <color rgb="FF0070C0"/>
        <rFont val="Arial"/>
        <family val="2"/>
      </rPr>
      <t>M</t>
    </r>
    <r>
      <rPr>
        <sz val="11"/>
        <color theme="1"/>
        <rFont val="Arial"/>
        <family val="2"/>
      </rPr>
      <t>) else 7,516,000*</t>
    </r>
    <r>
      <rPr>
        <sz val="11"/>
        <color rgb="FFFF0000"/>
        <rFont val="Arial"/>
        <family val="2"/>
      </rPr>
      <t>B</t>
    </r>
    <r>
      <rPr>
        <sz val="11"/>
        <color theme="1"/>
        <rFont val="Arial"/>
        <family val="2"/>
      </rPr>
      <t>*(</t>
    </r>
    <r>
      <rPr>
        <sz val="11"/>
        <color rgb="FF0070C0"/>
        <rFont val="Arial"/>
        <family val="2"/>
      </rPr>
      <t>M</t>
    </r>
    <r>
      <rPr>
        <sz val="11"/>
        <color theme="1"/>
        <rFont val="Arial"/>
        <family val="2"/>
      </rPr>
      <t>^0.284)</t>
    </r>
  </si>
  <si>
    <t>Engineering and construction management costs (CC Manual)</t>
  </si>
  <si>
    <t>Labor adjustment for 6 x 10 hour shift premium, per diem, etc. (CC Manual)</t>
  </si>
  <si>
    <t>Contractor profit and fees (CC Manual)</t>
  </si>
  <si>
    <r>
      <t>FOMO ($/kW yr) = (1 additional operators)*(2080)*</t>
    </r>
    <r>
      <rPr>
        <sz val="11"/>
        <color rgb="FF0070C0"/>
        <rFont val="Arial"/>
        <family val="2"/>
      </rPr>
      <t>U</t>
    </r>
    <r>
      <rPr>
        <sz val="11"/>
        <color theme="1"/>
        <rFont val="Arial"/>
        <family val="2"/>
      </rPr>
      <t>/(</t>
    </r>
    <r>
      <rPr>
        <sz val="11"/>
        <color rgb="FFFF0000"/>
        <rFont val="Arial"/>
        <family val="2"/>
      </rPr>
      <t>A</t>
    </r>
    <r>
      <rPr>
        <sz val="11"/>
        <color theme="1"/>
        <rFont val="Arial"/>
        <family val="2"/>
      </rPr>
      <t>*1000)</t>
    </r>
  </si>
  <si>
    <r>
      <t xml:space="preserve">FOMM ($/kW yr) = </t>
    </r>
    <r>
      <rPr>
        <sz val="11"/>
        <color rgb="FF0070C0"/>
        <rFont val="Arial"/>
        <family val="2"/>
      </rPr>
      <t>BM</t>
    </r>
    <r>
      <rPr>
        <sz val="11"/>
        <color theme="1"/>
        <rFont val="Arial"/>
        <family val="2"/>
      </rPr>
      <t>*0.01/(</t>
    </r>
    <r>
      <rPr>
        <sz val="11"/>
        <color rgb="FFFF0000"/>
        <rFont val="Arial"/>
        <family val="2"/>
      </rPr>
      <t>B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A</t>
    </r>
    <r>
      <rPr>
        <sz val="11"/>
        <color theme="1"/>
        <rFont val="Arial"/>
        <family val="2"/>
      </rPr>
      <t>*1000)</t>
    </r>
  </si>
  <si>
    <r>
      <t>FOMA ($/kW yr) = 0.03*(</t>
    </r>
    <r>
      <rPr>
        <sz val="11"/>
        <color rgb="FF0070C0"/>
        <rFont val="Arial"/>
        <family val="2"/>
      </rPr>
      <t>FOMO</t>
    </r>
    <r>
      <rPr>
        <sz val="11"/>
        <color theme="1"/>
        <rFont val="Arial"/>
        <family val="2"/>
      </rPr>
      <t>+0.4*</t>
    </r>
    <r>
      <rPr>
        <sz val="11"/>
        <color rgb="FFFF0000"/>
        <rFont val="Arial"/>
        <family val="2"/>
      </rPr>
      <t>FOMM</t>
    </r>
    <r>
      <rPr>
        <sz val="11"/>
        <color theme="1"/>
        <rFont val="Arial"/>
        <family val="2"/>
      </rPr>
      <t>)</t>
    </r>
  </si>
  <si>
    <r>
      <t xml:space="preserve">FOM ($/kW yr) = </t>
    </r>
    <r>
      <rPr>
        <b/>
        <sz val="11"/>
        <color rgb="FF0070C0"/>
        <rFont val="Arial"/>
        <family val="2"/>
      </rPr>
      <t>FOMO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FF0000"/>
        <rFont val="Arial"/>
        <family val="2"/>
      </rPr>
      <t>FOMM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7030A0"/>
        <rFont val="Arial"/>
        <family val="2"/>
      </rPr>
      <t>FOMA</t>
    </r>
  </si>
  <si>
    <r>
      <t xml:space="preserve">VOMR ($/MWh) = </t>
    </r>
    <r>
      <rPr>
        <sz val="11"/>
        <color rgb="FF0070C0"/>
        <rFont val="Arial"/>
        <family val="2"/>
      </rPr>
      <t>M</t>
    </r>
    <r>
      <rPr>
        <sz val="11"/>
        <color theme="1"/>
        <rFont val="Arial"/>
        <family val="2"/>
      </rPr>
      <t>*</t>
    </r>
    <r>
      <rPr>
        <sz val="11"/>
        <color rgb="FFFF0000"/>
        <rFont val="Arial"/>
        <family val="2"/>
      </rPr>
      <t>R</t>
    </r>
    <r>
      <rPr>
        <sz val="11"/>
        <color theme="1"/>
        <rFont val="Arial"/>
        <family val="2"/>
      </rPr>
      <t>/</t>
    </r>
    <r>
      <rPr>
        <sz val="11"/>
        <color rgb="FF7030A0"/>
        <rFont val="Arial"/>
        <family val="2"/>
      </rPr>
      <t>A</t>
    </r>
  </si>
  <si>
    <r>
      <t xml:space="preserve">VOMP ($/MWh) = </t>
    </r>
    <r>
      <rPr>
        <sz val="11"/>
        <color rgb="FF0070C0"/>
        <rFont val="Arial"/>
        <family val="2"/>
      </rPr>
      <t>Q</t>
    </r>
    <r>
      <rPr>
        <sz val="11"/>
        <color theme="1"/>
        <rFont val="Arial"/>
        <family val="2"/>
      </rPr>
      <t>*</t>
    </r>
    <r>
      <rPr>
        <sz val="11"/>
        <color rgb="FFFF0000"/>
        <rFont val="Arial"/>
        <family val="2"/>
      </rPr>
      <t>T</t>
    </r>
    <r>
      <rPr>
        <sz val="11"/>
        <color theme="1"/>
        <rFont val="Arial"/>
        <family val="2"/>
      </rPr>
      <t>*10</t>
    </r>
  </si>
  <si>
    <r>
      <t xml:space="preserve">VOM ($/MWh) = </t>
    </r>
    <r>
      <rPr>
        <b/>
        <sz val="11"/>
        <color rgb="FF0070C0"/>
        <rFont val="Arial"/>
        <family val="2"/>
      </rPr>
      <t>VOMR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FF0000"/>
        <rFont val="Arial"/>
        <family val="2"/>
      </rPr>
      <t>VOMW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7030A0"/>
        <rFont val="Arial"/>
        <family val="2"/>
      </rPr>
      <t>VOMP</t>
    </r>
  </si>
  <si>
    <r>
      <t>VOMW ($/MWh) = (</t>
    </r>
    <r>
      <rPr>
        <sz val="11"/>
        <color rgb="FF0070C0"/>
        <rFont val="Arial"/>
        <family val="2"/>
      </rPr>
      <t>N</t>
    </r>
    <r>
      <rPr>
        <sz val="11"/>
        <color theme="1"/>
        <rFont val="Arial"/>
        <family val="2"/>
      </rPr>
      <t>+</t>
    </r>
    <r>
      <rPr>
        <sz val="11"/>
        <color rgb="FFFF0000"/>
        <rFont val="Arial"/>
        <family val="2"/>
      </rPr>
      <t>P</t>
    </r>
    <r>
      <rPr>
        <sz val="11"/>
        <color theme="1"/>
        <rFont val="Arial"/>
        <family val="2"/>
      </rPr>
      <t>)*</t>
    </r>
    <r>
      <rPr>
        <sz val="11"/>
        <color rgb="FF7030A0"/>
        <rFont val="Arial"/>
        <family val="2"/>
      </rPr>
      <t>S</t>
    </r>
    <r>
      <rPr>
        <sz val="11"/>
        <color theme="1"/>
        <rFont val="Arial"/>
        <family val="2"/>
      </rPr>
      <t>/</t>
    </r>
    <r>
      <rPr>
        <sz val="11"/>
        <color rgb="FF00B050"/>
        <rFont val="Arial"/>
        <family val="2"/>
      </rPr>
      <t>A</t>
    </r>
  </si>
  <si>
    <t>Total Fixed O&amp;M costs ($/kW yr)</t>
  </si>
  <si>
    <t>Total Variable O&amp;M Costs ($/MW yr)</t>
  </si>
  <si>
    <r>
      <t>Capital Recovery Factor (CRF) = [ i (1+i)</t>
    </r>
    <r>
      <rPr>
        <vertAlign val="superscript"/>
        <sz val="11"/>
        <rFont val="Arial"/>
        <family val="2"/>
      </rPr>
      <t xml:space="preserve">n </t>
    </r>
    <r>
      <rPr>
        <sz val="11"/>
        <rFont val="Arial"/>
        <family val="2"/>
      </rPr>
      <t>] / [ (1+i)</t>
    </r>
    <r>
      <rPr>
        <vertAlign val="superscript"/>
        <sz val="11"/>
        <rFont val="Arial"/>
        <family val="2"/>
      </rPr>
      <t>n</t>
    </r>
    <r>
      <rPr>
        <sz val="11"/>
        <rFont val="Arial"/>
        <family val="2"/>
      </rPr>
      <t xml:space="preserve"> - 1 ]</t>
    </r>
  </si>
  <si>
    <t>CRF =</t>
  </si>
  <si>
    <t>Dry Sorbent Injection System - Fort Wainwright</t>
  </si>
  <si>
    <t>&lt;-- User Input (Conservative assumption based on a total heat input of 1380 MMBtu/hour)</t>
  </si>
  <si>
    <t>&lt;-- User Input (An "average" retrofit has a factor of 1.0)</t>
  </si>
  <si>
    <t>Includes - Equipment, installation, building, foundations, electrical, and a retrofit difficulty factor of 1.0</t>
  </si>
  <si>
    <t xml:space="preserve">i   = Interest rate (%)                               </t>
  </si>
  <si>
    <t>n  = Equipment life (years)</t>
  </si>
  <si>
    <r>
      <t xml:space="preserve">IPM Model - Updates to Cost and Performance for APC Technologies - Dry Sorbent Injection for SO2 Control Cost Development Methodology, August 2010, prepared by Sargent &amp; Lundy LLC for USEPA. </t>
    </r>
    <r>
      <rPr>
        <sz val="11"/>
        <color rgb="FF0070C0"/>
        <rFont val="Arial"/>
        <family val="2"/>
      </rPr>
      <t xml:space="preserve">https://www.epa.gov/sites/production/files/2015-07/documents/append5_4.pdf </t>
    </r>
  </si>
  <si>
    <t xml:space="preserve">TPC ($/kW) - Include Owner's Costs </t>
  </si>
  <si>
    <r>
      <t xml:space="preserve">Unmilled Trona with an ESP = if( </t>
    </r>
    <r>
      <rPr>
        <sz val="11"/>
        <color rgb="FF0070C0"/>
        <rFont val="Arial"/>
        <family val="2"/>
      </rPr>
      <t>H</t>
    </r>
    <r>
      <rPr>
        <sz val="11"/>
        <color theme="1"/>
        <rFont val="Arial"/>
        <family val="2"/>
      </rPr>
      <t>&lt;40,0.0350*</t>
    </r>
    <r>
      <rPr>
        <sz val="11"/>
        <color rgb="FF0070C0"/>
        <rFont val="Arial"/>
        <family val="2"/>
      </rPr>
      <t>H</t>
    </r>
    <r>
      <rPr>
        <sz val="11"/>
        <color theme="1"/>
        <rFont val="Arial"/>
        <family val="2"/>
      </rPr>
      <t>,0.352e^(0.0345*</t>
    </r>
    <r>
      <rPr>
        <sz val="11"/>
        <color rgb="FF0070C0"/>
        <rFont val="Arial"/>
        <family val="2"/>
      </rPr>
      <t>H</t>
    </r>
    <r>
      <rPr>
        <sz val="11"/>
        <color theme="1"/>
        <rFont val="Arial"/>
        <family val="2"/>
      </rPr>
      <t xml:space="preserve">))                                                                                                                        Milled Trona with an ESP =      if( </t>
    </r>
    <r>
      <rPr>
        <sz val="11"/>
        <color rgb="FF0070C0"/>
        <rFont val="Arial"/>
        <family val="2"/>
      </rPr>
      <t>H</t>
    </r>
    <r>
      <rPr>
        <sz val="11"/>
        <color theme="1"/>
        <rFont val="Arial"/>
        <family val="2"/>
      </rPr>
      <t>&lt;40,0.0270*</t>
    </r>
    <r>
      <rPr>
        <sz val="11"/>
        <color rgb="FF0070C0"/>
        <rFont val="Arial"/>
        <family val="2"/>
      </rPr>
      <t>H</t>
    </r>
    <r>
      <rPr>
        <sz val="11"/>
        <color theme="1"/>
        <rFont val="Arial"/>
        <family val="2"/>
      </rPr>
      <t>,0.353e^(0.0280*</t>
    </r>
    <r>
      <rPr>
        <sz val="11"/>
        <color rgb="FF0070C0"/>
        <rFont val="Arial"/>
        <family val="2"/>
      </rPr>
      <t>H</t>
    </r>
    <r>
      <rPr>
        <sz val="11"/>
        <color theme="1"/>
        <rFont val="Arial"/>
        <family val="2"/>
      </rPr>
      <t xml:space="preserve">))                                                                                                                    Unmilled Trona with an BGH = if( </t>
    </r>
    <r>
      <rPr>
        <sz val="11"/>
        <color rgb="FF0070C0"/>
        <rFont val="Arial"/>
        <family val="2"/>
      </rPr>
      <t>H</t>
    </r>
    <r>
      <rPr>
        <sz val="11"/>
        <color theme="1"/>
        <rFont val="Arial"/>
        <family val="2"/>
      </rPr>
      <t>&lt;40,0.0215*</t>
    </r>
    <r>
      <rPr>
        <sz val="11"/>
        <color rgb="FF0070C0"/>
        <rFont val="Arial"/>
        <family val="2"/>
      </rPr>
      <t>H</t>
    </r>
    <r>
      <rPr>
        <sz val="11"/>
        <color theme="1"/>
        <rFont val="Arial"/>
        <family val="2"/>
      </rPr>
      <t>,0.295e^(0.0267*</t>
    </r>
    <r>
      <rPr>
        <sz val="11"/>
        <color rgb="FF0070C0"/>
        <rFont val="Arial"/>
        <family val="2"/>
      </rPr>
      <t>H</t>
    </r>
    <r>
      <rPr>
        <sz val="11"/>
        <color theme="1"/>
        <rFont val="Arial"/>
        <family val="2"/>
      </rPr>
      <t xml:space="preserve">))                                                                                                                             </t>
    </r>
    <r>
      <rPr>
        <sz val="11"/>
        <rFont val="Arial"/>
        <family val="2"/>
      </rPr>
      <t xml:space="preserve">Milled Trona with an BGH =      if( </t>
    </r>
    <r>
      <rPr>
        <sz val="11"/>
        <color rgb="FF0070C0"/>
        <rFont val="Arial"/>
        <family val="2"/>
      </rPr>
      <t>H</t>
    </r>
    <r>
      <rPr>
        <sz val="11"/>
        <rFont val="Arial"/>
        <family val="2"/>
      </rPr>
      <t>&lt;40,0.0160*</t>
    </r>
    <r>
      <rPr>
        <sz val="11"/>
        <color rgb="FF0070C0"/>
        <rFont val="Arial"/>
        <family val="2"/>
      </rPr>
      <t>H</t>
    </r>
    <r>
      <rPr>
        <sz val="11"/>
        <rFont val="Arial"/>
        <family val="2"/>
      </rPr>
      <t>,0.208e^(0.0281*</t>
    </r>
    <r>
      <rPr>
        <sz val="11"/>
        <color rgb="FF0070C0"/>
        <rFont val="Arial"/>
        <family val="2"/>
      </rPr>
      <t>H</t>
    </r>
    <r>
      <rPr>
        <sz val="11"/>
        <rFont val="Arial"/>
        <family val="2"/>
      </rPr>
      <t>))</t>
    </r>
  </si>
  <si>
    <r>
      <t xml:space="preserve">&lt;-- User Input ( </t>
    </r>
    <r>
      <rPr>
        <sz val="11"/>
        <color rgb="FF0070C0"/>
        <rFont val="Arial"/>
        <family val="2"/>
      </rPr>
      <t xml:space="preserve">http://www.gvea.com/rates/rates </t>
    </r>
    <r>
      <rPr>
        <sz val="11"/>
        <rFont val="Arial"/>
        <family val="2"/>
      </rPr>
      <t xml:space="preserve">) </t>
    </r>
  </si>
  <si>
    <t>Spray Dry Absorber - Fort Wainwright</t>
  </si>
  <si>
    <t>&lt;-- User Input (Conservative assumption based on a total heat input of 1380 MMBtu/hr)</t>
  </si>
  <si>
    <t>&lt;-- User Input (SDA FGD Estimation only valid up to 3lb/MMBtu SO2 Rate)</t>
  </si>
  <si>
    <t>Coal Factor</t>
  </si>
  <si>
    <t>Bituminous = 1, Sub-Bituminous = 1.05, Lignite = 1.07</t>
  </si>
  <si>
    <t>Heat Rate Factor</t>
  </si>
  <si>
    <t>C/10000</t>
  </si>
  <si>
    <t>A*C*1000</t>
  </si>
  <si>
    <t>Lime Rate</t>
  </si>
  <si>
    <r>
      <t>(0.6702*(</t>
    </r>
    <r>
      <rPr>
        <sz val="11"/>
        <color rgb="FF0070C0"/>
        <rFont val="Arial"/>
        <family val="2"/>
      </rPr>
      <t>D^2</t>
    </r>
    <r>
      <rPr>
        <sz val="11"/>
        <color theme="1"/>
        <rFont val="Arial"/>
        <family val="2"/>
      </rPr>
      <t>)+13.42*</t>
    </r>
    <r>
      <rPr>
        <sz val="11"/>
        <color rgb="FF0070C0"/>
        <rFont val="Arial"/>
        <family val="2"/>
      </rPr>
      <t>D</t>
    </r>
    <r>
      <rPr>
        <sz val="11"/>
        <color theme="1"/>
        <rFont val="Arial"/>
        <family val="2"/>
      </rPr>
      <t>)*</t>
    </r>
    <r>
      <rPr>
        <sz val="11"/>
        <color rgb="FFFF0000"/>
        <rFont val="Arial"/>
        <family val="2"/>
      </rPr>
      <t>A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G</t>
    </r>
    <r>
      <rPr>
        <sz val="11"/>
        <color theme="1"/>
        <rFont val="Arial"/>
        <family val="2"/>
      </rPr>
      <t>/2000 (Based on 95% SO2 Removal)</t>
    </r>
  </si>
  <si>
    <t>Waste Rate</t>
  </si>
  <si>
    <t>L</t>
  </si>
  <si>
    <r>
      <t>(0.8016*(</t>
    </r>
    <r>
      <rPr>
        <sz val="11"/>
        <color rgb="FF0070C0"/>
        <rFont val="Arial"/>
        <family val="2"/>
      </rPr>
      <t>D^2</t>
    </r>
    <r>
      <rPr>
        <sz val="11"/>
        <color theme="1"/>
        <rFont val="Arial"/>
        <family val="2"/>
      </rPr>
      <t>)+31.1917*</t>
    </r>
    <r>
      <rPr>
        <sz val="11"/>
        <color rgb="FF0070C0"/>
        <rFont val="Arial"/>
        <family val="2"/>
      </rPr>
      <t>D</t>
    </r>
    <r>
      <rPr>
        <sz val="11"/>
        <color theme="1"/>
        <rFont val="Arial"/>
        <family val="2"/>
      </rPr>
      <t>)*</t>
    </r>
    <r>
      <rPr>
        <sz val="11"/>
        <color rgb="FFFF0000"/>
        <rFont val="Arial"/>
        <family val="2"/>
      </rPr>
      <t>A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G</t>
    </r>
    <r>
      <rPr>
        <sz val="11"/>
        <color theme="1"/>
        <rFont val="Arial"/>
        <family val="2"/>
      </rPr>
      <t xml:space="preserve">/2000 </t>
    </r>
  </si>
  <si>
    <r>
      <t>(0.000547*(</t>
    </r>
    <r>
      <rPr>
        <sz val="11"/>
        <color rgb="FF0070C0"/>
        <rFont val="Arial"/>
        <family val="2"/>
      </rPr>
      <t>D^2)</t>
    </r>
    <r>
      <rPr>
        <sz val="11"/>
        <color theme="1"/>
        <rFont val="Arial"/>
        <family val="2"/>
      </rPr>
      <t>+0.00649*</t>
    </r>
    <r>
      <rPr>
        <sz val="11"/>
        <color rgb="FF0070C0"/>
        <rFont val="Arial"/>
        <family val="2"/>
      </rPr>
      <t>D</t>
    </r>
    <r>
      <rPr>
        <sz val="11"/>
        <color theme="1"/>
        <rFont val="Arial"/>
        <family val="2"/>
      </rPr>
      <t>+1.3)*</t>
    </r>
    <r>
      <rPr>
        <sz val="11"/>
        <color rgb="FFFF0000"/>
        <rFont val="Arial"/>
        <family val="2"/>
      </rPr>
      <t>F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G</t>
    </r>
    <r>
      <rPr>
        <sz val="11"/>
        <color theme="1"/>
        <rFont val="Arial"/>
        <family val="2"/>
      </rPr>
      <t xml:space="preserve"> </t>
    </r>
  </si>
  <si>
    <t>Makeup Water Rate</t>
  </si>
  <si>
    <t>(1000 gph)</t>
  </si>
  <si>
    <r>
      <t>(0.04898*(</t>
    </r>
    <r>
      <rPr>
        <sz val="11"/>
        <color rgb="FF0070C0"/>
        <rFont val="Arial"/>
        <family val="2"/>
      </rPr>
      <t>D^2</t>
    </r>
    <r>
      <rPr>
        <sz val="11"/>
        <color theme="1"/>
        <rFont val="Arial"/>
        <family val="2"/>
      </rPr>
      <t>)+0.5925*</t>
    </r>
    <r>
      <rPr>
        <sz val="11"/>
        <color rgb="FF0070C0"/>
        <rFont val="Arial"/>
        <family val="2"/>
      </rPr>
      <t>D</t>
    </r>
    <r>
      <rPr>
        <sz val="11"/>
        <color theme="1"/>
        <rFont val="Arial"/>
        <family val="2"/>
      </rPr>
      <t>+55.11)*</t>
    </r>
    <r>
      <rPr>
        <sz val="11"/>
        <color rgb="FFFF0000"/>
        <rFont val="Arial"/>
        <family val="2"/>
      </rPr>
      <t>A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F</t>
    </r>
    <r>
      <rPr>
        <sz val="11"/>
        <color theme="1"/>
        <rFont val="Arial"/>
        <family val="2"/>
      </rPr>
      <t>*</t>
    </r>
    <r>
      <rPr>
        <sz val="11"/>
        <color rgb="FF00B050"/>
        <rFont val="Arial"/>
        <family val="2"/>
      </rPr>
      <t>G</t>
    </r>
    <r>
      <rPr>
        <sz val="11"/>
        <color theme="1"/>
        <rFont val="Arial"/>
        <family val="2"/>
      </rPr>
      <t>/1000</t>
    </r>
  </si>
  <si>
    <t>Lime Cost</t>
  </si>
  <si>
    <r>
      <t xml:space="preserve">&lt;-- User Input ( </t>
    </r>
    <r>
      <rPr>
        <sz val="11"/>
        <color rgb="FF0070C0"/>
        <rFont val="Arial"/>
        <family val="2"/>
      </rPr>
      <t xml:space="preserve">https://www3.epa.gov/ttncatc1/dir1/ffdg.pdf </t>
    </r>
    <r>
      <rPr>
        <sz val="11"/>
        <rFont val="Arial"/>
        <family val="2"/>
      </rPr>
      <t>)</t>
    </r>
  </si>
  <si>
    <t>Makeup Water Cost</t>
  </si>
  <si>
    <t>($/1000 gal)</t>
  </si>
  <si>
    <r>
      <t xml:space="preserve">&lt;-- User Input ( </t>
    </r>
    <r>
      <rPr>
        <sz val="11"/>
        <color rgb="FF0070C0"/>
        <rFont val="Arial"/>
        <family val="2"/>
      </rPr>
      <t xml:space="preserve">http://www.newsminer.com/water-rates/article_11a2ba10-c211-562e-8da9-87dd16a7b104.html </t>
    </r>
    <r>
      <rPr>
        <sz val="11"/>
        <rFont val="Arial"/>
        <family val="2"/>
      </rPr>
      <t>)</t>
    </r>
  </si>
  <si>
    <t>Labor cost including all benefits</t>
  </si>
  <si>
    <r>
      <t xml:space="preserve">IPM Model - Updates to Cost and Performance for APC Technologies - SDA FGD for SO2 Control Cost Development Methodology, March 2013, prepared by Sargent &amp; Lundy LLC for US EPA.                                  </t>
    </r>
    <r>
      <rPr>
        <sz val="11"/>
        <color rgb="FF0070C0"/>
        <rFont val="Arial"/>
        <family val="2"/>
      </rPr>
      <t>https://www.epa.gov/sites/production/files/2015-07/documents/chapter_5_appendix_5-1b_sda_fgd.pdf</t>
    </r>
    <r>
      <rPr>
        <sz val="11"/>
        <color theme="1"/>
        <rFont val="Arial"/>
        <family val="2"/>
      </rPr>
      <t xml:space="preserve">  </t>
    </r>
  </si>
  <si>
    <r>
      <t>BMR ($) = if(A&gt;600 then (</t>
    </r>
    <r>
      <rPr>
        <sz val="11"/>
        <color rgb="FF0070C0"/>
        <rFont val="Arial"/>
        <family val="2"/>
      </rPr>
      <t>A</t>
    </r>
    <r>
      <rPr>
        <sz val="11"/>
        <color theme="1"/>
        <rFont val="Arial"/>
        <family val="2"/>
      </rPr>
      <t>*92,000) else 566,000*(</t>
    </r>
    <r>
      <rPr>
        <sz val="11"/>
        <color rgb="FF0070C0"/>
        <rFont val="Arial"/>
        <family val="2"/>
      </rPr>
      <t>A</t>
    </r>
    <r>
      <rPr>
        <sz val="11"/>
        <color theme="1"/>
        <rFont val="Arial"/>
        <family val="2"/>
      </rPr>
      <t>^0.716))*</t>
    </r>
    <r>
      <rPr>
        <sz val="11"/>
        <color rgb="FFFF0000"/>
        <rFont val="Arial"/>
        <family val="2"/>
      </rPr>
      <t>B</t>
    </r>
    <r>
      <rPr>
        <sz val="11"/>
        <color theme="1"/>
        <rFont val="Arial"/>
        <family val="2"/>
      </rPr>
      <t>*(</t>
    </r>
    <r>
      <rPr>
        <sz val="11"/>
        <color rgb="FF7030A0"/>
        <rFont val="Arial"/>
        <family val="2"/>
      </rPr>
      <t>F</t>
    </r>
    <r>
      <rPr>
        <sz val="11"/>
        <color theme="1"/>
        <rFont val="Arial"/>
        <family val="2"/>
      </rPr>
      <t>*</t>
    </r>
    <r>
      <rPr>
        <sz val="11"/>
        <color rgb="FF00B050"/>
        <rFont val="Arial"/>
        <family val="2"/>
      </rPr>
      <t>G</t>
    </r>
    <r>
      <rPr>
        <sz val="11"/>
        <color theme="1"/>
        <rFont val="Arial"/>
        <family val="2"/>
      </rPr>
      <t>)^0.6*(</t>
    </r>
    <r>
      <rPr>
        <sz val="11"/>
        <color rgb="FFC00000"/>
        <rFont val="Arial"/>
        <family val="2"/>
      </rPr>
      <t>D</t>
    </r>
    <r>
      <rPr>
        <sz val="11"/>
        <color theme="1"/>
        <rFont val="Arial"/>
        <family val="2"/>
      </rPr>
      <t>/4)^0.01</t>
    </r>
  </si>
  <si>
    <t>Base module absorber island cost</t>
  </si>
  <si>
    <r>
      <t>BMF ($) = if(A&gt;600 then (</t>
    </r>
    <r>
      <rPr>
        <sz val="11"/>
        <color rgb="FF0070C0"/>
        <rFont val="Arial"/>
        <family val="2"/>
      </rPr>
      <t>A</t>
    </r>
    <r>
      <rPr>
        <sz val="11"/>
        <color theme="1"/>
        <rFont val="Arial"/>
        <family val="2"/>
      </rPr>
      <t>*48,700) else 300,000*(</t>
    </r>
    <r>
      <rPr>
        <sz val="11"/>
        <color rgb="FF0070C0"/>
        <rFont val="Arial"/>
        <family val="2"/>
      </rPr>
      <t>A</t>
    </r>
    <r>
      <rPr>
        <sz val="11"/>
        <color theme="1"/>
        <rFont val="Arial"/>
        <family val="2"/>
      </rPr>
      <t>^0.716))*</t>
    </r>
    <r>
      <rPr>
        <sz val="11"/>
        <color rgb="FFFF0000"/>
        <rFont val="Arial"/>
        <family val="2"/>
      </rPr>
      <t>B</t>
    </r>
    <r>
      <rPr>
        <sz val="11"/>
        <color theme="1"/>
        <rFont val="Arial"/>
        <family val="2"/>
      </rPr>
      <t>*(</t>
    </r>
    <r>
      <rPr>
        <sz val="11"/>
        <color rgb="FF7030A0"/>
        <rFont val="Arial"/>
        <family val="2"/>
      </rPr>
      <t>D</t>
    </r>
    <r>
      <rPr>
        <sz val="11"/>
        <color theme="1"/>
        <rFont val="Arial"/>
        <family val="2"/>
      </rPr>
      <t>*</t>
    </r>
    <r>
      <rPr>
        <sz val="11"/>
        <color rgb="FF00B050"/>
        <rFont val="Arial"/>
        <family val="2"/>
      </rPr>
      <t>G</t>
    </r>
    <r>
      <rPr>
        <sz val="11"/>
        <color theme="1"/>
        <rFont val="Arial"/>
        <family val="2"/>
      </rPr>
      <t>)^0.2</t>
    </r>
  </si>
  <si>
    <t>Base module reagent preparation and waste recycle/handling cost</t>
  </si>
  <si>
    <r>
      <t>BMB ($) = if(A&gt;600 then (</t>
    </r>
    <r>
      <rPr>
        <sz val="11"/>
        <color rgb="FF0070C0"/>
        <rFont val="Arial"/>
        <family val="2"/>
      </rPr>
      <t>A</t>
    </r>
    <r>
      <rPr>
        <sz val="11"/>
        <color theme="1"/>
        <rFont val="Arial"/>
        <family val="2"/>
      </rPr>
      <t>*129,900) else 799,000*(</t>
    </r>
    <r>
      <rPr>
        <sz val="11"/>
        <color rgb="FF0070C0"/>
        <rFont val="Arial"/>
        <family val="2"/>
      </rPr>
      <t>A</t>
    </r>
    <r>
      <rPr>
        <sz val="11"/>
        <color theme="1"/>
        <rFont val="Arial"/>
        <family val="2"/>
      </rPr>
      <t>^0.716))*</t>
    </r>
    <r>
      <rPr>
        <sz val="11"/>
        <color rgb="FFFF0000"/>
        <rFont val="Arial"/>
        <family val="2"/>
      </rPr>
      <t>B</t>
    </r>
    <r>
      <rPr>
        <sz val="11"/>
        <color theme="1"/>
        <rFont val="Arial"/>
        <family val="2"/>
      </rPr>
      <t>*(</t>
    </r>
    <r>
      <rPr>
        <sz val="11"/>
        <color rgb="FF7030A0"/>
        <rFont val="Arial"/>
        <family val="2"/>
      </rPr>
      <t>F</t>
    </r>
    <r>
      <rPr>
        <sz val="11"/>
        <color theme="1"/>
        <rFont val="Arial"/>
        <family val="2"/>
      </rPr>
      <t>*</t>
    </r>
    <r>
      <rPr>
        <sz val="11"/>
        <color rgb="FF00B050"/>
        <rFont val="Arial"/>
        <family val="2"/>
      </rPr>
      <t>G</t>
    </r>
    <r>
      <rPr>
        <sz val="11"/>
        <color theme="1"/>
        <rFont val="Arial"/>
        <family val="2"/>
      </rPr>
      <t>)^0.4</t>
    </r>
  </si>
  <si>
    <t>Base module balance of plan cost including: ID or booster fans, piping, ductwork, electrical, etc…</t>
  </si>
  <si>
    <t>B2 = 10% of (CECC + B1)</t>
  </si>
  <si>
    <r>
      <t>FOMO ($/kW yr) = (4 additional operators)*(2080)*</t>
    </r>
    <r>
      <rPr>
        <sz val="11"/>
        <color rgb="FF0070C0"/>
        <rFont val="Arial"/>
        <family val="2"/>
      </rPr>
      <t>T</t>
    </r>
    <r>
      <rPr>
        <sz val="11"/>
        <color theme="1"/>
        <rFont val="Arial"/>
        <family val="2"/>
      </rPr>
      <t>/(</t>
    </r>
    <r>
      <rPr>
        <sz val="11"/>
        <color rgb="FFFF0000"/>
        <rFont val="Arial"/>
        <family val="2"/>
      </rPr>
      <t>A</t>
    </r>
    <r>
      <rPr>
        <sz val="11"/>
        <color theme="1"/>
        <rFont val="Arial"/>
        <family val="2"/>
      </rPr>
      <t>*1000)</t>
    </r>
  </si>
  <si>
    <r>
      <t xml:space="preserve">FOMM ($/kW yr) = </t>
    </r>
    <r>
      <rPr>
        <sz val="11"/>
        <color rgb="FF0070C0"/>
        <rFont val="Arial"/>
        <family val="2"/>
      </rPr>
      <t>BM</t>
    </r>
    <r>
      <rPr>
        <sz val="11"/>
        <color theme="1"/>
        <rFont val="Arial"/>
        <family val="2"/>
      </rPr>
      <t>*0.015/(</t>
    </r>
    <r>
      <rPr>
        <sz val="11"/>
        <color rgb="FFFF0000"/>
        <rFont val="Arial"/>
        <family val="2"/>
      </rPr>
      <t>B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A</t>
    </r>
    <r>
      <rPr>
        <sz val="11"/>
        <color theme="1"/>
        <rFont val="Arial"/>
        <family val="2"/>
      </rPr>
      <t>*1000)</t>
    </r>
  </si>
  <si>
    <r>
      <t xml:space="preserve">VOMR ($/MWh) = </t>
    </r>
    <r>
      <rPr>
        <sz val="11"/>
        <color rgb="FF0070C0"/>
        <rFont val="Arial"/>
        <family val="2"/>
      </rPr>
      <t>K</t>
    </r>
    <r>
      <rPr>
        <sz val="11"/>
        <color theme="1"/>
        <rFont val="Arial"/>
        <family val="2"/>
      </rPr>
      <t>*</t>
    </r>
    <r>
      <rPr>
        <sz val="11"/>
        <color rgb="FFFF0000"/>
        <rFont val="Arial"/>
        <family val="2"/>
      </rPr>
      <t>P</t>
    </r>
    <r>
      <rPr>
        <sz val="11"/>
        <color theme="1"/>
        <rFont val="Arial"/>
        <family val="2"/>
      </rPr>
      <t>/</t>
    </r>
    <r>
      <rPr>
        <sz val="11"/>
        <color rgb="FF7030A0"/>
        <rFont val="Arial"/>
        <family val="2"/>
      </rPr>
      <t>A</t>
    </r>
  </si>
  <si>
    <t>Variable O&amp;M costs for lime reagent</t>
  </si>
  <si>
    <r>
      <t xml:space="preserve">VOMW ($/MWh) = </t>
    </r>
    <r>
      <rPr>
        <sz val="11"/>
        <color rgb="FF0070C0"/>
        <rFont val="Arial"/>
        <family val="2"/>
      </rPr>
      <t>L</t>
    </r>
    <r>
      <rPr>
        <sz val="11"/>
        <color theme="1"/>
        <rFont val="Arial"/>
        <family val="2"/>
      </rPr>
      <t>*</t>
    </r>
    <r>
      <rPr>
        <sz val="11"/>
        <color rgb="FFFF0000"/>
        <rFont val="Arial"/>
        <family val="2"/>
      </rPr>
      <t>Q</t>
    </r>
    <r>
      <rPr>
        <sz val="11"/>
        <color theme="1"/>
        <rFont val="Arial"/>
        <family val="2"/>
      </rPr>
      <t>/</t>
    </r>
    <r>
      <rPr>
        <sz val="11"/>
        <color rgb="FF7030A0"/>
        <rFont val="Arial"/>
        <family val="2"/>
      </rPr>
      <t>A</t>
    </r>
  </si>
  <si>
    <t xml:space="preserve">Variable O&amp;M costs for waste disposal </t>
  </si>
  <si>
    <r>
      <t xml:space="preserve">VOMP ($/MWh) = </t>
    </r>
    <r>
      <rPr>
        <sz val="11"/>
        <color rgb="FF0070C0"/>
        <rFont val="Arial"/>
        <family val="2"/>
      </rPr>
      <t>M</t>
    </r>
    <r>
      <rPr>
        <sz val="11"/>
        <color theme="1"/>
        <rFont val="Arial"/>
        <family val="2"/>
      </rPr>
      <t>*</t>
    </r>
    <r>
      <rPr>
        <sz val="11"/>
        <color rgb="FFFF0000"/>
        <rFont val="Arial"/>
        <family val="2"/>
      </rPr>
      <t>R</t>
    </r>
    <r>
      <rPr>
        <sz val="11"/>
        <color theme="1"/>
        <rFont val="Arial"/>
        <family val="2"/>
      </rPr>
      <t>*10</t>
    </r>
  </si>
  <si>
    <r>
      <t xml:space="preserve">VOMM ($/MWh) = </t>
    </r>
    <r>
      <rPr>
        <sz val="11"/>
        <color rgb="FF0070C0"/>
        <rFont val="Arial"/>
        <family val="2"/>
      </rPr>
      <t>N</t>
    </r>
    <r>
      <rPr>
        <sz val="11"/>
        <color theme="1"/>
        <rFont val="Arial"/>
        <family val="2"/>
      </rPr>
      <t>*</t>
    </r>
    <r>
      <rPr>
        <sz val="11"/>
        <color rgb="FFFF0000"/>
        <rFont val="Arial"/>
        <family val="2"/>
      </rPr>
      <t>S</t>
    </r>
    <r>
      <rPr>
        <sz val="11"/>
        <color theme="1"/>
        <rFont val="Arial"/>
        <family val="2"/>
      </rPr>
      <t>/</t>
    </r>
    <r>
      <rPr>
        <sz val="11"/>
        <color rgb="FF7030A0"/>
        <rFont val="Arial"/>
        <family val="2"/>
      </rPr>
      <t>A</t>
    </r>
  </si>
  <si>
    <t>Variable O&amp;M costs for makeup water</t>
  </si>
  <si>
    <r>
      <t xml:space="preserve">VOM ($/MWh) = </t>
    </r>
    <r>
      <rPr>
        <b/>
        <sz val="11"/>
        <color rgb="FF0070C0"/>
        <rFont val="Arial"/>
        <family val="2"/>
      </rPr>
      <t>VOMR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FF0000"/>
        <rFont val="Arial"/>
        <family val="2"/>
      </rPr>
      <t>VOMW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7030A0"/>
        <rFont val="Arial"/>
        <family val="2"/>
      </rPr>
      <t>VOMP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00B050"/>
        <rFont val="Arial"/>
        <family val="2"/>
      </rPr>
      <t>VOMM</t>
    </r>
  </si>
  <si>
    <t xml:space="preserve">i  = Interest rate (%)                               </t>
  </si>
  <si>
    <t>n = Equipment life (years)</t>
  </si>
  <si>
    <t>Wet Scrubber - Fort Wainwright</t>
  </si>
  <si>
    <t>&lt;-- User Input (An "average" retrofit has a factor of 1.0) Sargent and Lundy has a drop down menu for selection of an additional waste water treatment plant facility, but no capital or operational cost are implemented so it is not reproduced here.</t>
  </si>
  <si>
    <r>
      <rPr>
        <sz val="11"/>
        <color rgb="FF0070C0"/>
        <rFont val="Arial"/>
        <family val="2"/>
      </rPr>
      <t>C</t>
    </r>
    <r>
      <rPr>
        <sz val="11"/>
        <color theme="1"/>
        <rFont val="Arial"/>
        <family val="2"/>
      </rPr>
      <t>/10000</t>
    </r>
  </si>
  <si>
    <t>Limestone Rate</t>
  </si>
  <si>
    <r>
      <t>17.52*</t>
    </r>
    <r>
      <rPr>
        <sz val="11"/>
        <color rgb="FF0070C0"/>
        <rFont val="Arial"/>
        <family val="2"/>
      </rPr>
      <t>A</t>
    </r>
    <r>
      <rPr>
        <sz val="11"/>
        <color theme="1"/>
        <rFont val="Arial"/>
        <family val="2"/>
      </rPr>
      <t>*</t>
    </r>
    <r>
      <rPr>
        <sz val="11"/>
        <color rgb="FFFF0000"/>
        <rFont val="Arial"/>
        <family val="2"/>
      </rPr>
      <t>D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G</t>
    </r>
    <r>
      <rPr>
        <sz val="11"/>
        <color theme="1"/>
        <rFont val="Arial"/>
        <family val="2"/>
      </rPr>
      <t>/2000</t>
    </r>
  </si>
  <si>
    <r>
      <t>1.811*</t>
    </r>
    <r>
      <rPr>
        <sz val="11"/>
        <color rgb="FF0070C0"/>
        <rFont val="Arial"/>
        <family val="2"/>
      </rPr>
      <t>K</t>
    </r>
  </si>
  <si>
    <r>
      <t>(1.05e^(0.155*</t>
    </r>
    <r>
      <rPr>
        <sz val="11"/>
        <color rgb="FF0070C0"/>
        <rFont val="Arial"/>
        <family val="2"/>
      </rPr>
      <t>D</t>
    </r>
    <r>
      <rPr>
        <sz val="11"/>
        <color theme="1"/>
        <rFont val="Arial"/>
        <family val="2"/>
      </rPr>
      <t>))*</t>
    </r>
    <r>
      <rPr>
        <sz val="11"/>
        <color rgb="FFFF0000"/>
        <rFont val="Arial"/>
        <family val="2"/>
      </rPr>
      <t>F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 xml:space="preserve">G </t>
    </r>
  </si>
  <si>
    <r>
      <t>(1.674*</t>
    </r>
    <r>
      <rPr>
        <sz val="11"/>
        <color rgb="FF0070C0"/>
        <rFont val="Arial"/>
        <family val="2"/>
      </rPr>
      <t>D</t>
    </r>
    <r>
      <rPr>
        <sz val="11"/>
        <color theme="1"/>
        <rFont val="Arial"/>
        <family val="2"/>
      </rPr>
      <t>+74.68)*</t>
    </r>
    <r>
      <rPr>
        <sz val="11"/>
        <color rgb="FFFF0000"/>
        <rFont val="Arial"/>
        <family val="2"/>
      </rPr>
      <t>A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F</t>
    </r>
    <r>
      <rPr>
        <sz val="11"/>
        <color theme="1"/>
        <rFont val="Arial"/>
        <family val="2"/>
      </rPr>
      <t>*</t>
    </r>
    <r>
      <rPr>
        <sz val="11"/>
        <color rgb="FF00B050"/>
        <rFont val="Arial"/>
        <family val="2"/>
      </rPr>
      <t>G</t>
    </r>
    <r>
      <rPr>
        <sz val="11"/>
        <color theme="1"/>
        <rFont val="Arial"/>
        <family val="2"/>
      </rPr>
      <t>/1000</t>
    </r>
  </si>
  <si>
    <t>Limestone Cost</t>
  </si>
  <si>
    <r>
      <t>&lt;-- User Input (</t>
    </r>
    <r>
      <rPr>
        <sz val="11"/>
        <color rgb="FF0070C0"/>
        <rFont val="Arial"/>
        <family val="2"/>
      </rPr>
      <t>https://www3.epa.gov/ttncatc1/dir1/ffdg.pdf</t>
    </r>
    <r>
      <rPr>
        <sz val="11"/>
        <rFont val="Arial"/>
        <family val="2"/>
      </rPr>
      <t>)</t>
    </r>
  </si>
  <si>
    <r>
      <t>&lt;-- User Input (</t>
    </r>
    <r>
      <rPr>
        <sz val="11"/>
        <color rgb="FF0070C0"/>
        <rFont val="Arial"/>
        <family val="2"/>
      </rPr>
      <t>http://www.gvea.com/rates/rates</t>
    </r>
    <r>
      <rPr>
        <sz val="11"/>
        <rFont val="Arial"/>
        <family val="2"/>
      </rPr>
      <t xml:space="preserve">) </t>
    </r>
  </si>
  <si>
    <r>
      <t>&lt;-- User Input (</t>
    </r>
    <r>
      <rPr>
        <sz val="11"/>
        <color rgb="FF0070C0"/>
        <rFont val="Arial"/>
        <family val="2"/>
      </rPr>
      <t>http://www.newsminer.com/water-rates/article_11a2ba10-c211-562e-8da9-87dd16a7b104.html</t>
    </r>
    <r>
      <rPr>
        <sz val="11"/>
        <rFont val="Arial"/>
        <family val="2"/>
      </rPr>
      <t>)</t>
    </r>
  </si>
  <si>
    <r>
      <t xml:space="preserve">IPM Model - Updates to Cost and Performance for APC Technologies - Wet FGD for SO2 Control Cost Development Methodology, August 2010, prepared by Sargent &amp; Lundy LLC for US EPA.                                  </t>
    </r>
    <r>
      <rPr>
        <sz val="11"/>
        <color rgb="FF0070C0"/>
        <rFont val="Arial"/>
        <family val="2"/>
      </rPr>
      <t>https://www.epa.gov/sites/production/files/2015-07/documents/chapter_5_appendix_5-1a_wet_fgd.pdf</t>
    </r>
  </si>
  <si>
    <t>Includes - Equipment, installation, building, foundations, electrical, minor physical/chemical waste water treatment, and a retrofit difficulty factor of 1.0</t>
  </si>
  <si>
    <r>
      <t>BMR ($) = 550,000*(</t>
    </r>
    <r>
      <rPr>
        <sz val="11"/>
        <color rgb="FF0070C0"/>
        <rFont val="Arial"/>
        <family val="2"/>
      </rPr>
      <t>B)</t>
    </r>
    <r>
      <rPr>
        <sz val="11"/>
        <color theme="1"/>
        <rFont val="Arial"/>
        <family val="2"/>
      </rPr>
      <t>*((</t>
    </r>
    <r>
      <rPr>
        <sz val="11"/>
        <color rgb="FFFF0000"/>
        <rFont val="Arial"/>
        <family val="2"/>
      </rPr>
      <t>F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G</t>
    </r>
    <r>
      <rPr>
        <sz val="11"/>
        <color theme="1"/>
        <rFont val="Arial"/>
        <family val="2"/>
      </rPr>
      <t>)^0.6)*((</t>
    </r>
    <r>
      <rPr>
        <sz val="11"/>
        <color rgb="FF00B050"/>
        <rFont val="Arial"/>
        <family val="2"/>
      </rPr>
      <t>D</t>
    </r>
    <r>
      <rPr>
        <sz val="11"/>
        <color theme="1"/>
        <rFont val="Arial"/>
        <family val="2"/>
      </rPr>
      <t>/2)^0.02)*(</t>
    </r>
    <r>
      <rPr>
        <sz val="11"/>
        <color rgb="FFD576DC"/>
        <rFont val="Arial"/>
        <family val="2"/>
      </rPr>
      <t>A</t>
    </r>
    <r>
      <rPr>
        <sz val="11"/>
        <color theme="1"/>
        <rFont val="Arial"/>
        <family val="2"/>
      </rPr>
      <t>^0.716)</t>
    </r>
  </si>
  <si>
    <t>Base absorber island cost</t>
  </si>
  <si>
    <r>
      <t>BMF ($) = 190,000*(</t>
    </r>
    <r>
      <rPr>
        <sz val="11"/>
        <color rgb="FF0070C0"/>
        <rFont val="Arial"/>
        <family val="2"/>
      </rPr>
      <t>B</t>
    </r>
    <r>
      <rPr>
        <sz val="11"/>
        <color theme="1"/>
        <rFont val="Arial"/>
        <family val="2"/>
      </rPr>
      <t>)*((</t>
    </r>
    <r>
      <rPr>
        <sz val="11"/>
        <color rgb="FFFF0000"/>
        <rFont val="Arial"/>
        <family val="2"/>
      </rPr>
      <t>D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G</t>
    </r>
    <r>
      <rPr>
        <sz val="11"/>
        <color theme="1"/>
        <rFont val="Arial"/>
        <family val="2"/>
      </rPr>
      <t>)^0.3)*(</t>
    </r>
    <r>
      <rPr>
        <sz val="11"/>
        <color rgb="FF00B050"/>
        <rFont val="Arial"/>
        <family val="2"/>
      </rPr>
      <t>A</t>
    </r>
    <r>
      <rPr>
        <sz val="11"/>
        <color theme="1"/>
        <rFont val="Arial"/>
        <family val="2"/>
      </rPr>
      <t>^0.716)</t>
    </r>
  </si>
  <si>
    <t>Base reagent preparation cost</t>
  </si>
  <si>
    <r>
      <t>BMW ($) = 100,000*(</t>
    </r>
    <r>
      <rPr>
        <sz val="11"/>
        <color rgb="FF0070C0"/>
        <rFont val="Arial"/>
        <family val="2"/>
      </rPr>
      <t>B</t>
    </r>
    <r>
      <rPr>
        <sz val="11"/>
        <color theme="1"/>
        <rFont val="Arial"/>
        <family val="2"/>
      </rPr>
      <t>)*((</t>
    </r>
    <r>
      <rPr>
        <sz val="11"/>
        <color rgb="FFFF0000"/>
        <rFont val="Arial"/>
        <family val="2"/>
      </rPr>
      <t>D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G</t>
    </r>
    <r>
      <rPr>
        <sz val="11"/>
        <color theme="1"/>
        <rFont val="Arial"/>
        <family val="2"/>
      </rPr>
      <t>)^0.45)*(</t>
    </r>
    <r>
      <rPr>
        <sz val="11"/>
        <color rgb="FF00B050"/>
        <rFont val="Arial"/>
        <family val="2"/>
      </rPr>
      <t>A</t>
    </r>
    <r>
      <rPr>
        <sz val="11"/>
        <color theme="1"/>
        <rFont val="Arial"/>
        <family val="2"/>
      </rPr>
      <t>^0.716)</t>
    </r>
  </si>
  <si>
    <t>Base waste handling cost</t>
  </si>
  <si>
    <r>
      <t>BMB ($) = 1,010,000*(</t>
    </r>
    <r>
      <rPr>
        <sz val="11"/>
        <color rgb="FF0070C0"/>
        <rFont val="Arial"/>
        <family val="2"/>
      </rPr>
      <t>B</t>
    </r>
    <r>
      <rPr>
        <sz val="11"/>
        <color theme="1"/>
        <rFont val="Arial"/>
        <family val="2"/>
      </rPr>
      <t>)*((</t>
    </r>
    <r>
      <rPr>
        <sz val="11"/>
        <color rgb="FFFF0000"/>
        <rFont val="Arial"/>
        <family val="2"/>
      </rPr>
      <t>F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G</t>
    </r>
    <r>
      <rPr>
        <sz val="11"/>
        <color theme="1"/>
        <rFont val="Arial"/>
        <family val="2"/>
      </rPr>
      <t>)^0.4)*(</t>
    </r>
    <r>
      <rPr>
        <sz val="11"/>
        <color rgb="FF00B050"/>
        <rFont val="Arial"/>
        <family val="2"/>
      </rPr>
      <t>A</t>
    </r>
    <r>
      <rPr>
        <sz val="11"/>
        <color theme="1"/>
        <rFont val="Arial"/>
        <family val="2"/>
      </rPr>
      <t>^0.716)</t>
    </r>
  </si>
  <si>
    <t>Base balance of plan cost including: ID or booster fans, new wet chimney, piping, ductwork, minor waste water treatment, etc…</t>
  </si>
  <si>
    <t xml:space="preserve">BMWW ($) = </t>
  </si>
  <si>
    <t>Base wastewater treatment facility, beyond minor physical/chemcial treatment</t>
  </si>
  <si>
    <r>
      <t xml:space="preserve">Base Module (BM) ($) = </t>
    </r>
    <r>
      <rPr>
        <sz val="11"/>
        <color rgb="FF0070C0"/>
        <rFont val="Arial"/>
        <family val="2"/>
      </rPr>
      <t>BMR</t>
    </r>
    <r>
      <rPr>
        <sz val="11"/>
        <color theme="1"/>
        <rFont val="Arial"/>
        <family val="2"/>
      </rPr>
      <t xml:space="preserve"> + </t>
    </r>
    <r>
      <rPr>
        <sz val="11"/>
        <color rgb="FFFF0000"/>
        <rFont val="Arial"/>
        <family val="2"/>
      </rPr>
      <t>BMF</t>
    </r>
    <r>
      <rPr>
        <sz val="11"/>
        <color theme="1"/>
        <rFont val="Arial"/>
        <family val="2"/>
      </rPr>
      <t xml:space="preserve"> + </t>
    </r>
    <r>
      <rPr>
        <sz val="11"/>
        <color rgb="FF7030A0"/>
        <rFont val="Arial"/>
        <family val="2"/>
      </rPr>
      <t>BMW</t>
    </r>
    <r>
      <rPr>
        <sz val="11"/>
        <color theme="1"/>
        <rFont val="Arial"/>
        <family val="2"/>
      </rPr>
      <t xml:space="preserve"> + </t>
    </r>
    <r>
      <rPr>
        <sz val="11"/>
        <color rgb="FF00B050"/>
        <rFont val="Arial"/>
        <family val="2"/>
      </rPr>
      <t>BMB</t>
    </r>
    <r>
      <rPr>
        <sz val="11"/>
        <color theme="1"/>
        <rFont val="Arial"/>
        <family val="2"/>
      </rPr>
      <t xml:space="preserve"> + </t>
    </r>
    <r>
      <rPr>
        <sz val="11"/>
        <color rgb="FFD576DC"/>
        <rFont val="Arial"/>
        <family val="2"/>
      </rPr>
      <t>BMWW</t>
    </r>
  </si>
  <si>
    <t>Total base cost including retrofit factor</t>
  </si>
  <si>
    <t>Base cost per kW</t>
  </si>
  <si>
    <t>CECC ($/kW) - Excludes Owner's Costs =</t>
  </si>
  <si>
    <t>TPC ($/kW) - Include Owner's Costs =</t>
  </si>
  <si>
    <t>AFUDC (based on a 3 year engineering and construction cycle)</t>
  </si>
  <si>
    <t>TPC ($) - Includes Owner's Costs and AFUDC = CECC + B1 + B2</t>
  </si>
  <si>
    <t xml:space="preserve">TPC ($/kW) - Includes Owner's Costs and AFUDC = </t>
  </si>
  <si>
    <r>
      <t>FOMO ($/kW yr) = (6 additional operators)*(2080)*</t>
    </r>
    <r>
      <rPr>
        <sz val="11"/>
        <color rgb="FF0070C0"/>
        <rFont val="Arial"/>
        <family val="2"/>
      </rPr>
      <t>T</t>
    </r>
    <r>
      <rPr>
        <sz val="11"/>
        <color theme="1"/>
        <rFont val="Arial"/>
        <family val="2"/>
      </rPr>
      <t>/(</t>
    </r>
    <r>
      <rPr>
        <sz val="11"/>
        <color rgb="FFFF0000"/>
        <rFont val="Arial"/>
        <family val="2"/>
      </rPr>
      <t>A</t>
    </r>
    <r>
      <rPr>
        <sz val="11"/>
        <color theme="1"/>
        <rFont val="Arial"/>
        <family val="2"/>
      </rPr>
      <t>*1000)</t>
    </r>
  </si>
  <si>
    <t>FOMWW ($/kW yr) =</t>
  </si>
  <si>
    <t>Fixed O&amp;M costs for wastewater treatment facility</t>
  </si>
  <si>
    <r>
      <t xml:space="preserve">FOM ($/kW yr) = </t>
    </r>
    <r>
      <rPr>
        <b/>
        <sz val="11"/>
        <color rgb="FF0070C0"/>
        <rFont val="Arial"/>
        <family val="2"/>
      </rPr>
      <t>FOMO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FF0000"/>
        <rFont val="Arial"/>
        <family val="2"/>
      </rPr>
      <t>FOMM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7030A0"/>
        <rFont val="Arial"/>
        <family val="2"/>
      </rPr>
      <t xml:space="preserve">FOMA + </t>
    </r>
    <r>
      <rPr>
        <b/>
        <sz val="11"/>
        <color rgb="FF00B050"/>
        <rFont val="Arial"/>
        <family val="2"/>
      </rPr>
      <t>FOMWW</t>
    </r>
  </si>
  <si>
    <t>Variable O&amp;M costs for limestone reagent</t>
  </si>
  <si>
    <t>Variable O&amp;M costs for additional auxiliary power required including additional fan power (Refer to Aux Power % above)</t>
  </si>
  <si>
    <t>VOMWW ($/MWh) =</t>
  </si>
  <si>
    <t>Variable O&amp;M costs for wastewater treatment facility</t>
  </si>
  <si>
    <r>
      <t xml:space="preserve">VOM ($/MWh) = </t>
    </r>
    <r>
      <rPr>
        <b/>
        <sz val="11"/>
        <color rgb="FF0070C0"/>
        <rFont val="Arial"/>
        <family val="2"/>
      </rPr>
      <t>VOMR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FF0000"/>
        <rFont val="Arial"/>
        <family val="2"/>
      </rPr>
      <t>VOMW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7030A0"/>
        <rFont val="Arial"/>
        <family val="2"/>
      </rPr>
      <t>VOMP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00B050"/>
        <rFont val="Arial"/>
        <family val="2"/>
      </rPr>
      <t xml:space="preserve">VOMM </t>
    </r>
    <r>
      <rPr>
        <b/>
        <sz val="11"/>
        <rFont val="Arial"/>
        <family val="2"/>
      </rPr>
      <t>+</t>
    </r>
    <r>
      <rPr>
        <b/>
        <sz val="11"/>
        <color rgb="FF00B050"/>
        <rFont val="Arial"/>
        <family val="2"/>
      </rPr>
      <t xml:space="preserve"> </t>
    </r>
    <r>
      <rPr>
        <b/>
        <sz val="11"/>
        <color rgb="FFD576DC"/>
        <rFont val="Arial"/>
        <family val="2"/>
      </rPr>
      <t>VOMWW</t>
    </r>
  </si>
  <si>
    <t>Does not include costs associated with building and maintaining a wastewater treatment facility</t>
  </si>
  <si>
    <t>tons coal/year (existing permit limit)</t>
  </si>
  <si>
    <t>MMBtu/ton of coal, http://www.usibelli.com/coal/data-sheet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</si>
</sst>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  <numFmt numFmtId="166" formatCode="0.000"/>
    <numFmt numFmtId="167" formatCode="_(&quot;$&quot;* #,##0.000_);_(&quot;$&quot;* \(#,##0.000\);_(&quot;$&quot;* &quot;-&quot;??_);_(@_)"/>
    <numFmt numFmtId="168" formatCode="0.0000"/>
    <numFmt numFmtId="169" formatCode="#,##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vertAlign val="subscript"/>
      <sz val="11"/>
      <name val="Arial"/>
      <family val="2"/>
    </font>
    <font>
      <b/>
      <vertAlign val="subscript"/>
      <sz val="11"/>
      <name val="Arial"/>
      <family val="2"/>
    </font>
    <font>
      <b/>
      <sz val="11"/>
      <color rgb="FF0070C0"/>
      <name val="Arial"/>
      <family val="2"/>
    </font>
    <font>
      <vertAlign val="superscript"/>
      <sz val="11"/>
      <name val="Arial"/>
      <family val="2"/>
    </font>
    <font>
      <sz val="11"/>
      <color rgb="FFFF0000"/>
      <name val="Arial"/>
      <family val="2"/>
    </font>
    <font>
      <sz val="11"/>
      <color rgb="FF0070C0"/>
      <name val="Arial"/>
      <family val="2"/>
    </font>
    <font>
      <sz val="11"/>
      <color rgb="FF7030A0"/>
      <name val="Arial"/>
      <family val="2"/>
    </font>
    <font>
      <sz val="11"/>
      <color rgb="FF00B050"/>
      <name val="Arial"/>
      <family val="2"/>
    </font>
    <font>
      <b/>
      <sz val="11"/>
      <color rgb="FF7030A0"/>
      <name val="Arial"/>
      <family val="2"/>
    </font>
    <font>
      <sz val="11"/>
      <color rgb="FFC00000"/>
      <name val="Arial"/>
      <family val="2"/>
    </font>
    <font>
      <b/>
      <sz val="11"/>
      <color rgb="FF00B050"/>
      <name val="Arial"/>
      <family val="2"/>
    </font>
    <font>
      <sz val="11"/>
      <color rgb="FFD576DC"/>
      <name val="Arial"/>
      <family val="2"/>
    </font>
    <font>
      <b/>
      <sz val="11"/>
      <color rgb="FFD576DC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9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4" fontId="1" fillId="0" borderId="0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" fillId="0" borderId="8" xfId="0" applyFont="1" applyBorder="1" applyAlignment="1">
      <alignment horizontal="left" vertical="center" indent="2"/>
    </xf>
    <xf numFmtId="0" fontId="1" fillId="0" borderId="1" xfId="0" applyFont="1" applyBorder="1" applyAlignment="1">
      <alignment horizontal="left" vertical="center" indent="1"/>
    </xf>
    <xf numFmtId="0" fontId="2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2" fillId="0" borderId="0" xfId="0" quotePrefix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44" fontId="2" fillId="0" borderId="0" xfId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4" xfId="0" applyFont="1" applyBorder="1" applyAlignment="1">
      <alignment vertical="center" wrapText="1"/>
    </xf>
    <xf numFmtId="0" fontId="1" fillId="4" borderId="0" xfId="0" applyFont="1" applyFill="1" applyBorder="1" applyAlignment="1">
      <alignment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right" vertical="top" wrapText="1"/>
    </xf>
    <xf numFmtId="44" fontId="6" fillId="0" borderId="0" xfId="1" applyFont="1" applyFill="1" applyBorder="1" applyAlignment="1">
      <alignment horizontal="right" vertical="top" wrapText="1"/>
    </xf>
    <xf numFmtId="0" fontId="6" fillId="0" borderId="8" xfId="0" applyFont="1" applyFill="1" applyBorder="1" applyAlignment="1">
      <alignment horizontal="left" vertical="top" indent="2"/>
    </xf>
    <xf numFmtId="0" fontId="7" fillId="0" borderId="11" xfId="0" applyFont="1" applyFill="1" applyBorder="1" applyAlignment="1">
      <alignment horizontal="justify" vertical="top" wrapText="1"/>
    </xf>
    <xf numFmtId="38" fontId="7" fillId="0" borderId="12" xfId="0" applyNumberFormat="1" applyFont="1" applyFill="1" applyBorder="1" applyAlignment="1">
      <alignment horizontal="right" vertical="top" wrapText="1"/>
    </xf>
    <xf numFmtId="164" fontId="7" fillId="0" borderId="0" xfId="1" applyNumberFormat="1" applyFont="1" applyFill="1" applyBorder="1" applyAlignment="1">
      <alignment horizontal="right" vertical="top" wrapText="1"/>
    </xf>
    <xf numFmtId="0" fontId="6" fillId="0" borderId="12" xfId="0" applyFont="1" applyBorder="1" applyAlignment="1">
      <alignment vertical="top"/>
    </xf>
    <xf numFmtId="0" fontId="1" fillId="0" borderId="6" xfId="0" applyFont="1" applyBorder="1" applyAlignment="1">
      <alignment vertical="center"/>
    </xf>
    <xf numFmtId="165" fontId="6" fillId="0" borderId="0" xfId="0" applyNumberFormat="1" applyFont="1" applyBorder="1" applyAlignment="1">
      <alignment horizontal="right"/>
    </xf>
    <xf numFmtId="165" fontId="6" fillId="0" borderId="0" xfId="0" applyNumberFormat="1" applyFont="1" applyFill="1" applyBorder="1" applyAlignment="1">
      <alignment horizontal="right"/>
    </xf>
    <xf numFmtId="0" fontId="6" fillId="0" borderId="8" xfId="0" applyFont="1" applyFill="1" applyBorder="1" applyAlignment="1">
      <alignment horizontal="justify" vertical="top" wrapText="1"/>
    </xf>
    <xf numFmtId="38" fontId="6" fillId="0" borderId="0" xfId="0" applyNumberFormat="1" applyFont="1" applyFill="1" applyBorder="1" applyAlignment="1">
      <alignment horizontal="right" vertical="top" wrapText="1"/>
    </xf>
    <xf numFmtId="3" fontId="6" fillId="0" borderId="0" xfId="0" applyNumberFormat="1" applyFont="1" applyBorder="1" applyAlignment="1">
      <alignment horizontal="right" vertical="top" wrapText="1"/>
    </xf>
    <xf numFmtId="0" fontId="6" fillId="0" borderId="11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164" fontId="6" fillId="0" borderId="0" xfId="1" applyNumberFormat="1" applyFont="1" applyFill="1" applyBorder="1" applyAlignment="1">
      <alignment horizontal="right" vertical="top" wrapText="1"/>
    </xf>
    <xf numFmtId="164" fontId="7" fillId="0" borderId="0" xfId="1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7" fontId="1" fillId="0" borderId="0" xfId="1" applyNumberFormat="1" applyFont="1" applyBorder="1" applyAlignment="1">
      <alignment horizontal="center" vertical="center"/>
    </xf>
    <xf numFmtId="44" fontId="1" fillId="0" borderId="0" xfId="0" applyNumberFormat="1" applyFont="1" applyAlignment="1">
      <alignment vertical="center"/>
    </xf>
    <xf numFmtId="44" fontId="2" fillId="0" borderId="0" xfId="1" applyNumberFormat="1" applyFont="1" applyBorder="1" applyAlignment="1">
      <alignment horizontal="center" vertical="center"/>
    </xf>
    <xf numFmtId="1" fontId="6" fillId="0" borderId="0" xfId="2" applyNumberFormat="1" applyFont="1" applyBorder="1" applyAlignment="1">
      <alignment horizontal="right" vertical="center" wrapText="1"/>
    </xf>
    <xf numFmtId="0" fontId="10" fillId="5" borderId="1" xfId="0" applyFont="1" applyFill="1" applyBorder="1" applyAlignment="1">
      <alignment horizontal="center" vertical="center"/>
    </xf>
    <xf numFmtId="3" fontId="10" fillId="5" borderId="1" xfId="0" applyNumberFormat="1" applyFont="1" applyFill="1" applyBorder="1" applyAlignment="1">
      <alignment horizontal="center" vertical="center"/>
    </xf>
    <xf numFmtId="2" fontId="10" fillId="5" borderId="1" xfId="0" applyNumberFormat="1" applyFont="1" applyFill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165" fontId="10" fillId="5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vertical="center" wrapText="1"/>
    </xf>
    <xf numFmtId="0" fontId="6" fillId="0" borderId="9" xfId="0" applyFont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vertical="center"/>
    </xf>
    <xf numFmtId="168" fontId="1" fillId="0" borderId="0" xfId="0" applyNumberFormat="1" applyFont="1" applyBorder="1" applyAlignment="1">
      <alignment horizontal="left"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44" fontId="1" fillId="0" borderId="0" xfId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indent="4"/>
    </xf>
    <xf numFmtId="0" fontId="7" fillId="0" borderId="8" xfId="0" applyFont="1" applyFill="1" applyBorder="1" applyAlignment="1">
      <alignment horizontal="left" vertical="top" indent="2"/>
    </xf>
    <xf numFmtId="0" fontId="2" fillId="0" borderId="8" xfId="0" applyFont="1" applyBorder="1" applyAlignment="1">
      <alignment horizontal="left" vertical="center" indent="2"/>
    </xf>
    <xf numFmtId="0" fontId="6" fillId="0" borderId="8" xfId="0" applyFont="1" applyFill="1" applyBorder="1" applyAlignment="1">
      <alignment horizontal="left" vertical="top" wrapText="1" indent="2"/>
    </xf>
    <xf numFmtId="0" fontId="7" fillId="0" borderId="11" xfId="0" applyFont="1" applyFill="1" applyBorder="1" applyAlignment="1">
      <alignment horizontal="left" vertical="top" wrapText="1" indent="2"/>
    </xf>
    <xf numFmtId="0" fontId="1" fillId="0" borderId="5" xfId="0" applyFont="1" applyBorder="1" applyAlignment="1">
      <alignment horizontal="left" vertical="center" indent="2"/>
    </xf>
    <xf numFmtId="0" fontId="1" fillId="0" borderId="0" xfId="0" applyFont="1" applyBorder="1" applyAlignment="1">
      <alignment horizontal="left" vertical="center" indent="2"/>
    </xf>
    <xf numFmtId="0" fontId="2" fillId="0" borderId="11" xfId="0" applyFont="1" applyBorder="1" applyAlignment="1">
      <alignment horizontal="left" vertical="center" indent="2"/>
    </xf>
    <xf numFmtId="0" fontId="1" fillId="0" borderId="12" xfId="0" quotePrefix="1" applyFont="1" applyBorder="1" applyAlignment="1">
      <alignment horizontal="center" vertical="center"/>
    </xf>
    <xf numFmtId="164" fontId="2" fillId="0" borderId="1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169" fontId="6" fillId="0" borderId="0" xfId="0" applyNumberFormat="1" applyFont="1" applyFill="1" applyBorder="1" applyAlignment="1">
      <alignment horizontal="right" vertical="center" wrapText="1"/>
    </xf>
    <xf numFmtId="44" fontId="1" fillId="0" borderId="0" xfId="1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indent="2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44" fontId="1" fillId="0" borderId="0" xfId="1" applyFont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166" fontId="2" fillId="0" borderId="1" xfId="0" applyNumberFormat="1" applyFont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1" fontId="1" fillId="0" borderId="24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vertical="center"/>
    </xf>
    <xf numFmtId="44" fontId="1" fillId="0" borderId="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1" fillId="0" borderId="12" xfId="0" applyFont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6" fillId="0" borderId="8" xfId="0" applyFont="1" applyFill="1" applyBorder="1" applyAlignment="1">
      <alignment horizontal="left" vertical="center" indent="2"/>
    </xf>
    <xf numFmtId="168" fontId="6" fillId="0" borderId="8" xfId="0" applyNumberFormat="1" applyFont="1" applyFill="1" applyBorder="1" applyAlignment="1">
      <alignment horizontal="left" vertical="top" indent="4"/>
    </xf>
    <xf numFmtId="164" fontId="6" fillId="0" borderId="0" xfId="1" applyNumberFormat="1" applyFont="1" applyFill="1" applyBorder="1" applyAlignment="1">
      <alignment horizontal="right" vertical="center" wrapText="1"/>
    </xf>
    <xf numFmtId="0" fontId="6" fillId="0" borderId="8" xfId="0" applyFont="1" applyBorder="1" applyAlignment="1">
      <alignment horizontal="left" indent="2"/>
    </xf>
    <xf numFmtId="0" fontId="6" fillId="0" borderId="5" xfId="0" applyFont="1" applyFill="1" applyBorder="1" applyAlignment="1">
      <alignment horizontal="left" vertical="top" wrapText="1" indent="2"/>
    </xf>
    <xf numFmtId="38" fontId="6" fillId="0" borderId="6" xfId="0" applyNumberFormat="1" applyFont="1" applyFill="1" applyBorder="1" applyAlignment="1">
      <alignment horizontal="right" vertical="top" wrapText="1"/>
    </xf>
    <xf numFmtId="0" fontId="6" fillId="0" borderId="8" xfId="0" applyFont="1" applyBorder="1" applyAlignment="1">
      <alignment horizontal="left" vertical="top" indent="2"/>
    </xf>
    <xf numFmtId="0" fontId="6" fillId="0" borderId="8" xfId="0" applyFont="1" applyBorder="1" applyAlignment="1">
      <alignment horizontal="left" vertical="center" indent="2"/>
    </xf>
    <xf numFmtId="0" fontId="2" fillId="2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center" wrapText="1"/>
    </xf>
    <xf numFmtId="164" fontId="7" fillId="0" borderId="0" xfId="1" applyNumberFormat="1" applyFont="1" applyFill="1" applyBorder="1" applyAlignment="1">
      <alignment horizontal="right" vertical="center" wrapText="1"/>
    </xf>
    <xf numFmtId="44" fontId="6" fillId="0" borderId="0" xfId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justify" vertical="center" wrapText="1"/>
    </xf>
    <xf numFmtId="38" fontId="7" fillId="0" borderId="12" xfId="0" applyNumberFormat="1" applyFont="1" applyFill="1" applyBorder="1" applyAlignment="1">
      <alignment horizontal="right" vertical="center" wrapText="1"/>
    </xf>
    <xf numFmtId="0" fontId="1" fillId="0" borderId="5" xfId="0" applyFont="1" applyBorder="1" applyAlignment="1">
      <alignment vertical="center"/>
    </xf>
    <xf numFmtId="165" fontId="6" fillId="0" borderId="0" xfId="0" applyNumberFormat="1" applyFont="1" applyBorder="1" applyAlignment="1">
      <alignment horizontal="right" vertical="center"/>
    </xf>
    <xf numFmtId="165" fontId="6" fillId="0" borderId="0" xfId="0" applyNumberFormat="1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justify" vertical="center" wrapText="1"/>
    </xf>
    <xf numFmtId="38" fontId="6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/>
    </xf>
    <xf numFmtId="164" fontId="7" fillId="0" borderId="0" xfId="1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 wrapText="1"/>
    </xf>
    <xf numFmtId="164" fontId="2" fillId="5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H109"/>
  <sheetViews>
    <sheetView view="pageLayout" zoomScale="85" zoomScaleNormal="100" zoomScalePageLayoutView="85" workbookViewId="0">
      <selection activeCell="D7" sqref="D7"/>
    </sheetView>
  </sheetViews>
  <sheetFormatPr defaultColWidth="8.85546875" defaultRowHeight="14.25" x14ac:dyDescent="0.25"/>
  <cols>
    <col min="1" max="1" width="38.140625" style="1" customWidth="1"/>
    <col min="2" max="2" width="24.7109375" style="1" customWidth="1"/>
    <col min="3" max="3" width="13.28515625" style="3" customWidth="1"/>
    <col min="4" max="4" width="15.7109375" style="3" bestFit="1" customWidth="1"/>
    <col min="5" max="5" width="79.7109375" style="3" bestFit="1" customWidth="1"/>
    <col min="6" max="6" width="106.7109375" style="1" customWidth="1"/>
    <col min="7" max="7" width="11" style="1" bestFit="1" customWidth="1"/>
    <col min="8" max="8" width="14.28515625" style="1" bestFit="1" customWidth="1"/>
    <col min="9" max="16384" width="8.85546875" style="1"/>
  </cols>
  <sheetData>
    <row r="4" spans="1:7" ht="15.75" x14ac:dyDescent="0.25">
      <c r="A4" s="176" t="s">
        <v>131</v>
      </c>
      <c r="B4" s="176"/>
      <c r="C4" s="176"/>
      <c r="D4" s="176"/>
      <c r="E4" s="176"/>
      <c r="F4" s="176"/>
      <c r="G4" s="10"/>
    </row>
    <row r="5" spans="1:7" ht="15" thickBot="1" x14ac:dyDescent="0.3">
      <c r="A5" s="10"/>
      <c r="B5" s="10"/>
      <c r="C5" s="11"/>
      <c r="D5" s="11"/>
      <c r="E5" s="11"/>
      <c r="F5" s="10"/>
      <c r="G5" s="10"/>
    </row>
    <row r="6" spans="1:7" s="2" customFormat="1" ht="15" x14ac:dyDescent="0.25">
      <c r="A6" s="90" t="s">
        <v>0</v>
      </c>
      <c r="B6" s="91" t="s">
        <v>1</v>
      </c>
      <c r="C6" s="91" t="s">
        <v>2</v>
      </c>
      <c r="D6" s="91" t="s">
        <v>3</v>
      </c>
      <c r="E6" s="190" t="s">
        <v>4</v>
      </c>
      <c r="F6" s="191"/>
    </row>
    <row r="7" spans="1:7" ht="15" x14ac:dyDescent="0.25">
      <c r="A7" s="42" t="s">
        <v>32</v>
      </c>
      <c r="B7" s="5" t="s">
        <v>5</v>
      </c>
      <c r="C7" s="5" t="s">
        <v>23</v>
      </c>
      <c r="D7" s="79">
        <f>138/6</f>
        <v>23</v>
      </c>
      <c r="E7" s="179" t="s">
        <v>132</v>
      </c>
      <c r="F7" s="180"/>
    </row>
    <row r="8" spans="1:7" ht="15" x14ac:dyDescent="0.25">
      <c r="A8" s="42" t="s">
        <v>38</v>
      </c>
      <c r="B8" s="5" t="s">
        <v>6</v>
      </c>
      <c r="C8" s="5"/>
      <c r="D8" s="86">
        <v>1.5</v>
      </c>
      <c r="E8" s="192" t="s">
        <v>133</v>
      </c>
      <c r="F8" s="193"/>
    </row>
    <row r="9" spans="1:7" ht="15" x14ac:dyDescent="0.25">
      <c r="A9" s="42" t="s">
        <v>39</v>
      </c>
      <c r="B9" s="5" t="s">
        <v>7</v>
      </c>
      <c r="C9" s="5" t="s">
        <v>24</v>
      </c>
      <c r="D9" s="80">
        <v>10000</v>
      </c>
      <c r="E9" s="179" t="s">
        <v>33</v>
      </c>
      <c r="F9" s="180"/>
    </row>
    <row r="10" spans="1:7" ht="15" x14ac:dyDescent="0.25">
      <c r="A10" s="42" t="s">
        <v>40</v>
      </c>
      <c r="B10" s="5" t="s">
        <v>22</v>
      </c>
      <c r="C10" s="5" t="s">
        <v>25</v>
      </c>
      <c r="D10" s="79">
        <v>0.57999999999999996</v>
      </c>
      <c r="E10" s="179" t="s">
        <v>33</v>
      </c>
      <c r="F10" s="180"/>
    </row>
    <row r="11" spans="1:7" x14ac:dyDescent="0.25">
      <c r="A11" s="42" t="s">
        <v>41</v>
      </c>
      <c r="B11" s="5" t="s">
        <v>8</v>
      </c>
      <c r="C11" s="5"/>
      <c r="D11" s="5" t="s">
        <v>46</v>
      </c>
      <c r="E11" s="179" t="s">
        <v>33</v>
      </c>
      <c r="F11" s="180"/>
    </row>
    <row r="12" spans="1:7" x14ac:dyDescent="0.25">
      <c r="A12" s="42" t="s">
        <v>42</v>
      </c>
      <c r="B12" s="5" t="s">
        <v>9</v>
      </c>
      <c r="C12" s="5"/>
      <c r="D12" s="5" t="s">
        <v>43</v>
      </c>
      <c r="E12" s="179" t="s">
        <v>33</v>
      </c>
      <c r="F12" s="180"/>
    </row>
    <row r="13" spans="1:7" ht="15" x14ac:dyDescent="0.25">
      <c r="A13" s="42" t="s">
        <v>44</v>
      </c>
      <c r="B13" s="5" t="s">
        <v>10</v>
      </c>
      <c r="C13" s="25"/>
      <c r="D13" s="4" t="b">
        <v>1</v>
      </c>
      <c r="E13" s="179" t="s">
        <v>34</v>
      </c>
      <c r="F13" s="180"/>
    </row>
    <row r="14" spans="1:7" ht="75" customHeight="1" x14ac:dyDescent="0.25">
      <c r="A14" s="42" t="s">
        <v>45</v>
      </c>
      <c r="B14" s="5" t="s">
        <v>11</v>
      </c>
      <c r="C14" s="5" t="s">
        <v>26</v>
      </c>
      <c r="D14" s="79">
        <v>80</v>
      </c>
      <c r="E14" s="181" t="s">
        <v>35</v>
      </c>
      <c r="F14" s="182"/>
    </row>
    <row r="15" spans="1:7" ht="15" x14ac:dyDescent="0.25">
      <c r="A15" s="42" t="s">
        <v>47</v>
      </c>
      <c r="B15" s="5" t="s">
        <v>12</v>
      </c>
      <c r="C15" s="5" t="s">
        <v>27</v>
      </c>
      <c r="D15" s="80">
        <f>D7*D9*1000</f>
        <v>230000000</v>
      </c>
      <c r="E15" s="179" t="s">
        <v>110</v>
      </c>
      <c r="F15" s="180"/>
    </row>
    <row r="16" spans="1:7" ht="63" customHeight="1" x14ac:dyDescent="0.25">
      <c r="A16" s="42" t="s">
        <v>48</v>
      </c>
      <c r="B16" s="5" t="s">
        <v>13</v>
      </c>
      <c r="C16" s="5"/>
      <c r="D16" s="7">
        <f>IF(D14&lt;40,0.016*D14,0.208*EXP(0.0281*D14))</f>
        <v>1.9695061001228062</v>
      </c>
      <c r="E16" s="181" t="s">
        <v>139</v>
      </c>
      <c r="F16" s="182"/>
    </row>
    <row r="17" spans="1:6" x14ac:dyDescent="0.25">
      <c r="A17" s="42" t="s">
        <v>49</v>
      </c>
      <c r="B17" s="5" t="s">
        <v>14</v>
      </c>
      <c r="C17" s="5" t="s">
        <v>28</v>
      </c>
      <c r="D17" s="7">
        <f>(0.0000012011)*D16*D7*D9*D10</f>
        <v>0.31556754183279079</v>
      </c>
      <c r="E17" s="179" t="s">
        <v>111</v>
      </c>
      <c r="F17" s="180"/>
    </row>
    <row r="18" spans="1:6" x14ac:dyDescent="0.25">
      <c r="A18" s="42" t="s">
        <v>50</v>
      </c>
      <c r="B18" s="5" t="s">
        <v>15</v>
      </c>
      <c r="C18" s="5" t="s">
        <v>28</v>
      </c>
      <c r="D18" s="74">
        <f>(0.7035-0.00073696*D14/D16)*D17</f>
        <v>0.21255530981453633</v>
      </c>
      <c r="E18" s="181" t="s">
        <v>112</v>
      </c>
      <c r="F18" s="182"/>
    </row>
    <row r="19" spans="1:6" ht="78" customHeight="1" x14ac:dyDescent="0.25">
      <c r="A19" s="43" t="s">
        <v>98</v>
      </c>
      <c r="B19" s="5" t="s">
        <v>16</v>
      </c>
      <c r="C19" s="5" t="s">
        <v>28</v>
      </c>
      <c r="D19" s="81">
        <f>(D7*D9)*0.07*(1-0.6)/(2*7560)</f>
        <v>0.42592592592592599</v>
      </c>
      <c r="E19" s="181" t="s">
        <v>113</v>
      </c>
      <c r="F19" s="182"/>
    </row>
    <row r="20" spans="1:6" ht="15" x14ac:dyDescent="0.25">
      <c r="A20" s="88" t="s">
        <v>99</v>
      </c>
      <c r="B20" s="4" t="s">
        <v>17</v>
      </c>
      <c r="C20" s="4" t="s">
        <v>26</v>
      </c>
      <c r="D20" s="127">
        <f>D17*20/D7</f>
        <v>0.27440655811547027</v>
      </c>
      <c r="E20" s="179" t="s">
        <v>36</v>
      </c>
      <c r="F20" s="180"/>
    </row>
    <row r="21" spans="1:6" ht="15" x14ac:dyDescent="0.25">
      <c r="A21" s="42" t="s">
        <v>51</v>
      </c>
      <c r="B21" s="5" t="s">
        <v>18</v>
      </c>
      <c r="C21" s="5" t="s">
        <v>29</v>
      </c>
      <c r="D21" s="79">
        <v>451</v>
      </c>
      <c r="E21" s="183" t="s">
        <v>96</v>
      </c>
      <c r="F21" s="184"/>
    </row>
    <row r="22" spans="1:6" x14ac:dyDescent="0.25">
      <c r="A22" s="42" t="s">
        <v>52</v>
      </c>
      <c r="B22" s="5" t="s">
        <v>19</v>
      </c>
      <c r="C22" s="5" t="s">
        <v>29</v>
      </c>
      <c r="D22" s="83">
        <v>50</v>
      </c>
      <c r="E22" s="181"/>
      <c r="F22" s="182"/>
    </row>
    <row r="23" spans="1:6" ht="15" x14ac:dyDescent="0.25">
      <c r="A23" s="42" t="s">
        <v>53</v>
      </c>
      <c r="B23" s="5" t="s">
        <v>20</v>
      </c>
      <c r="C23" s="5" t="s">
        <v>30</v>
      </c>
      <c r="D23" s="81">
        <v>0.21</v>
      </c>
      <c r="E23" s="183" t="s">
        <v>140</v>
      </c>
      <c r="F23" s="184"/>
    </row>
    <row r="24" spans="1:6" ht="15" thickBot="1" x14ac:dyDescent="0.3">
      <c r="A24" s="98" t="s">
        <v>54</v>
      </c>
      <c r="B24" s="99" t="s">
        <v>21</v>
      </c>
      <c r="C24" s="99" t="s">
        <v>31</v>
      </c>
      <c r="D24" s="100">
        <v>60</v>
      </c>
      <c r="E24" s="185" t="s">
        <v>37</v>
      </c>
      <c r="F24" s="186"/>
    </row>
    <row r="25" spans="1:6" ht="33.75" customHeight="1" thickBot="1" x14ac:dyDescent="0.3">
      <c r="A25" s="187" t="s">
        <v>137</v>
      </c>
      <c r="B25" s="188"/>
      <c r="C25" s="188"/>
      <c r="D25" s="188"/>
      <c r="E25" s="188"/>
      <c r="F25" s="189"/>
    </row>
    <row r="26" spans="1:6" ht="15.75" thickBot="1" x14ac:dyDescent="0.3">
      <c r="A26" s="26" t="s">
        <v>83</v>
      </c>
      <c r="B26" s="27"/>
      <c r="C26" s="28"/>
      <c r="D26" s="28"/>
      <c r="E26" s="116" t="s">
        <v>57</v>
      </c>
      <c r="F26" s="29"/>
    </row>
    <row r="27" spans="1:6" ht="15" x14ac:dyDescent="0.25">
      <c r="A27" s="20"/>
      <c r="B27" s="21"/>
      <c r="C27" s="22"/>
      <c r="D27" s="22"/>
      <c r="E27" s="123"/>
      <c r="F27" s="23"/>
    </row>
    <row r="28" spans="1:6" x14ac:dyDescent="0.25">
      <c r="A28" s="24" t="s">
        <v>134</v>
      </c>
      <c r="B28" s="10"/>
      <c r="C28" s="11"/>
      <c r="D28" s="11"/>
      <c r="E28" s="11"/>
      <c r="F28" s="12"/>
    </row>
    <row r="29" spans="1:6" x14ac:dyDescent="0.25">
      <c r="A29" s="9"/>
      <c r="B29" s="10"/>
      <c r="C29" s="11"/>
      <c r="D29" s="11"/>
      <c r="E29" s="11"/>
      <c r="F29" s="12"/>
    </row>
    <row r="30" spans="1:6" x14ac:dyDescent="0.25">
      <c r="A30" s="24" t="s">
        <v>55</v>
      </c>
      <c r="B30" s="10"/>
      <c r="C30" s="104" t="s">
        <v>56</v>
      </c>
      <c r="D30" s="13">
        <f>IF(D17&gt;25,(750000*D8*D17),(7516000*D8*D17^0.284))</f>
        <v>8124941.6606123392</v>
      </c>
      <c r="E30" s="102" t="s">
        <v>58</v>
      </c>
      <c r="F30" s="12"/>
    </row>
    <row r="31" spans="1:6" x14ac:dyDescent="0.25">
      <c r="A31" s="105" t="s">
        <v>114</v>
      </c>
      <c r="B31" s="10"/>
      <c r="C31" s="11"/>
      <c r="D31" s="11"/>
      <c r="E31" s="102"/>
      <c r="F31" s="12"/>
    </row>
    <row r="32" spans="1:6" x14ac:dyDescent="0.25">
      <c r="A32" s="105" t="s">
        <v>115</v>
      </c>
      <c r="B32" s="10"/>
      <c r="C32" s="11"/>
      <c r="D32" s="11"/>
      <c r="E32" s="102"/>
      <c r="F32" s="12"/>
    </row>
    <row r="33" spans="1:6" x14ac:dyDescent="0.25">
      <c r="A33" s="24" t="s">
        <v>59</v>
      </c>
      <c r="B33" s="10"/>
      <c r="C33" s="104" t="s">
        <v>56</v>
      </c>
      <c r="D33" s="13">
        <f>D30/(D7*1000)</f>
        <v>353.25833307010168</v>
      </c>
      <c r="E33" s="102" t="s">
        <v>60</v>
      </c>
      <c r="F33" s="12"/>
    </row>
    <row r="34" spans="1:6" x14ac:dyDescent="0.25">
      <c r="A34" s="9"/>
      <c r="B34" s="10"/>
      <c r="C34" s="11"/>
      <c r="D34" s="11"/>
      <c r="E34" s="102"/>
      <c r="F34" s="12"/>
    </row>
    <row r="35" spans="1:6" ht="15" x14ac:dyDescent="0.25">
      <c r="A35" s="14" t="s">
        <v>61</v>
      </c>
      <c r="B35" s="10"/>
      <c r="C35" s="11"/>
      <c r="D35" s="11"/>
      <c r="E35" s="102"/>
      <c r="F35" s="12"/>
    </row>
    <row r="36" spans="1:6" ht="15" x14ac:dyDescent="0.25">
      <c r="A36" s="14"/>
      <c r="B36" s="10"/>
      <c r="C36" s="11"/>
      <c r="D36" s="11"/>
      <c r="E36" s="102"/>
      <c r="F36" s="12"/>
    </row>
    <row r="37" spans="1:6" x14ac:dyDescent="0.25">
      <c r="A37" s="24" t="s">
        <v>106</v>
      </c>
      <c r="B37" s="10"/>
      <c r="C37" s="104" t="s">
        <v>56</v>
      </c>
      <c r="D37" s="15">
        <f>0.05*$D$30</f>
        <v>406247.08303061698</v>
      </c>
      <c r="E37" s="87" t="s">
        <v>116</v>
      </c>
      <c r="F37" s="89"/>
    </row>
    <row r="38" spans="1:6" x14ac:dyDescent="0.25">
      <c r="A38" s="24" t="s">
        <v>107</v>
      </c>
      <c r="B38" s="10"/>
      <c r="C38" s="104" t="s">
        <v>56</v>
      </c>
      <c r="D38" s="15">
        <f>0.05*$D$30</f>
        <v>406247.08303061698</v>
      </c>
      <c r="E38" s="87" t="s">
        <v>117</v>
      </c>
      <c r="F38" s="89"/>
    </row>
    <row r="39" spans="1:6" x14ac:dyDescent="0.25">
      <c r="A39" s="24" t="s">
        <v>108</v>
      </c>
      <c r="B39" s="10"/>
      <c r="C39" s="104" t="s">
        <v>56</v>
      </c>
      <c r="D39" s="15">
        <f>0.05*$D$30</f>
        <v>406247.08303061698</v>
      </c>
      <c r="E39" s="87" t="s">
        <v>118</v>
      </c>
      <c r="F39" s="89"/>
    </row>
    <row r="40" spans="1:6" x14ac:dyDescent="0.25">
      <c r="A40" s="9"/>
      <c r="B40" s="10"/>
      <c r="C40" s="11"/>
      <c r="D40" s="11"/>
      <c r="E40" s="102"/>
      <c r="F40" s="12"/>
    </row>
    <row r="41" spans="1:6" ht="15" x14ac:dyDescent="0.25">
      <c r="A41" s="106" t="s">
        <v>62</v>
      </c>
      <c r="B41" s="10"/>
      <c r="C41" s="104" t="s">
        <v>56</v>
      </c>
      <c r="D41" s="175">
        <f>21000000/6</f>
        <v>3500000</v>
      </c>
      <c r="E41" s="102" t="s">
        <v>100</v>
      </c>
      <c r="F41" s="12"/>
    </row>
    <row r="42" spans="1:6" ht="15" x14ac:dyDescent="0.25">
      <c r="A42" s="106" t="s">
        <v>63</v>
      </c>
      <c r="B42" s="10"/>
      <c r="C42" s="104" t="s">
        <v>56</v>
      </c>
      <c r="D42" s="82">
        <f>D41/(D7*1000)</f>
        <v>152.17391304347825</v>
      </c>
      <c r="E42" s="102" t="s">
        <v>64</v>
      </c>
      <c r="F42" s="12"/>
    </row>
    <row r="43" spans="1:6" ht="15" x14ac:dyDescent="0.25">
      <c r="A43" s="106"/>
      <c r="B43" s="10"/>
      <c r="C43" s="104"/>
      <c r="D43" s="82"/>
      <c r="E43" s="102"/>
      <c r="F43" s="12"/>
    </row>
    <row r="44" spans="1:6" ht="14.25" customHeight="1" x14ac:dyDescent="0.25">
      <c r="A44" s="24" t="s">
        <v>65</v>
      </c>
      <c r="B44" s="10"/>
      <c r="C44" s="104" t="s">
        <v>56</v>
      </c>
      <c r="D44" s="15">
        <f>0.05*D41</f>
        <v>175000</v>
      </c>
      <c r="E44" s="177" t="s">
        <v>66</v>
      </c>
      <c r="F44" s="178"/>
    </row>
    <row r="45" spans="1:6" x14ac:dyDescent="0.25">
      <c r="A45" s="9"/>
      <c r="B45" s="10"/>
      <c r="C45" s="104"/>
      <c r="D45" s="15"/>
      <c r="E45" s="102"/>
      <c r="F45" s="12"/>
    </row>
    <row r="46" spans="1:6" ht="15" x14ac:dyDescent="0.25">
      <c r="A46" s="106" t="s">
        <v>67</v>
      </c>
      <c r="B46" s="10"/>
      <c r="C46" s="104" t="s">
        <v>56</v>
      </c>
      <c r="D46" s="73">
        <f>D41+D44</f>
        <v>3675000</v>
      </c>
      <c r="E46" s="102" t="s">
        <v>103</v>
      </c>
      <c r="F46" s="12"/>
    </row>
    <row r="47" spans="1:6" ht="15" x14ac:dyDescent="0.25">
      <c r="A47" s="106" t="s">
        <v>138</v>
      </c>
      <c r="B47" s="10"/>
      <c r="C47" s="104" t="s">
        <v>56</v>
      </c>
      <c r="D47" s="82">
        <f>D46/(D7*1000)</f>
        <v>159.78260869565219</v>
      </c>
      <c r="E47" s="102" t="s">
        <v>69</v>
      </c>
      <c r="F47" s="12"/>
    </row>
    <row r="48" spans="1:6" ht="15" x14ac:dyDescent="0.25">
      <c r="A48" s="106"/>
      <c r="B48" s="10"/>
      <c r="C48" s="104"/>
      <c r="D48" s="82"/>
      <c r="E48" s="102"/>
      <c r="F48" s="12"/>
    </row>
    <row r="49" spans="1:6" x14ac:dyDescent="0.25">
      <c r="A49" s="24" t="s">
        <v>71</v>
      </c>
      <c r="B49" s="10"/>
      <c r="C49" s="104" t="s">
        <v>56</v>
      </c>
      <c r="D49" s="13">
        <v>0</v>
      </c>
      <c r="E49" s="102" t="s">
        <v>97</v>
      </c>
      <c r="F49" s="12"/>
    </row>
    <row r="50" spans="1:6" x14ac:dyDescent="0.25">
      <c r="A50" s="9"/>
      <c r="B50" s="10"/>
      <c r="C50" s="104"/>
      <c r="D50" s="11"/>
      <c r="E50" s="102"/>
      <c r="F50" s="12"/>
    </row>
    <row r="51" spans="1:6" ht="15" x14ac:dyDescent="0.25">
      <c r="A51" s="107" t="s">
        <v>73</v>
      </c>
      <c r="B51" s="34"/>
      <c r="C51" s="104" t="s">
        <v>56</v>
      </c>
      <c r="D51" s="73">
        <f>D46+D49</f>
        <v>3675000</v>
      </c>
      <c r="E51" s="36" t="s">
        <v>68</v>
      </c>
      <c r="F51" s="37"/>
    </row>
    <row r="52" spans="1:6" ht="15" x14ac:dyDescent="0.25">
      <c r="A52" s="107" t="s">
        <v>72</v>
      </c>
      <c r="B52" s="10"/>
      <c r="C52" s="104" t="s">
        <v>56</v>
      </c>
      <c r="D52" s="82">
        <f>D51/(D7*1000)</f>
        <v>159.78260869565219</v>
      </c>
      <c r="E52" s="36" t="s">
        <v>74</v>
      </c>
      <c r="F52" s="12"/>
    </row>
    <row r="53" spans="1:6" ht="15.75" thickBot="1" x14ac:dyDescent="0.3">
      <c r="A53" s="112"/>
      <c r="B53" s="39"/>
      <c r="C53" s="113"/>
      <c r="D53" s="114"/>
      <c r="E53" s="115"/>
      <c r="F53" s="41"/>
    </row>
    <row r="54" spans="1:6" ht="15" x14ac:dyDescent="0.25">
      <c r="A54" s="121"/>
      <c r="B54" s="10"/>
      <c r="C54" s="104"/>
      <c r="D54" s="82"/>
      <c r="E54" s="36"/>
      <c r="F54" s="10"/>
    </row>
    <row r="55" spans="1:6" ht="15" x14ac:dyDescent="0.25">
      <c r="A55" s="121"/>
      <c r="B55" s="10"/>
      <c r="C55" s="104"/>
      <c r="D55" s="82"/>
      <c r="E55" s="36"/>
      <c r="F55" s="10"/>
    </row>
    <row r="56" spans="1:6" ht="15" x14ac:dyDescent="0.25">
      <c r="A56" s="121"/>
      <c r="B56" s="10"/>
      <c r="C56" s="104"/>
      <c r="D56" s="82"/>
      <c r="E56" s="36"/>
      <c r="F56" s="10"/>
    </row>
    <row r="57" spans="1:6" ht="15" x14ac:dyDescent="0.25">
      <c r="A57" s="121"/>
      <c r="B57" s="10"/>
      <c r="C57" s="104"/>
      <c r="D57" s="82"/>
      <c r="E57" s="36"/>
      <c r="F57" s="10"/>
    </row>
    <row r="58" spans="1:6" ht="15" x14ac:dyDescent="0.25">
      <c r="A58" s="121"/>
      <c r="B58" s="10"/>
      <c r="C58" s="104"/>
      <c r="D58" s="82"/>
      <c r="E58" s="36"/>
      <c r="F58" s="10"/>
    </row>
    <row r="59" spans="1:6" ht="15" x14ac:dyDescent="0.25">
      <c r="A59" s="121"/>
      <c r="B59" s="10"/>
      <c r="C59" s="104"/>
      <c r="D59" s="82"/>
      <c r="E59" s="36"/>
      <c r="F59" s="10"/>
    </row>
    <row r="60" spans="1:6" ht="15" x14ac:dyDescent="0.25">
      <c r="A60" s="121"/>
      <c r="B60" s="10"/>
      <c r="C60" s="104"/>
      <c r="D60" s="82"/>
      <c r="E60" s="36"/>
      <c r="F60" s="10"/>
    </row>
    <row r="61" spans="1:6" ht="15" x14ac:dyDescent="0.25">
      <c r="A61" s="34"/>
      <c r="B61" s="10"/>
      <c r="C61" s="101"/>
      <c r="D61" s="82"/>
      <c r="E61" s="36"/>
      <c r="F61" s="10"/>
    </row>
    <row r="62" spans="1:6" ht="15.75" x14ac:dyDescent="0.25">
      <c r="A62" s="176" t="s">
        <v>131</v>
      </c>
      <c r="B62" s="176"/>
      <c r="C62" s="176"/>
      <c r="D62" s="176"/>
      <c r="E62" s="176"/>
      <c r="F62" s="176"/>
    </row>
    <row r="63" spans="1:6" ht="15.75" thickBot="1" x14ac:dyDescent="0.3">
      <c r="A63" s="34"/>
      <c r="B63" s="10"/>
      <c r="C63" s="85"/>
      <c r="D63" s="82"/>
      <c r="E63" s="84"/>
      <c r="F63" s="10"/>
    </row>
    <row r="64" spans="1:6" x14ac:dyDescent="0.25">
      <c r="A64" s="92"/>
      <c r="B64" s="93"/>
      <c r="C64" s="94"/>
      <c r="D64" s="94"/>
      <c r="E64" s="95"/>
      <c r="F64" s="96"/>
    </row>
    <row r="65" spans="1:8" ht="15" x14ac:dyDescent="0.25">
      <c r="A65" s="48" t="s">
        <v>84</v>
      </c>
      <c r="B65" s="44"/>
      <c r="C65" s="45"/>
      <c r="D65" s="45"/>
      <c r="E65" s="46"/>
      <c r="F65" s="47"/>
    </row>
    <row r="66" spans="1:8" ht="15" x14ac:dyDescent="0.25">
      <c r="A66" s="16" t="s">
        <v>109</v>
      </c>
      <c r="B66" s="17"/>
      <c r="C66" s="18"/>
      <c r="D66" s="18"/>
      <c r="E66" s="33"/>
      <c r="F66" s="19"/>
    </row>
    <row r="67" spans="1:8" ht="15" x14ac:dyDescent="0.25">
      <c r="A67" s="20"/>
      <c r="B67" s="21"/>
      <c r="C67" s="22"/>
      <c r="D67" s="22"/>
      <c r="E67" s="122"/>
      <c r="F67" s="23"/>
    </row>
    <row r="68" spans="1:8" x14ac:dyDescent="0.25">
      <c r="A68" s="24" t="s">
        <v>119</v>
      </c>
      <c r="B68" s="111"/>
      <c r="C68" s="104" t="s">
        <v>56</v>
      </c>
      <c r="D68" s="103">
        <f>1*2080*D24/(D7*1000)</f>
        <v>5.4260869565217389</v>
      </c>
      <c r="E68" s="102" t="s">
        <v>77</v>
      </c>
      <c r="F68" s="12"/>
    </row>
    <row r="69" spans="1:8" x14ac:dyDescent="0.25">
      <c r="A69" s="24" t="s">
        <v>120</v>
      </c>
      <c r="B69" s="111"/>
      <c r="C69" s="104" t="s">
        <v>56</v>
      </c>
      <c r="D69" s="103">
        <f>D30*0.01/(D8*D7*1000)</f>
        <v>2.3550555538006783</v>
      </c>
      <c r="E69" s="102" t="s">
        <v>78</v>
      </c>
      <c r="F69" s="12"/>
    </row>
    <row r="70" spans="1:8" x14ac:dyDescent="0.25">
      <c r="A70" s="24" t="s">
        <v>121</v>
      </c>
      <c r="B70" s="111"/>
      <c r="C70" s="104" t="s">
        <v>56</v>
      </c>
      <c r="D70" s="103">
        <f>0.03*(D68+0.4*D69)</f>
        <v>0.19104327534126028</v>
      </c>
      <c r="E70" s="102" t="s">
        <v>79</v>
      </c>
      <c r="F70" s="12"/>
    </row>
    <row r="71" spans="1:8" x14ac:dyDescent="0.25">
      <c r="A71" s="24"/>
      <c r="B71" s="111"/>
      <c r="C71" s="11"/>
      <c r="D71" s="103"/>
      <c r="E71" s="102"/>
      <c r="F71" s="12"/>
    </row>
    <row r="72" spans="1:8" s="2" customFormat="1" ht="15" x14ac:dyDescent="0.25">
      <c r="A72" s="107" t="s">
        <v>122</v>
      </c>
      <c r="B72" s="111"/>
      <c r="C72" s="30" t="s">
        <v>56</v>
      </c>
      <c r="D72" s="35">
        <f>D68+D69+D70</f>
        <v>7.9721857856636777</v>
      </c>
      <c r="E72" s="36" t="s">
        <v>127</v>
      </c>
      <c r="F72" s="37"/>
    </row>
    <row r="73" spans="1:8" x14ac:dyDescent="0.25">
      <c r="A73" s="24"/>
      <c r="B73" s="111"/>
      <c r="C73" s="11"/>
      <c r="D73" s="103"/>
      <c r="E73" s="102"/>
      <c r="F73" s="12"/>
    </row>
    <row r="74" spans="1:8" s="2" customFormat="1" ht="15" x14ac:dyDescent="0.25">
      <c r="A74" s="16" t="s">
        <v>76</v>
      </c>
      <c r="B74" s="17"/>
      <c r="C74" s="18"/>
      <c r="D74" s="18"/>
      <c r="E74" s="33"/>
      <c r="F74" s="19"/>
    </row>
    <row r="75" spans="1:8" s="2" customFormat="1" ht="15" x14ac:dyDescent="0.25">
      <c r="A75" s="20"/>
      <c r="B75" s="21"/>
      <c r="C75" s="22"/>
      <c r="D75" s="22"/>
      <c r="E75" s="122"/>
      <c r="F75" s="23"/>
    </row>
    <row r="76" spans="1:8" x14ac:dyDescent="0.25">
      <c r="A76" s="24" t="s">
        <v>123</v>
      </c>
      <c r="B76" s="111"/>
      <c r="C76" s="104" t="s">
        <v>56</v>
      </c>
      <c r="D76" s="103">
        <f>D17*D21/D7</f>
        <v>6.187867885503854</v>
      </c>
      <c r="E76" s="102" t="s">
        <v>80</v>
      </c>
      <c r="F76" s="12"/>
    </row>
    <row r="77" spans="1:8" ht="13.9" customHeight="1" x14ac:dyDescent="0.25">
      <c r="A77" s="24" t="s">
        <v>126</v>
      </c>
      <c r="B77" s="111"/>
      <c r="C77" s="104" t="s">
        <v>56</v>
      </c>
      <c r="D77" s="118">
        <f>(D18+D19)*D22/D7</f>
        <v>1.3880026863923094</v>
      </c>
      <c r="E77" s="119" t="s">
        <v>81</v>
      </c>
      <c r="F77" s="120"/>
      <c r="H77" s="76"/>
    </row>
    <row r="78" spans="1:8" x14ac:dyDescent="0.25">
      <c r="A78" s="24" t="s">
        <v>124</v>
      </c>
      <c r="B78" s="111"/>
      <c r="C78" s="104" t="s">
        <v>56</v>
      </c>
      <c r="D78" s="75">
        <f>D20*D23*10</f>
        <v>0.57625377204248751</v>
      </c>
      <c r="E78" s="177" t="s">
        <v>82</v>
      </c>
      <c r="F78" s="178"/>
    </row>
    <row r="79" spans="1:8" x14ac:dyDescent="0.25">
      <c r="A79" s="9"/>
      <c r="B79" s="10"/>
      <c r="C79" s="11"/>
      <c r="D79" s="103"/>
      <c r="E79" s="102"/>
      <c r="F79" s="12"/>
    </row>
    <row r="80" spans="1:8" ht="15" x14ac:dyDescent="0.25">
      <c r="A80" s="107" t="s">
        <v>125</v>
      </c>
      <c r="B80" s="34"/>
      <c r="C80" s="30" t="s">
        <v>56</v>
      </c>
      <c r="D80" s="77">
        <f>D76+D77+D78</f>
        <v>8.1521243439386506</v>
      </c>
      <c r="E80" s="36" t="s">
        <v>128</v>
      </c>
      <c r="F80" s="12"/>
    </row>
    <row r="81" spans="1:6" ht="15" thickBot="1" x14ac:dyDescent="0.3">
      <c r="A81" s="38"/>
      <c r="B81" s="39"/>
      <c r="C81" s="40"/>
      <c r="D81" s="40"/>
      <c r="E81" s="40"/>
      <c r="F81" s="41"/>
    </row>
    <row r="82" spans="1:6" ht="15" x14ac:dyDescent="0.25">
      <c r="A82" s="49" t="s">
        <v>89</v>
      </c>
      <c r="B82" s="50"/>
      <c r="C82" s="51"/>
      <c r="D82" s="51"/>
      <c r="E82" s="52"/>
      <c r="F82" s="53"/>
    </row>
    <row r="83" spans="1:6" x14ac:dyDescent="0.25">
      <c r="A83" s="54"/>
      <c r="B83" s="55"/>
      <c r="C83" s="11"/>
      <c r="D83" s="11"/>
      <c r="E83" s="11"/>
      <c r="F83" s="12"/>
    </row>
    <row r="84" spans="1:6" x14ac:dyDescent="0.25">
      <c r="A84" s="24" t="s">
        <v>104</v>
      </c>
      <c r="B84" s="10"/>
      <c r="C84" s="104" t="s">
        <v>56</v>
      </c>
      <c r="D84" s="71">
        <f>0.6*D72*D7*1000</f>
        <v>110016.16384215874</v>
      </c>
      <c r="E84" s="102" t="s">
        <v>105</v>
      </c>
      <c r="F84" s="12"/>
    </row>
    <row r="85" spans="1:6" x14ac:dyDescent="0.25">
      <c r="A85" s="24" t="s">
        <v>85</v>
      </c>
      <c r="B85" s="10"/>
      <c r="C85" s="104" t="s">
        <v>56</v>
      </c>
      <c r="D85" s="71">
        <f>0.02*D51</f>
        <v>73500</v>
      </c>
      <c r="E85" s="102" t="s">
        <v>105</v>
      </c>
      <c r="F85" s="12"/>
    </row>
    <row r="86" spans="1:6" x14ac:dyDescent="0.25">
      <c r="A86" s="24" t="s">
        <v>87</v>
      </c>
      <c r="B86" s="10"/>
      <c r="C86" s="104" t="s">
        <v>56</v>
      </c>
      <c r="D86" s="71">
        <f>0.01*D51</f>
        <v>36750</v>
      </c>
      <c r="E86" s="102" t="s">
        <v>105</v>
      </c>
      <c r="F86" s="12"/>
    </row>
    <row r="87" spans="1:6" x14ac:dyDescent="0.25">
      <c r="A87" s="24" t="s">
        <v>86</v>
      </c>
      <c r="B87" s="10"/>
      <c r="C87" s="104" t="s">
        <v>56</v>
      </c>
      <c r="D87" s="71">
        <f>0.01*D51</f>
        <v>36750</v>
      </c>
      <c r="E87" s="102" t="s">
        <v>105</v>
      </c>
      <c r="F87" s="12"/>
    </row>
    <row r="88" spans="1:6" ht="16.5" x14ac:dyDescent="0.25">
      <c r="A88" s="24" t="s">
        <v>129</v>
      </c>
      <c r="B88" s="10"/>
      <c r="C88" s="10"/>
      <c r="D88" s="10"/>
      <c r="E88" s="10"/>
      <c r="F88" s="12"/>
    </row>
    <row r="89" spans="1:6" x14ac:dyDescent="0.25">
      <c r="A89" s="105" t="s">
        <v>135</v>
      </c>
      <c r="B89" s="102">
        <v>5</v>
      </c>
      <c r="C89" s="104"/>
      <c r="D89" s="71"/>
      <c r="E89" s="102"/>
      <c r="F89" s="12"/>
    </row>
    <row r="90" spans="1:6" x14ac:dyDescent="0.25">
      <c r="A90" s="105" t="s">
        <v>136</v>
      </c>
      <c r="B90" s="102">
        <v>15</v>
      </c>
      <c r="C90" s="104"/>
      <c r="D90" s="71"/>
      <c r="E90" s="102"/>
      <c r="F90" s="12"/>
    </row>
    <row r="91" spans="1:6" x14ac:dyDescent="0.25">
      <c r="A91" s="24" t="s">
        <v>130</v>
      </c>
      <c r="B91" s="97">
        <f>((B89/100)*((1+(B89/100))^B90))/(((1+(B89/100))^B90)-1)</f>
        <v>9.6342287609244348E-2</v>
      </c>
      <c r="C91" s="104" t="s">
        <v>56</v>
      </c>
      <c r="D91" s="71">
        <f>B91*D51</f>
        <v>354057.90696397296</v>
      </c>
      <c r="E91" s="102" t="s">
        <v>105</v>
      </c>
      <c r="F91" s="12"/>
    </row>
    <row r="92" spans="1:6" x14ac:dyDescent="0.25">
      <c r="A92" s="54"/>
      <c r="B92" s="10"/>
      <c r="C92" s="11"/>
      <c r="D92" s="71"/>
      <c r="E92" s="11"/>
      <c r="F92" s="12"/>
    </row>
    <row r="93" spans="1:6" ht="15" x14ac:dyDescent="0.25">
      <c r="A93" s="106" t="s">
        <v>88</v>
      </c>
      <c r="B93" s="10"/>
      <c r="C93" s="104" t="s">
        <v>56</v>
      </c>
      <c r="D93" s="60">
        <f>SUM(D84:D91)</f>
        <v>611074.0708061317</v>
      </c>
      <c r="E93" s="11"/>
      <c r="F93" s="12"/>
    </row>
    <row r="94" spans="1:6" x14ac:dyDescent="0.25">
      <c r="A94" s="108"/>
      <c r="B94" s="10"/>
      <c r="C94" s="11"/>
      <c r="D94" s="56"/>
      <c r="E94" s="11"/>
      <c r="F94" s="12"/>
    </row>
    <row r="95" spans="1:6" ht="15" x14ac:dyDescent="0.25">
      <c r="A95" s="106" t="s">
        <v>95</v>
      </c>
      <c r="B95" s="34"/>
      <c r="C95" s="30" t="s">
        <v>56</v>
      </c>
      <c r="D95" s="60">
        <f>D72*D7*1000+D80*D7*8760+D93</f>
        <v>2436924.3566931561</v>
      </c>
      <c r="E95" s="11"/>
      <c r="F95" s="12"/>
    </row>
    <row r="96" spans="1:6" ht="15.75" thickBot="1" x14ac:dyDescent="0.3">
      <c r="A96" s="109"/>
      <c r="B96" s="59"/>
      <c r="C96" s="40"/>
      <c r="D96" s="40"/>
      <c r="E96" s="40"/>
      <c r="F96" s="41"/>
    </row>
    <row r="97" spans="1:6" x14ac:dyDescent="0.25">
      <c r="A97" s="110"/>
      <c r="B97" s="62"/>
      <c r="C97" s="31"/>
      <c r="D97" s="31"/>
      <c r="E97" s="31"/>
      <c r="F97" s="32"/>
    </row>
    <row r="98" spans="1:6" x14ac:dyDescent="0.2">
      <c r="A98" s="24" t="s">
        <v>90</v>
      </c>
      <c r="B98" s="10"/>
      <c r="C98" s="104" t="s">
        <v>56</v>
      </c>
      <c r="D98" s="63">
        <v>584.6</v>
      </c>
      <c r="E98" s="11"/>
      <c r="F98" s="12"/>
    </row>
    <row r="99" spans="1:6" x14ac:dyDescent="0.2">
      <c r="A99" s="24" t="s">
        <v>102</v>
      </c>
      <c r="B99" s="10"/>
      <c r="C99" s="104" t="s">
        <v>56</v>
      </c>
      <c r="D99" s="64">
        <v>536.4</v>
      </c>
      <c r="E99" s="11"/>
      <c r="F99" s="12"/>
    </row>
    <row r="100" spans="1:6" x14ac:dyDescent="0.25">
      <c r="A100" s="24"/>
      <c r="B100" s="10"/>
      <c r="C100" s="11"/>
      <c r="D100" s="11"/>
      <c r="E100" s="11"/>
      <c r="F100" s="12"/>
    </row>
    <row r="101" spans="1:6" ht="15" x14ac:dyDescent="0.25">
      <c r="A101" s="107" t="s">
        <v>101</v>
      </c>
      <c r="B101" s="34"/>
      <c r="C101" s="30" t="s">
        <v>56</v>
      </c>
      <c r="D101" s="73">
        <f>D95*D99/D98</f>
        <v>2236001.0689876992</v>
      </c>
      <c r="E101" s="11"/>
      <c r="F101" s="12"/>
    </row>
    <row r="102" spans="1:6" ht="15.75" thickBot="1" x14ac:dyDescent="0.3">
      <c r="A102" s="58"/>
      <c r="B102" s="39"/>
      <c r="C102" s="40"/>
      <c r="D102" s="59"/>
      <c r="E102" s="40"/>
      <c r="F102" s="41"/>
    </row>
    <row r="103" spans="1:6" x14ac:dyDescent="0.25">
      <c r="A103" s="65"/>
      <c r="B103" s="10"/>
      <c r="C103" s="11"/>
      <c r="D103" s="66"/>
      <c r="E103" s="11"/>
      <c r="F103" s="12"/>
    </row>
    <row r="104" spans="1:6" ht="18.75" x14ac:dyDescent="0.25">
      <c r="A104" s="24" t="s">
        <v>92</v>
      </c>
      <c r="B104" s="69"/>
      <c r="C104" s="104" t="s">
        <v>56</v>
      </c>
      <c r="D104" s="174">
        <f>(E105/6)*E104*D10/2000</f>
        <v>245.5488</v>
      </c>
      <c r="E104" s="172">
        <v>15.12</v>
      </c>
      <c r="F104" s="12" t="s">
        <v>227</v>
      </c>
    </row>
    <row r="105" spans="1:6" ht="18.75" x14ac:dyDescent="0.25">
      <c r="A105" s="24" t="s">
        <v>91</v>
      </c>
      <c r="B105" s="10"/>
      <c r="C105" s="104" t="s">
        <v>56</v>
      </c>
      <c r="D105" s="78">
        <f>D14</f>
        <v>80</v>
      </c>
      <c r="E105" s="173">
        <v>336000</v>
      </c>
      <c r="F105" s="12" t="s">
        <v>226</v>
      </c>
    </row>
    <row r="106" spans="1:6" ht="18.75" x14ac:dyDescent="0.25">
      <c r="A106" s="24" t="s">
        <v>93</v>
      </c>
      <c r="B106" s="10"/>
      <c r="C106" s="104" t="s">
        <v>56</v>
      </c>
      <c r="D106" s="67">
        <f>D104*D105/100</f>
        <v>196.43903999999998</v>
      </c>
      <c r="E106" s="11"/>
      <c r="F106" s="12"/>
    </row>
    <row r="107" spans="1:6" x14ac:dyDescent="0.25">
      <c r="A107" s="24"/>
      <c r="B107" s="10"/>
      <c r="C107" s="104"/>
      <c r="D107" s="67"/>
      <c r="E107" s="11"/>
      <c r="F107" s="12"/>
    </row>
    <row r="108" spans="1:6" ht="16.5" x14ac:dyDescent="0.25">
      <c r="A108" s="107" t="s">
        <v>94</v>
      </c>
      <c r="B108" s="70"/>
      <c r="C108" s="104" t="s">
        <v>56</v>
      </c>
      <c r="D108" s="72">
        <f>D101/D106</f>
        <v>11382.671535086403</v>
      </c>
      <c r="E108" s="11"/>
      <c r="F108" s="12"/>
    </row>
    <row r="109" spans="1:6" ht="15" thickBot="1" x14ac:dyDescent="0.3">
      <c r="A109" s="68"/>
      <c r="B109" s="39"/>
      <c r="C109" s="40"/>
      <c r="D109" s="61"/>
      <c r="E109" s="40"/>
      <c r="F109" s="41"/>
    </row>
  </sheetData>
  <mergeCells count="24">
    <mergeCell ref="E10:F10"/>
    <mergeCell ref="E15:F15"/>
    <mergeCell ref="E16:F16"/>
    <mergeCell ref="E17:F17"/>
    <mergeCell ref="E18:F18"/>
    <mergeCell ref="A4:F4"/>
    <mergeCell ref="E6:F6"/>
    <mergeCell ref="E7:F7"/>
    <mergeCell ref="E8:F8"/>
    <mergeCell ref="E9:F9"/>
    <mergeCell ref="A62:F62"/>
    <mergeCell ref="E78:F78"/>
    <mergeCell ref="E44:F44"/>
    <mergeCell ref="E11:F11"/>
    <mergeCell ref="E12:F12"/>
    <mergeCell ref="E13:F13"/>
    <mergeCell ref="E14:F14"/>
    <mergeCell ref="E21:F21"/>
    <mergeCell ref="E23:F23"/>
    <mergeCell ref="E24:F24"/>
    <mergeCell ref="E22:F22"/>
    <mergeCell ref="E19:F19"/>
    <mergeCell ref="E20:F20"/>
    <mergeCell ref="A25:F25"/>
  </mergeCells>
  <pageMargins left="0.7" right="0.7" top="0.34875" bottom="0.75" header="0.3" footer="0.3"/>
  <pageSetup scale="44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116"/>
  <sheetViews>
    <sheetView tabSelected="1" view="pageLayout" topLeftCell="A97" zoomScale="85" zoomScaleNormal="100" zoomScalePageLayoutView="85" workbookViewId="0">
      <selection activeCell="D12" sqref="D12"/>
    </sheetView>
  </sheetViews>
  <sheetFormatPr defaultColWidth="8.85546875" defaultRowHeight="14.25" x14ac:dyDescent="0.25"/>
  <cols>
    <col min="1" max="1" width="38.140625" style="1" customWidth="1"/>
    <col min="2" max="2" width="40.7109375" style="1" customWidth="1"/>
    <col min="3" max="3" width="13.28515625" style="3" customWidth="1"/>
    <col min="4" max="4" width="18" style="3" customWidth="1"/>
    <col min="5" max="5" width="16.42578125" style="3" customWidth="1"/>
    <col min="6" max="6" width="89.5703125" style="1" customWidth="1"/>
    <col min="7" max="7" width="11" style="1" bestFit="1" customWidth="1"/>
    <col min="8" max="8" width="14.28515625" style="1" bestFit="1" customWidth="1"/>
    <col min="9" max="16384" width="8.85546875" style="1"/>
  </cols>
  <sheetData>
    <row r="5" spans="1:7" ht="15.75" x14ac:dyDescent="0.25">
      <c r="A5" s="176" t="s">
        <v>141</v>
      </c>
      <c r="B5" s="176"/>
      <c r="C5" s="176"/>
      <c r="D5" s="176"/>
      <c r="E5" s="176"/>
      <c r="F5" s="176"/>
      <c r="G5" s="10"/>
    </row>
    <row r="6" spans="1:7" ht="15" thickBot="1" x14ac:dyDescent="0.3">
      <c r="A6" s="10"/>
      <c r="B6" s="10"/>
      <c r="C6" s="11"/>
      <c r="D6" s="11"/>
      <c r="E6" s="11"/>
      <c r="F6" s="10"/>
      <c r="G6" s="10"/>
    </row>
    <row r="7" spans="1:7" s="2" customFormat="1" ht="15" x14ac:dyDescent="0.25">
      <c r="A7" s="90" t="s">
        <v>0</v>
      </c>
      <c r="B7" s="91" t="s">
        <v>1</v>
      </c>
      <c r="C7" s="91" t="s">
        <v>2</v>
      </c>
      <c r="D7" s="91" t="s">
        <v>3</v>
      </c>
      <c r="E7" s="190" t="s">
        <v>4</v>
      </c>
      <c r="F7" s="191"/>
    </row>
    <row r="8" spans="1:7" ht="15" x14ac:dyDescent="0.25">
      <c r="A8" s="42" t="s">
        <v>32</v>
      </c>
      <c r="B8" s="5" t="s">
        <v>5</v>
      </c>
      <c r="C8" s="5" t="s">
        <v>23</v>
      </c>
      <c r="D8" s="79">
        <v>138</v>
      </c>
      <c r="E8" s="179" t="s">
        <v>142</v>
      </c>
      <c r="F8" s="180"/>
    </row>
    <row r="9" spans="1:7" ht="15" x14ac:dyDescent="0.25">
      <c r="A9" s="42" t="s">
        <v>38</v>
      </c>
      <c r="B9" s="5" t="s">
        <v>6</v>
      </c>
      <c r="C9" s="5"/>
      <c r="D9" s="86">
        <v>1.5</v>
      </c>
      <c r="E9" s="192" t="s">
        <v>133</v>
      </c>
      <c r="F9" s="193"/>
    </row>
    <row r="10" spans="1:7" ht="15" x14ac:dyDescent="0.25">
      <c r="A10" s="42" t="s">
        <v>39</v>
      </c>
      <c r="B10" s="5" t="s">
        <v>7</v>
      </c>
      <c r="C10" s="5" t="s">
        <v>24</v>
      </c>
      <c r="D10" s="80">
        <v>10000</v>
      </c>
      <c r="E10" s="179" t="s">
        <v>33</v>
      </c>
      <c r="F10" s="180"/>
    </row>
    <row r="11" spans="1:7" ht="15" x14ac:dyDescent="0.25">
      <c r="A11" s="42" t="s">
        <v>40</v>
      </c>
      <c r="B11" s="5" t="s">
        <v>22</v>
      </c>
      <c r="C11" s="5" t="s">
        <v>25</v>
      </c>
      <c r="D11" s="81">
        <v>0.57999999999999996</v>
      </c>
      <c r="E11" s="179" t="s">
        <v>143</v>
      </c>
      <c r="F11" s="180"/>
    </row>
    <row r="12" spans="1:7" x14ac:dyDescent="0.25">
      <c r="A12" s="42" t="s">
        <v>41</v>
      </c>
      <c r="B12" s="5" t="s">
        <v>8</v>
      </c>
      <c r="C12" s="5"/>
      <c r="D12" s="5" t="s">
        <v>46</v>
      </c>
      <c r="E12" s="179" t="s">
        <v>33</v>
      </c>
      <c r="F12" s="180"/>
    </row>
    <row r="13" spans="1:7" x14ac:dyDescent="0.25">
      <c r="A13" s="42" t="s">
        <v>144</v>
      </c>
      <c r="B13" s="5" t="s">
        <v>9</v>
      </c>
      <c r="C13" s="5"/>
      <c r="D13" s="5">
        <v>1.05</v>
      </c>
      <c r="E13" s="179" t="s">
        <v>145</v>
      </c>
      <c r="F13" s="180"/>
    </row>
    <row r="14" spans="1:7" x14ac:dyDescent="0.25">
      <c r="A14" s="42" t="s">
        <v>146</v>
      </c>
      <c r="B14" s="5" t="s">
        <v>10</v>
      </c>
      <c r="C14" s="5"/>
      <c r="D14" s="5">
        <f>D10/10000</f>
        <v>1</v>
      </c>
      <c r="E14" s="196" t="s">
        <v>147</v>
      </c>
      <c r="F14" s="197"/>
    </row>
    <row r="15" spans="1:7" x14ac:dyDescent="0.25">
      <c r="A15" s="42" t="s">
        <v>47</v>
      </c>
      <c r="B15" s="5" t="s">
        <v>11</v>
      </c>
      <c r="C15" s="5" t="s">
        <v>27</v>
      </c>
      <c r="D15" s="6">
        <f>D8*D10*1000</f>
        <v>1380000000</v>
      </c>
      <c r="E15" s="179" t="s">
        <v>148</v>
      </c>
      <c r="F15" s="180"/>
    </row>
    <row r="16" spans="1:7" x14ac:dyDescent="0.25">
      <c r="A16" s="42" t="s">
        <v>149</v>
      </c>
      <c r="B16" s="5" t="s">
        <v>13</v>
      </c>
      <c r="C16" s="5" t="s">
        <v>28</v>
      </c>
      <c r="D16" s="7">
        <f>(0.6702*(D11^2)+13.42*D11)*D8*D14/2000</f>
        <v>0.55262481431999999</v>
      </c>
      <c r="E16" s="179" t="s">
        <v>150</v>
      </c>
      <c r="F16" s="180"/>
    </row>
    <row r="17" spans="1:6" x14ac:dyDescent="0.25">
      <c r="A17" s="42" t="s">
        <v>151</v>
      </c>
      <c r="B17" s="5" t="s">
        <v>152</v>
      </c>
      <c r="C17" s="5" t="s">
        <v>28</v>
      </c>
      <c r="D17" s="74">
        <f>(0.8016*(D11^2)+31.1917*D11)*D8*D14/2000</f>
        <v>1.2668982525599999</v>
      </c>
      <c r="E17" s="181" t="s">
        <v>153</v>
      </c>
      <c r="F17" s="182"/>
    </row>
    <row r="18" spans="1:6" ht="15" x14ac:dyDescent="0.25">
      <c r="A18" s="88" t="s">
        <v>99</v>
      </c>
      <c r="B18" s="4" t="s">
        <v>14</v>
      </c>
      <c r="C18" s="4" t="s">
        <v>26</v>
      </c>
      <c r="D18" s="130">
        <f>(0.000547*(D11^2)+0.00649*D11+1.3)*D13*D14</f>
        <v>1.3691456213400002</v>
      </c>
      <c r="E18" s="179" t="s">
        <v>154</v>
      </c>
      <c r="F18" s="180"/>
    </row>
    <row r="19" spans="1:6" x14ac:dyDescent="0.25">
      <c r="A19" s="43" t="s">
        <v>155</v>
      </c>
      <c r="B19" s="5" t="s">
        <v>15</v>
      </c>
      <c r="C19" s="5" t="s">
        <v>156</v>
      </c>
      <c r="D19" s="74">
        <f>(0.04898*(D11^2)+0.5925*D11+55.11)*D8*D13*D14/1000</f>
        <v>8.0376213837528017</v>
      </c>
      <c r="E19" s="128" t="s">
        <v>157</v>
      </c>
      <c r="F19" s="129"/>
    </row>
    <row r="20" spans="1:6" ht="15" x14ac:dyDescent="0.25">
      <c r="A20" s="42" t="s">
        <v>158</v>
      </c>
      <c r="B20" s="5" t="s">
        <v>16</v>
      </c>
      <c r="C20" s="5" t="s">
        <v>29</v>
      </c>
      <c r="D20" s="79">
        <v>80</v>
      </c>
      <c r="E20" s="183" t="s">
        <v>159</v>
      </c>
      <c r="F20" s="184"/>
    </row>
    <row r="21" spans="1:6" ht="15" x14ac:dyDescent="0.25">
      <c r="A21" s="42" t="s">
        <v>52</v>
      </c>
      <c r="B21" s="5" t="s">
        <v>17</v>
      </c>
      <c r="C21" s="5" t="s">
        <v>29</v>
      </c>
      <c r="D21" s="79">
        <v>30</v>
      </c>
      <c r="E21" s="183" t="s">
        <v>159</v>
      </c>
      <c r="F21" s="184"/>
    </row>
    <row r="22" spans="1:6" ht="15" x14ac:dyDescent="0.25">
      <c r="A22" s="42" t="s">
        <v>53</v>
      </c>
      <c r="B22" s="5" t="s">
        <v>18</v>
      </c>
      <c r="C22" s="5" t="s">
        <v>30</v>
      </c>
      <c r="D22" s="81">
        <v>0.21</v>
      </c>
      <c r="E22" s="183" t="s">
        <v>140</v>
      </c>
      <c r="F22" s="184"/>
    </row>
    <row r="23" spans="1:6" ht="15" x14ac:dyDescent="0.25">
      <c r="A23" s="98" t="s">
        <v>160</v>
      </c>
      <c r="B23" s="99" t="s">
        <v>19</v>
      </c>
      <c r="C23" s="99" t="s">
        <v>161</v>
      </c>
      <c r="D23" s="131">
        <v>7.17</v>
      </c>
      <c r="E23" s="183" t="s">
        <v>162</v>
      </c>
      <c r="F23" s="184"/>
    </row>
    <row r="24" spans="1:6" ht="15" thickBot="1" x14ac:dyDescent="0.3">
      <c r="A24" s="132" t="s">
        <v>54</v>
      </c>
      <c r="B24" s="133" t="s">
        <v>20</v>
      </c>
      <c r="C24" s="133" t="s">
        <v>31</v>
      </c>
      <c r="D24" s="134">
        <v>60</v>
      </c>
      <c r="E24" s="194" t="s">
        <v>163</v>
      </c>
      <c r="F24" s="195"/>
    </row>
    <row r="25" spans="1:6" ht="37.5" customHeight="1" thickBot="1" x14ac:dyDescent="0.3">
      <c r="A25" s="187" t="s">
        <v>164</v>
      </c>
      <c r="B25" s="188"/>
      <c r="C25" s="188"/>
      <c r="D25" s="188"/>
      <c r="E25" s="188"/>
      <c r="F25" s="189"/>
    </row>
    <row r="26" spans="1:6" ht="15.75" thickBot="1" x14ac:dyDescent="0.3">
      <c r="A26" s="26" t="s">
        <v>83</v>
      </c>
      <c r="B26" s="27"/>
      <c r="C26" s="28"/>
      <c r="D26" s="28"/>
      <c r="E26" s="116" t="s">
        <v>57</v>
      </c>
      <c r="F26" s="29"/>
    </row>
    <row r="27" spans="1:6" ht="15" x14ac:dyDescent="0.25">
      <c r="A27" s="135"/>
      <c r="B27" s="136"/>
      <c r="C27" s="137"/>
      <c r="D27" s="137"/>
      <c r="E27" s="138"/>
      <c r="F27" s="139"/>
    </row>
    <row r="28" spans="1:6" x14ac:dyDescent="0.25">
      <c r="A28" s="24" t="s">
        <v>134</v>
      </c>
      <c r="B28" s="10"/>
      <c r="C28" s="11"/>
      <c r="D28" s="11"/>
      <c r="E28" s="11"/>
      <c r="F28" s="12"/>
    </row>
    <row r="29" spans="1:6" x14ac:dyDescent="0.25">
      <c r="A29" s="24"/>
      <c r="B29" s="10"/>
      <c r="C29" s="11"/>
      <c r="D29" s="11"/>
      <c r="E29" s="11"/>
      <c r="F29" s="12"/>
    </row>
    <row r="30" spans="1:6" x14ac:dyDescent="0.25">
      <c r="A30" s="24" t="s">
        <v>165</v>
      </c>
      <c r="B30" s="10"/>
      <c r="C30" s="11" t="s">
        <v>56</v>
      </c>
      <c r="D30" s="13">
        <f>IF(D8&gt;600,(D8*92000),(566000*D8^0.716))*D9*(D13*D14)^0.6*(D11/4)^0.01</f>
        <v>29200371.419458613</v>
      </c>
      <c r="E30" s="124" t="s">
        <v>166</v>
      </c>
      <c r="F30" s="12"/>
    </row>
    <row r="31" spans="1:6" x14ac:dyDescent="0.25">
      <c r="A31" s="24"/>
      <c r="B31" s="10"/>
      <c r="C31" s="11"/>
      <c r="D31" s="11"/>
      <c r="E31" s="11"/>
      <c r="F31" s="12"/>
    </row>
    <row r="32" spans="1:6" x14ac:dyDescent="0.25">
      <c r="A32" s="24" t="s">
        <v>167</v>
      </c>
      <c r="B32" s="10"/>
      <c r="C32" s="11" t="s">
        <v>56</v>
      </c>
      <c r="D32" s="13">
        <f>IF(D8&gt;600,D8*48700,300000*(D8^0.716)*D9*(D11*D14)^0.2)</f>
        <v>13742050.442268882</v>
      </c>
      <c r="E32" s="124" t="s">
        <v>168</v>
      </c>
      <c r="F32" s="12"/>
    </row>
    <row r="33" spans="1:6" x14ac:dyDescent="0.25">
      <c r="A33" s="24"/>
      <c r="B33" s="10"/>
      <c r="C33" s="11"/>
      <c r="D33" s="11"/>
      <c r="E33" s="11"/>
      <c r="F33" s="12"/>
    </row>
    <row r="34" spans="1:6" x14ac:dyDescent="0.25">
      <c r="A34" s="24" t="s">
        <v>169</v>
      </c>
      <c r="B34" s="10"/>
      <c r="C34" s="11" t="s">
        <v>56</v>
      </c>
      <c r="D34" s="13">
        <f>IF(D8&gt;600,D8*129900,799000*(D8^0.716)*D9*(D13*D14)^0.4)</f>
        <v>41616656.30723758</v>
      </c>
      <c r="E34" s="124" t="s">
        <v>170</v>
      </c>
      <c r="F34" s="12"/>
    </row>
    <row r="35" spans="1:6" x14ac:dyDescent="0.25">
      <c r="A35" s="24"/>
      <c r="B35" s="10"/>
      <c r="C35" s="11"/>
      <c r="D35" s="11"/>
      <c r="E35" s="124"/>
      <c r="F35" s="12"/>
    </row>
    <row r="36" spans="1:6" x14ac:dyDescent="0.25">
      <c r="A36" s="24" t="s">
        <v>55</v>
      </c>
      <c r="B36" s="10"/>
      <c r="C36" s="125" t="s">
        <v>56</v>
      </c>
      <c r="D36" s="13">
        <f>D30+D32+D34</f>
        <v>84559078.168965071</v>
      </c>
      <c r="E36" s="124" t="s">
        <v>58</v>
      </c>
      <c r="F36" s="12"/>
    </row>
    <row r="37" spans="1:6" x14ac:dyDescent="0.25">
      <c r="A37" s="24" t="s">
        <v>59</v>
      </c>
      <c r="B37" s="10"/>
      <c r="C37" s="125" t="s">
        <v>56</v>
      </c>
      <c r="D37" s="13">
        <f>D36/(D8*1000)</f>
        <v>612.74694325337009</v>
      </c>
      <c r="E37" s="124" t="s">
        <v>60</v>
      </c>
      <c r="F37" s="12"/>
    </row>
    <row r="38" spans="1:6" x14ac:dyDescent="0.25">
      <c r="A38" s="9"/>
      <c r="B38" s="10"/>
      <c r="C38" s="11"/>
      <c r="D38" s="11"/>
      <c r="E38" s="124"/>
      <c r="F38" s="12"/>
    </row>
    <row r="39" spans="1:6" ht="15" x14ac:dyDescent="0.25">
      <c r="A39" s="14" t="s">
        <v>61</v>
      </c>
      <c r="B39" s="10"/>
      <c r="C39" s="11"/>
      <c r="D39" s="11"/>
      <c r="E39" s="124"/>
      <c r="F39" s="12"/>
    </row>
    <row r="40" spans="1:6" ht="15" x14ac:dyDescent="0.25">
      <c r="A40" s="14"/>
      <c r="B40" s="10"/>
      <c r="C40" s="11"/>
      <c r="D40" s="11"/>
      <c r="E40" s="124"/>
      <c r="F40" s="12"/>
    </row>
    <row r="41" spans="1:6" x14ac:dyDescent="0.25">
      <c r="A41" s="24" t="s">
        <v>106</v>
      </c>
      <c r="B41" s="10"/>
      <c r="C41" s="125" t="s">
        <v>56</v>
      </c>
      <c r="D41" s="15">
        <f>0.1*$D$36</f>
        <v>8455907.8168965075</v>
      </c>
      <c r="E41" s="87" t="s">
        <v>116</v>
      </c>
      <c r="F41" s="12"/>
    </row>
    <row r="42" spans="1:6" x14ac:dyDescent="0.25">
      <c r="A42" s="24" t="s">
        <v>107</v>
      </c>
      <c r="B42" s="10"/>
      <c r="C42" s="125" t="s">
        <v>56</v>
      </c>
      <c r="D42" s="15">
        <f>0.1*$D$36</f>
        <v>8455907.8168965075</v>
      </c>
      <c r="E42" s="87" t="s">
        <v>117</v>
      </c>
      <c r="F42" s="12"/>
    </row>
    <row r="43" spans="1:6" x14ac:dyDescent="0.25">
      <c r="A43" s="24" t="s">
        <v>108</v>
      </c>
      <c r="B43" s="10"/>
      <c r="C43" s="125" t="s">
        <v>56</v>
      </c>
      <c r="D43" s="15">
        <f>0.1*$D$36</f>
        <v>8455907.8168965075</v>
      </c>
      <c r="E43" s="87" t="s">
        <v>118</v>
      </c>
      <c r="F43" s="12"/>
    </row>
    <row r="44" spans="1:6" x14ac:dyDescent="0.25">
      <c r="A44" s="9"/>
      <c r="B44" s="10"/>
      <c r="C44" s="11"/>
      <c r="D44" s="11"/>
      <c r="E44" s="124"/>
      <c r="F44" s="12"/>
    </row>
    <row r="45" spans="1:6" ht="15" x14ac:dyDescent="0.25">
      <c r="A45" s="107" t="s">
        <v>62</v>
      </c>
      <c r="B45" s="10"/>
      <c r="C45" s="125" t="s">
        <v>56</v>
      </c>
      <c r="D45" s="73">
        <f>D36+D41+D42+D43</f>
        <v>109926801.61965461</v>
      </c>
      <c r="E45" s="124" t="s">
        <v>100</v>
      </c>
      <c r="F45" s="12"/>
    </row>
    <row r="46" spans="1:6" ht="15" x14ac:dyDescent="0.25">
      <c r="A46" s="107" t="s">
        <v>63</v>
      </c>
      <c r="B46" s="10"/>
      <c r="C46" s="125" t="s">
        <v>56</v>
      </c>
      <c r="D46" s="82">
        <f>D45/(D8*1000)</f>
        <v>796.57102622938123</v>
      </c>
      <c r="E46" s="124" t="s">
        <v>64</v>
      </c>
      <c r="F46" s="12"/>
    </row>
    <row r="47" spans="1:6" ht="15" x14ac:dyDescent="0.25">
      <c r="A47" s="14"/>
      <c r="B47" s="10"/>
      <c r="C47" s="125"/>
      <c r="D47" s="82"/>
      <c r="E47" s="124"/>
      <c r="F47" s="12"/>
    </row>
    <row r="48" spans="1:6" ht="14.25" customHeight="1" x14ac:dyDescent="0.25">
      <c r="A48" s="24" t="s">
        <v>65</v>
      </c>
      <c r="B48" s="10"/>
      <c r="C48" s="125" t="s">
        <v>56</v>
      </c>
      <c r="D48" s="15">
        <f>0.05*D45</f>
        <v>5496340.0809827307</v>
      </c>
      <c r="E48" s="177" t="s">
        <v>66</v>
      </c>
      <c r="F48" s="178"/>
    </row>
    <row r="49" spans="1:6" x14ac:dyDescent="0.25">
      <c r="A49" s="9"/>
      <c r="B49" s="10"/>
      <c r="C49" s="125"/>
      <c r="D49" s="15"/>
      <c r="E49" s="124"/>
      <c r="F49" s="12"/>
    </row>
    <row r="50" spans="1:6" ht="15" x14ac:dyDescent="0.25">
      <c r="A50" s="107" t="s">
        <v>67</v>
      </c>
      <c r="B50" s="10"/>
      <c r="C50" s="125" t="s">
        <v>56</v>
      </c>
      <c r="D50" s="73">
        <f>D45+D48</f>
        <v>115423141.70063734</v>
      </c>
      <c r="E50" s="124" t="s">
        <v>103</v>
      </c>
      <c r="F50" s="12"/>
    </row>
    <row r="51" spans="1:6" ht="15" x14ac:dyDescent="0.25">
      <c r="A51" s="107" t="s">
        <v>70</v>
      </c>
      <c r="B51" s="10"/>
      <c r="C51" s="125" t="s">
        <v>56</v>
      </c>
      <c r="D51" s="82">
        <f>D50/(D8*1000)</f>
        <v>836.39957754085026</v>
      </c>
      <c r="E51" s="124" t="s">
        <v>69</v>
      </c>
      <c r="F51" s="12"/>
    </row>
    <row r="52" spans="1:6" ht="15" x14ac:dyDescent="0.25">
      <c r="A52" s="14"/>
      <c r="B52" s="10"/>
      <c r="C52" s="125"/>
      <c r="D52" s="82"/>
      <c r="E52" s="124"/>
      <c r="F52" s="12"/>
    </row>
    <row r="53" spans="1:6" x14ac:dyDescent="0.25">
      <c r="A53" s="24" t="s">
        <v>171</v>
      </c>
      <c r="B53" s="10"/>
      <c r="C53" s="125" t="s">
        <v>56</v>
      </c>
      <c r="D53" s="140">
        <f>0.1*(D45+D48)</f>
        <v>11542314.170063734</v>
      </c>
      <c r="E53" s="124" t="s">
        <v>97</v>
      </c>
      <c r="F53" s="12"/>
    </row>
    <row r="54" spans="1:6" x14ac:dyDescent="0.25">
      <c r="A54" s="9"/>
      <c r="B54" s="10"/>
      <c r="C54" s="125"/>
      <c r="D54" s="11"/>
      <c r="E54" s="124"/>
      <c r="F54" s="12"/>
    </row>
    <row r="55" spans="1:6" ht="15" x14ac:dyDescent="0.25">
      <c r="A55" s="107" t="s">
        <v>73</v>
      </c>
      <c r="B55" s="34"/>
      <c r="C55" s="30" t="s">
        <v>56</v>
      </c>
      <c r="D55" s="73">
        <f>D50+D53</f>
        <v>126965455.87070107</v>
      </c>
      <c r="E55" s="36" t="s">
        <v>68</v>
      </c>
      <c r="F55" s="37"/>
    </row>
    <row r="56" spans="1:6" ht="15" x14ac:dyDescent="0.25">
      <c r="A56" s="107" t="s">
        <v>72</v>
      </c>
      <c r="B56" s="10"/>
      <c r="C56" s="125" t="s">
        <v>56</v>
      </c>
      <c r="D56" s="82">
        <f>D55/(D8*1000)</f>
        <v>920.03953529493538</v>
      </c>
      <c r="E56" s="36" t="s">
        <v>74</v>
      </c>
      <c r="F56" s="12"/>
    </row>
    <row r="57" spans="1:6" ht="15.75" thickBot="1" x14ac:dyDescent="0.3">
      <c r="A57" s="141"/>
      <c r="B57" s="39"/>
      <c r="C57" s="113"/>
      <c r="D57" s="114"/>
      <c r="E57" s="142"/>
      <c r="F57" s="41"/>
    </row>
    <row r="58" spans="1:6" ht="15" x14ac:dyDescent="0.25">
      <c r="A58" s="34"/>
      <c r="B58" s="10"/>
      <c r="C58" s="125"/>
      <c r="D58" s="82"/>
      <c r="E58" s="124"/>
      <c r="F58" s="10"/>
    </row>
    <row r="59" spans="1:6" ht="15" x14ac:dyDescent="0.25">
      <c r="A59" s="34"/>
      <c r="B59" s="10"/>
      <c r="C59" s="125"/>
      <c r="D59" s="82"/>
      <c r="E59" s="124"/>
      <c r="F59" s="10"/>
    </row>
    <row r="60" spans="1:6" ht="15" x14ac:dyDescent="0.25">
      <c r="A60" s="34"/>
      <c r="B60" s="10"/>
      <c r="C60" s="125"/>
      <c r="D60" s="82"/>
      <c r="E60" s="124"/>
      <c r="F60" s="10"/>
    </row>
    <row r="61" spans="1:6" ht="15" x14ac:dyDescent="0.25">
      <c r="A61" s="34"/>
      <c r="B61" s="10"/>
      <c r="C61" s="125"/>
      <c r="D61" s="82"/>
      <c r="E61" s="124"/>
      <c r="F61" s="10"/>
    </row>
    <row r="62" spans="1:6" ht="15" x14ac:dyDescent="0.25">
      <c r="A62" s="34"/>
      <c r="B62" s="10"/>
      <c r="C62" s="125"/>
      <c r="D62" s="82"/>
      <c r="E62" s="124"/>
      <c r="F62" s="10"/>
    </row>
    <row r="63" spans="1:6" ht="15" x14ac:dyDescent="0.25">
      <c r="A63" s="34"/>
      <c r="B63" s="10"/>
      <c r="C63" s="125"/>
      <c r="D63" s="82"/>
      <c r="E63" s="124"/>
      <c r="F63" s="10"/>
    </row>
    <row r="64" spans="1:6" ht="15" x14ac:dyDescent="0.25">
      <c r="A64" s="34"/>
      <c r="B64" s="10"/>
      <c r="C64" s="125"/>
      <c r="D64" s="82"/>
      <c r="E64" s="124"/>
      <c r="F64" s="10"/>
    </row>
    <row r="65" spans="1:6" ht="15" x14ac:dyDescent="0.25">
      <c r="A65" s="34"/>
      <c r="B65" s="10"/>
      <c r="C65" s="125"/>
      <c r="D65" s="82"/>
      <c r="E65" s="124"/>
      <c r="F65" s="10"/>
    </row>
    <row r="66" spans="1:6" ht="15" x14ac:dyDescent="0.25">
      <c r="A66" s="34"/>
      <c r="B66" s="10"/>
      <c r="C66" s="125"/>
      <c r="D66" s="82"/>
      <c r="E66" s="124"/>
      <c r="F66" s="10"/>
    </row>
    <row r="67" spans="1:6" ht="15" x14ac:dyDescent="0.25">
      <c r="A67" s="34"/>
      <c r="B67" s="10"/>
      <c r="C67" s="125"/>
      <c r="D67" s="82"/>
      <c r="E67" s="124"/>
      <c r="F67" s="10"/>
    </row>
    <row r="68" spans="1:6" ht="15.75" x14ac:dyDescent="0.25">
      <c r="A68" s="176" t="s">
        <v>141</v>
      </c>
      <c r="B68" s="176"/>
      <c r="C68" s="176"/>
      <c r="D68" s="176"/>
      <c r="E68" s="176"/>
      <c r="F68" s="176"/>
    </row>
    <row r="69" spans="1:6" ht="15.75" thickBot="1" x14ac:dyDescent="0.3">
      <c r="A69" s="34"/>
      <c r="B69" s="10"/>
      <c r="C69" s="125"/>
      <c r="D69" s="82"/>
      <c r="E69" s="124"/>
      <c r="F69" s="10"/>
    </row>
    <row r="70" spans="1:6" x14ac:dyDescent="0.25">
      <c r="A70" s="92"/>
      <c r="B70" s="93"/>
      <c r="C70" s="94"/>
      <c r="D70" s="94"/>
      <c r="E70" s="95"/>
      <c r="F70" s="96"/>
    </row>
    <row r="71" spans="1:6" ht="15" x14ac:dyDescent="0.25">
      <c r="A71" s="48" t="s">
        <v>84</v>
      </c>
      <c r="B71" s="44"/>
      <c r="C71" s="45"/>
      <c r="D71" s="45"/>
      <c r="E71" s="46"/>
      <c r="F71" s="47"/>
    </row>
    <row r="72" spans="1:6" ht="15" x14ac:dyDescent="0.25">
      <c r="A72" s="16" t="s">
        <v>75</v>
      </c>
      <c r="B72" s="17"/>
      <c r="C72" s="18"/>
      <c r="D72" s="18"/>
      <c r="E72" s="33"/>
      <c r="F72" s="19"/>
    </row>
    <row r="73" spans="1:6" s="8" customFormat="1" ht="15" x14ac:dyDescent="0.25">
      <c r="A73" s="20"/>
      <c r="B73" s="21"/>
      <c r="C73" s="22"/>
      <c r="D73" s="22"/>
      <c r="E73" s="122"/>
      <c r="F73" s="23"/>
    </row>
    <row r="74" spans="1:6" x14ac:dyDescent="0.25">
      <c r="A74" s="24" t="s">
        <v>172</v>
      </c>
      <c r="B74" s="10"/>
      <c r="C74" s="125" t="s">
        <v>56</v>
      </c>
      <c r="D74" s="126">
        <f>4*2080*D24/(D8*1000)</f>
        <v>3.6173913043478261</v>
      </c>
      <c r="E74" s="124" t="s">
        <v>77</v>
      </c>
      <c r="F74" s="12"/>
    </row>
    <row r="75" spans="1:6" x14ac:dyDescent="0.25">
      <c r="A75" s="24" t="s">
        <v>173</v>
      </c>
      <c r="B75" s="10"/>
      <c r="C75" s="125" t="s">
        <v>56</v>
      </c>
      <c r="D75" s="126">
        <f>D36*0.015/(D9*D8*1000)</f>
        <v>6.1274694325337009</v>
      </c>
      <c r="E75" s="124" t="s">
        <v>78</v>
      </c>
      <c r="F75" s="12"/>
    </row>
    <row r="76" spans="1:6" x14ac:dyDescent="0.25">
      <c r="A76" s="24" t="s">
        <v>121</v>
      </c>
      <c r="B76" s="10"/>
      <c r="C76" s="125" t="s">
        <v>56</v>
      </c>
      <c r="D76" s="126">
        <f>0.03*(D74+0.4*D75)</f>
        <v>0.18205137232083921</v>
      </c>
      <c r="E76" s="124" t="s">
        <v>79</v>
      </c>
      <c r="F76" s="12"/>
    </row>
    <row r="77" spans="1:6" x14ac:dyDescent="0.25">
      <c r="A77" s="9"/>
      <c r="B77" s="10"/>
      <c r="C77" s="11"/>
      <c r="D77" s="126"/>
      <c r="E77" s="124"/>
      <c r="F77" s="12"/>
    </row>
    <row r="78" spans="1:6" s="2" customFormat="1" ht="15" x14ac:dyDescent="0.25">
      <c r="A78" s="107" t="s">
        <v>122</v>
      </c>
      <c r="B78" s="34"/>
      <c r="C78" s="30" t="s">
        <v>56</v>
      </c>
      <c r="D78" s="35">
        <f>D74+D75+D76</f>
        <v>9.926912109202366</v>
      </c>
      <c r="E78" s="36" t="s">
        <v>127</v>
      </c>
      <c r="F78" s="37"/>
    </row>
    <row r="79" spans="1:6" x14ac:dyDescent="0.25">
      <c r="A79" s="9"/>
      <c r="B79" s="10"/>
      <c r="C79" s="11"/>
      <c r="D79" s="126"/>
      <c r="E79" s="124"/>
      <c r="F79" s="12"/>
    </row>
    <row r="80" spans="1:6" s="2" customFormat="1" ht="15" x14ac:dyDescent="0.25">
      <c r="A80" s="16" t="s">
        <v>76</v>
      </c>
      <c r="B80" s="17"/>
      <c r="C80" s="18"/>
      <c r="D80" s="18"/>
      <c r="E80" s="33"/>
      <c r="F80" s="19"/>
    </row>
    <row r="81" spans="1:8" s="143" customFormat="1" ht="15" x14ac:dyDescent="0.25">
      <c r="A81" s="20"/>
      <c r="B81" s="21"/>
      <c r="C81" s="22"/>
      <c r="D81" s="22"/>
      <c r="E81" s="122"/>
      <c r="F81" s="23"/>
    </row>
    <row r="82" spans="1:8" x14ac:dyDescent="0.25">
      <c r="A82" s="24" t="s">
        <v>174</v>
      </c>
      <c r="B82" s="10"/>
      <c r="C82" s="125" t="s">
        <v>56</v>
      </c>
      <c r="D82" s="126">
        <f>D16*D20/D8</f>
        <v>0.32036221120000002</v>
      </c>
      <c r="E82" s="124" t="s">
        <v>175</v>
      </c>
      <c r="F82" s="12"/>
    </row>
    <row r="83" spans="1:8" ht="14.25" customHeight="1" x14ac:dyDescent="0.25">
      <c r="A83" s="24" t="s">
        <v>176</v>
      </c>
      <c r="B83" s="10"/>
      <c r="C83" s="125" t="s">
        <v>56</v>
      </c>
      <c r="D83" s="118">
        <f>D17*D21/D8</f>
        <v>0.27541266359999994</v>
      </c>
      <c r="E83" s="119" t="s">
        <v>177</v>
      </c>
      <c r="F83" s="120"/>
      <c r="H83" s="76"/>
    </row>
    <row r="84" spans="1:8" x14ac:dyDescent="0.25">
      <c r="A84" s="24" t="s">
        <v>178</v>
      </c>
      <c r="B84" s="10"/>
      <c r="C84" s="125" t="s">
        <v>56</v>
      </c>
      <c r="D84" s="118">
        <f>D18*D22*10</f>
        <v>2.8752058048140001</v>
      </c>
      <c r="E84" s="177" t="s">
        <v>82</v>
      </c>
      <c r="F84" s="178"/>
    </row>
    <row r="85" spans="1:8" x14ac:dyDescent="0.25">
      <c r="A85" s="24" t="s">
        <v>179</v>
      </c>
      <c r="B85" s="10"/>
      <c r="C85" s="11" t="s">
        <v>56</v>
      </c>
      <c r="D85" s="126">
        <f>D19*D23/D8</f>
        <v>0.41760685015585208</v>
      </c>
      <c r="E85" s="124" t="s">
        <v>180</v>
      </c>
      <c r="F85" s="12"/>
    </row>
    <row r="86" spans="1:8" x14ac:dyDescent="0.25">
      <c r="A86" s="9"/>
      <c r="B86" s="10"/>
      <c r="C86" s="11"/>
      <c r="D86" s="126"/>
      <c r="E86" s="124"/>
      <c r="F86" s="12"/>
    </row>
    <row r="87" spans="1:8" ht="15" x14ac:dyDescent="0.25">
      <c r="A87" s="107" t="s">
        <v>181</v>
      </c>
      <c r="B87" s="34"/>
      <c r="C87" s="30" t="s">
        <v>56</v>
      </c>
      <c r="D87" s="77">
        <f>D82+D83+D84+D85</f>
        <v>3.8885875297698522</v>
      </c>
      <c r="E87" s="36" t="s">
        <v>128</v>
      </c>
      <c r="F87" s="12"/>
    </row>
    <row r="88" spans="1:8" ht="15" thickBot="1" x14ac:dyDescent="0.3">
      <c r="A88" s="38"/>
      <c r="B88" s="39"/>
      <c r="C88" s="40"/>
      <c r="D88" s="40"/>
      <c r="E88" s="40"/>
      <c r="F88" s="41"/>
    </row>
    <row r="89" spans="1:8" ht="15" x14ac:dyDescent="0.25">
      <c r="A89" s="49" t="s">
        <v>89</v>
      </c>
      <c r="B89" s="50"/>
      <c r="C89" s="51"/>
      <c r="D89" s="51"/>
      <c r="E89" s="52"/>
      <c r="F89" s="53"/>
    </row>
    <row r="90" spans="1:8" x14ac:dyDescent="0.25">
      <c r="A90" s="54"/>
      <c r="B90" s="55"/>
      <c r="C90" s="11"/>
      <c r="D90" s="11"/>
      <c r="E90" s="11"/>
      <c r="F90" s="12"/>
    </row>
    <row r="91" spans="1:8" x14ac:dyDescent="0.25">
      <c r="A91" s="57" t="s">
        <v>104</v>
      </c>
      <c r="B91" s="10"/>
      <c r="C91" s="125" t="s">
        <v>56</v>
      </c>
      <c r="D91" s="71">
        <f>0.6*D78*D8*1000</f>
        <v>821948.32264195592</v>
      </c>
      <c r="E91" s="124" t="s">
        <v>105</v>
      </c>
      <c r="F91" s="12"/>
    </row>
    <row r="92" spans="1:8" x14ac:dyDescent="0.25">
      <c r="A92" s="57" t="s">
        <v>85</v>
      </c>
      <c r="B92" s="10"/>
      <c r="C92" s="125" t="s">
        <v>56</v>
      </c>
      <c r="D92" s="71">
        <f>0.02*D55</f>
        <v>2539309.1174140214</v>
      </c>
      <c r="E92" s="124" t="s">
        <v>105</v>
      </c>
      <c r="F92" s="12"/>
    </row>
    <row r="93" spans="1:8" x14ac:dyDescent="0.25">
      <c r="A93" s="57" t="s">
        <v>87</v>
      </c>
      <c r="B93" s="10"/>
      <c r="C93" s="125" t="s">
        <v>56</v>
      </c>
      <c r="D93" s="71">
        <f>0.01*D55</f>
        <v>1269654.5587070107</v>
      </c>
      <c r="E93" s="124" t="s">
        <v>105</v>
      </c>
      <c r="F93" s="12"/>
    </row>
    <row r="94" spans="1:8" x14ac:dyDescent="0.25">
      <c r="A94" s="57" t="s">
        <v>86</v>
      </c>
      <c r="B94" s="10"/>
      <c r="C94" s="125" t="s">
        <v>56</v>
      </c>
      <c r="D94" s="71">
        <f>0.01*D55</f>
        <v>1269654.5587070107</v>
      </c>
      <c r="E94" s="124" t="s">
        <v>105</v>
      </c>
      <c r="F94" s="12"/>
    </row>
    <row r="95" spans="1:8" ht="16.5" x14ac:dyDescent="0.25">
      <c r="A95" s="144" t="s">
        <v>129</v>
      </c>
      <c r="B95" s="10"/>
      <c r="F95" s="12"/>
    </row>
    <row r="96" spans="1:8" x14ac:dyDescent="0.25">
      <c r="A96" s="145" t="s">
        <v>182</v>
      </c>
      <c r="B96" s="124">
        <v>5</v>
      </c>
      <c r="C96" s="125"/>
      <c r="D96" s="71"/>
      <c r="E96" s="11"/>
      <c r="F96" s="12"/>
    </row>
    <row r="97" spans="1:6" x14ac:dyDescent="0.25">
      <c r="A97" s="145" t="s">
        <v>183</v>
      </c>
      <c r="B97" s="124">
        <v>15</v>
      </c>
      <c r="C97" s="11"/>
      <c r="D97" s="71"/>
      <c r="E97" s="11"/>
      <c r="F97" s="12"/>
    </row>
    <row r="98" spans="1:6" ht="17.25" customHeight="1" x14ac:dyDescent="0.25">
      <c r="A98" s="108" t="s">
        <v>130</v>
      </c>
      <c r="B98" s="97">
        <f>((B96/100)*((1+(B96/100))^B97))/(((1+(B96/100))^B97)-1)</f>
        <v>9.6342287609244348E-2</v>
      </c>
      <c r="C98" s="125" t="s">
        <v>56</v>
      </c>
      <c r="D98" s="146">
        <f>B98*D55</f>
        <v>12232142.465933904</v>
      </c>
      <c r="E98" s="124" t="s">
        <v>105</v>
      </c>
      <c r="F98" s="12"/>
    </row>
    <row r="99" spans="1:6" ht="17.25" customHeight="1" x14ac:dyDescent="0.25">
      <c r="A99" s="108"/>
      <c r="B99" s="10"/>
      <c r="C99" s="11"/>
      <c r="D99" s="71"/>
      <c r="E99" s="11"/>
      <c r="F99" s="12"/>
    </row>
    <row r="100" spans="1:6" ht="15" x14ac:dyDescent="0.25">
      <c r="A100" s="106" t="s">
        <v>88</v>
      </c>
      <c r="B100" s="10"/>
      <c r="C100" s="125" t="s">
        <v>56</v>
      </c>
      <c r="D100" s="60">
        <f>SUM(D91:D98)</f>
        <v>18132709.023403905</v>
      </c>
      <c r="E100" s="11"/>
      <c r="F100" s="12"/>
    </row>
    <row r="101" spans="1:6" x14ac:dyDescent="0.25">
      <c r="A101" s="108"/>
      <c r="B101" s="10"/>
      <c r="C101" s="11"/>
      <c r="D101" s="56"/>
      <c r="E101" s="11"/>
      <c r="F101" s="12"/>
    </row>
    <row r="102" spans="1:6" ht="15" x14ac:dyDescent="0.25">
      <c r="A102" s="106" t="s">
        <v>95</v>
      </c>
      <c r="B102" s="34"/>
      <c r="C102" s="30" t="s">
        <v>56</v>
      </c>
      <c r="D102" s="60">
        <f>D78*D8*1000+D87*D8*8760+D100</f>
        <v>24203458.587462012</v>
      </c>
      <c r="E102" s="11"/>
      <c r="F102" s="12"/>
    </row>
    <row r="103" spans="1:6" ht="15.75" thickBot="1" x14ac:dyDescent="0.3">
      <c r="A103" s="109"/>
      <c r="B103" s="59"/>
      <c r="C103" s="40"/>
      <c r="D103" s="40"/>
      <c r="E103" s="40"/>
      <c r="F103" s="41"/>
    </row>
    <row r="104" spans="1:6" x14ac:dyDescent="0.25">
      <c r="A104" s="110"/>
      <c r="B104" s="62"/>
      <c r="C104" s="31"/>
      <c r="D104" s="31"/>
      <c r="E104" s="31"/>
      <c r="F104" s="32"/>
    </row>
    <row r="105" spans="1:6" x14ac:dyDescent="0.2">
      <c r="A105" s="147" t="s">
        <v>90</v>
      </c>
      <c r="B105" s="10"/>
      <c r="C105" s="125" t="s">
        <v>56</v>
      </c>
      <c r="D105" s="63">
        <v>584.6</v>
      </c>
      <c r="E105" s="11"/>
      <c r="F105" s="12"/>
    </row>
    <row r="106" spans="1:6" x14ac:dyDescent="0.2">
      <c r="A106" s="147" t="s">
        <v>102</v>
      </c>
      <c r="B106" s="10"/>
      <c r="C106" s="125" t="s">
        <v>56</v>
      </c>
      <c r="D106" s="64">
        <v>536.4</v>
      </c>
      <c r="E106" s="11"/>
      <c r="F106" s="12"/>
    </row>
    <row r="107" spans="1:6" x14ac:dyDescent="0.25">
      <c r="A107" s="24"/>
      <c r="B107" s="10"/>
      <c r="C107" s="11"/>
      <c r="D107" s="11"/>
      <c r="E107" s="11"/>
      <c r="F107" s="12"/>
    </row>
    <row r="108" spans="1:6" ht="15" x14ac:dyDescent="0.25">
      <c r="A108" s="107" t="s">
        <v>101</v>
      </c>
      <c r="B108" s="34"/>
      <c r="C108" s="30" t="s">
        <v>56</v>
      </c>
      <c r="D108" s="73">
        <f>D102*D106/D105</f>
        <v>22207894.605396207</v>
      </c>
      <c r="E108" s="11"/>
      <c r="F108" s="12"/>
    </row>
    <row r="109" spans="1:6" ht="15.75" thickBot="1" x14ac:dyDescent="0.3">
      <c r="A109" s="109"/>
      <c r="B109" s="39"/>
      <c r="C109" s="40"/>
      <c r="D109" s="59"/>
      <c r="E109" s="40"/>
      <c r="F109" s="41"/>
    </row>
    <row r="110" spans="1:6" x14ac:dyDescent="0.25">
      <c r="A110" s="148"/>
      <c r="B110" s="62"/>
      <c r="C110" s="31"/>
      <c r="D110" s="149"/>
      <c r="E110" s="31"/>
      <c r="F110" s="32"/>
    </row>
    <row r="111" spans="1:6" ht="18.75" x14ac:dyDescent="0.25">
      <c r="A111" s="150" t="s">
        <v>92</v>
      </c>
      <c r="B111" s="69"/>
      <c r="C111" s="125" t="s">
        <v>56</v>
      </c>
      <c r="D111" s="117">
        <f>E112*E111*D11/2000</f>
        <v>1473.2927999999997</v>
      </c>
      <c r="E111" s="172">
        <v>15.12</v>
      </c>
      <c r="F111" s="12" t="s">
        <v>227</v>
      </c>
    </row>
    <row r="112" spans="1:6" ht="18.75" x14ac:dyDescent="0.25">
      <c r="A112" s="151" t="s">
        <v>91</v>
      </c>
      <c r="B112" s="10"/>
      <c r="C112" s="125" t="s">
        <v>56</v>
      </c>
      <c r="D112" s="78">
        <v>90</v>
      </c>
      <c r="E112" s="173">
        <v>336000</v>
      </c>
      <c r="F112" s="12" t="s">
        <v>226</v>
      </c>
    </row>
    <row r="113" spans="1:6" ht="18.75" x14ac:dyDescent="0.25">
      <c r="A113" s="150" t="s">
        <v>93</v>
      </c>
      <c r="B113" s="10"/>
      <c r="C113" s="125" t="s">
        <v>56</v>
      </c>
      <c r="D113" s="67">
        <f>D111*D112/100</f>
        <v>1325.9635199999998</v>
      </c>
      <c r="E113" s="11"/>
      <c r="F113" s="12"/>
    </row>
    <row r="114" spans="1:6" x14ac:dyDescent="0.25">
      <c r="A114" s="150"/>
      <c r="B114" s="10"/>
      <c r="C114" s="125"/>
      <c r="D114" s="67"/>
      <c r="E114" s="11"/>
      <c r="F114" s="12"/>
    </row>
    <row r="115" spans="1:6" ht="16.5" x14ac:dyDescent="0.25">
      <c r="A115" s="107" t="s">
        <v>94</v>
      </c>
      <c r="B115" s="70"/>
      <c r="C115" s="125" t="s">
        <v>56</v>
      </c>
      <c r="D115" s="72">
        <f>D108/D113</f>
        <v>16748.495920458063</v>
      </c>
      <c r="E115" s="11"/>
      <c r="F115" s="12"/>
    </row>
    <row r="116" spans="1:6" ht="15" thickBot="1" x14ac:dyDescent="0.3">
      <c r="A116" s="68"/>
      <c r="B116" s="39"/>
      <c r="C116" s="40"/>
      <c r="D116" s="61"/>
      <c r="E116" s="40"/>
      <c r="F116" s="41"/>
    </row>
  </sheetData>
  <mergeCells count="22">
    <mergeCell ref="A5:F5"/>
    <mergeCell ref="E7:F7"/>
    <mergeCell ref="A25:F25"/>
    <mergeCell ref="E48:F48"/>
    <mergeCell ref="A68:F68"/>
    <mergeCell ref="E13:F13"/>
    <mergeCell ref="E14:F14"/>
    <mergeCell ref="E15:F15"/>
    <mergeCell ref="E16:F16"/>
    <mergeCell ref="E17:F17"/>
    <mergeCell ref="E18:F18"/>
    <mergeCell ref="E8:F8"/>
    <mergeCell ref="E9:F9"/>
    <mergeCell ref="E10:F10"/>
    <mergeCell ref="E11:F11"/>
    <mergeCell ref="E12:F12"/>
    <mergeCell ref="E84:F84"/>
    <mergeCell ref="E20:F20"/>
    <mergeCell ref="E21:F21"/>
    <mergeCell ref="E22:F22"/>
    <mergeCell ref="E23:F23"/>
    <mergeCell ref="E24:F24"/>
  </mergeCells>
  <pageMargins left="0.7" right="0.7" top="0.34875" bottom="0.75" header="0.3" footer="0.3"/>
  <pageSetup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126"/>
  <sheetViews>
    <sheetView view="pageLayout" topLeftCell="A109" zoomScale="85" zoomScaleNormal="100" zoomScalePageLayoutView="85" workbookViewId="0">
      <selection activeCell="D12" sqref="D12"/>
    </sheetView>
  </sheetViews>
  <sheetFormatPr defaultColWidth="8.85546875" defaultRowHeight="14.25" x14ac:dyDescent="0.25"/>
  <cols>
    <col min="1" max="1" width="38.140625" style="1" customWidth="1"/>
    <col min="2" max="2" width="40.7109375" style="1" customWidth="1"/>
    <col min="3" max="3" width="13.28515625" style="3" customWidth="1"/>
    <col min="4" max="4" width="18" style="3" customWidth="1"/>
    <col min="5" max="5" width="16.42578125" style="3" customWidth="1"/>
    <col min="6" max="6" width="99" style="1" customWidth="1"/>
    <col min="7" max="7" width="11" style="1" bestFit="1" customWidth="1"/>
    <col min="8" max="8" width="14.28515625" style="1" bestFit="1" customWidth="1"/>
    <col min="9" max="16384" width="8.85546875" style="1"/>
  </cols>
  <sheetData>
    <row r="5" spans="1:7" ht="15.75" x14ac:dyDescent="0.25">
      <c r="A5" s="176" t="s">
        <v>184</v>
      </c>
      <c r="B5" s="176"/>
      <c r="C5" s="176"/>
      <c r="D5" s="176"/>
      <c r="E5" s="176"/>
      <c r="F5" s="176"/>
      <c r="G5" s="10"/>
    </row>
    <row r="6" spans="1:7" ht="15" thickBot="1" x14ac:dyDescent="0.3">
      <c r="A6" s="10"/>
      <c r="B6" s="10"/>
      <c r="C6" s="11"/>
      <c r="D6" s="11"/>
      <c r="E6" s="11"/>
      <c r="F6" s="10"/>
      <c r="G6" s="10"/>
    </row>
    <row r="7" spans="1:7" s="2" customFormat="1" ht="15" x14ac:dyDescent="0.25">
      <c r="A7" s="90" t="s">
        <v>0</v>
      </c>
      <c r="B7" s="91" t="s">
        <v>1</v>
      </c>
      <c r="C7" s="91" t="s">
        <v>2</v>
      </c>
      <c r="D7" s="91" t="s">
        <v>3</v>
      </c>
      <c r="E7" s="190" t="s">
        <v>4</v>
      </c>
      <c r="F7" s="191"/>
    </row>
    <row r="8" spans="1:7" ht="15" x14ac:dyDescent="0.25">
      <c r="A8" s="42" t="s">
        <v>32</v>
      </c>
      <c r="B8" s="5" t="s">
        <v>5</v>
      </c>
      <c r="C8" s="5" t="s">
        <v>23</v>
      </c>
      <c r="D8" s="79">
        <v>138</v>
      </c>
      <c r="E8" s="179" t="s">
        <v>142</v>
      </c>
      <c r="F8" s="180"/>
    </row>
    <row r="9" spans="1:7" ht="27" customHeight="1" x14ac:dyDescent="0.25">
      <c r="A9" s="42" t="s">
        <v>38</v>
      </c>
      <c r="B9" s="5" t="s">
        <v>6</v>
      </c>
      <c r="C9" s="5"/>
      <c r="D9" s="86">
        <v>1.5</v>
      </c>
      <c r="E9" s="192" t="s">
        <v>185</v>
      </c>
      <c r="F9" s="193"/>
    </row>
    <row r="10" spans="1:7" ht="15" x14ac:dyDescent="0.25">
      <c r="A10" s="42" t="s">
        <v>39</v>
      </c>
      <c r="B10" s="5" t="s">
        <v>7</v>
      </c>
      <c r="C10" s="5" t="s">
        <v>24</v>
      </c>
      <c r="D10" s="80">
        <v>10000</v>
      </c>
      <c r="E10" s="179" t="s">
        <v>33</v>
      </c>
      <c r="F10" s="180"/>
    </row>
    <row r="11" spans="1:7" ht="15" x14ac:dyDescent="0.25">
      <c r="A11" s="42" t="s">
        <v>40</v>
      </c>
      <c r="B11" s="5" t="s">
        <v>22</v>
      </c>
      <c r="C11" s="5" t="s">
        <v>25</v>
      </c>
      <c r="D11" s="81">
        <v>0.57999999999999996</v>
      </c>
      <c r="E11" s="179" t="s">
        <v>33</v>
      </c>
      <c r="F11" s="180"/>
    </row>
    <row r="12" spans="1:7" x14ac:dyDescent="0.25">
      <c r="A12" s="42" t="s">
        <v>41</v>
      </c>
      <c r="B12" s="5" t="s">
        <v>8</v>
      </c>
      <c r="C12" s="5"/>
      <c r="D12" s="5" t="s">
        <v>46</v>
      </c>
      <c r="E12" s="179" t="s">
        <v>33</v>
      </c>
      <c r="F12" s="180"/>
    </row>
    <row r="13" spans="1:7" x14ac:dyDescent="0.25">
      <c r="A13" s="42" t="s">
        <v>144</v>
      </c>
      <c r="B13" s="5" t="s">
        <v>9</v>
      </c>
      <c r="C13" s="5"/>
      <c r="D13" s="5">
        <v>1.05</v>
      </c>
      <c r="E13" s="179" t="s">
        <v>145</v>
      </c>
      <c r="F13" s="180"/>
    </row>
    <row r="14" spans="1:7" x14ac:dyDescent="0.25">
      <c r="A14" s="42" t="s">
        <v>146</v>
      </c>
      <c r="B14" s="5" t="s">
        <v>10</v>
      </c>
      <c r="C14" s="5"/>
      <c r="D14" s="5">
        <f>D10/10000</f>
        <v>1</v>
      </c>
      <c r="E14" s="196" t="s">
        <v>186</v>
      </c>
      <c r="F14" s="197"/>
    </row>
    <row r="15" spans="1:7" x14ac:dyDescent="0.25">
      <c r="A15" s="42" t="s">
        <v>47</v>
      </c>
      <c r="B15" s="5" t="s">
        <v>11</v>
      </c>
      <c r="C15" s="5" t="s">
        <v>27</v>
      </c>
      <c r="D15" s="6">
        <f>D8*D10*1000</f>
        <v>1380000000</v>
      </c>
      <c r="E15" s="179" t="s">
        <v>110</v>
      </c>
      <c r="F15" s="180"/>
    </row>
    <row r="16" spans="1:7" x14ac:dyDescent="0.25">
      <c r="A16" s="42" t="s">
        <v>187</v>
      </c>
      <c r="B16" s="5" t="s">
        <v>13</v>
      </c>
      <c r="C16" s="5" t="s">
        <v>28</v>
      </c>
      <c r="D16" s="7">
        <f>17.52*D8*D11*D14/2000</f>
        <v>0.70115039999999984</v>
      </c>
      <c r="E16" s="179" t="s">
        <v>188</v>
      </c>
      <c r="F16" s="180"/>
    </row>
    <row r="17" spans="1:6" x14ac:dyDescent="0.25">
      <c r="A17" s="42" t="s">
        <v>151</v>
      </c>
      <c r="B17" s="5" t="s">
        <v>152</v>
      </c>
      <c r="C17" s="5" t="s">
        <v>28</v>
      </c>
      <c r="D17" s="74">
        <f>1.811*D16</f>
        <v>1.2697833743999998</v>
      </c>
      <c r="E17" s="181" t="s">
        <v>189</v>
      </c>
      <c r="F17" s="182"/>
    </row>
    <row r="18" spans="1:6" ht="15" x14ac:dyDescent="0.25">
      <c r="A18" s="88" t="s">
        <v>99</v>
      </c>
      <c r="B18" s="4" t="s">
        <v>14</v>
      </c>
      <c r="C18" s="4" t="s">
        <v>26</v>
      </c>
      <c r="D18" s="130">
        <f>(1.05*EXP(0.155*D11))*D13*D14</f>
        <v>1.2062065211016508</v>
      </c>
      <c r="E18" s="179" t="s">
        <v>190</v>
      </c>
      <c r="F18" s="180"/>
    </row>
    <row r="19" spans="1:6" x14ac:dyDescent="0.25">
      <c r="A19" s="43" t="s">
        <v>155</v>
      </c>
      <c r="B19" s="5" t="s">
        <v>15</v>
      </c>
      <c r="C19" s="5" t="s">
        <v>156</v>
      </c>
      <c r="D19" s="74">
        <f>(1.674*D11+74.68)*D8*D13*D14/1000</f>
        <v>10.961818308000003</v>
      </c>
      <c r="E19" s="128" t="s">
        <v>191</v>
      </c>
      <c r="F19" s="129"/>
    </row>
    <row r="20" spans="1:6" ht="15" x14ac:dyDescent="0.25">
      <c r="A20" s="42" t="s">
        <v>192</v>
      </c>
      <c r="B20" s="5" t="s">
        <v>16</v>
      </c>
      <c r="C20" s="5" t="s">
        <v>29</v>
      </c>
      <c r="D20" s="79">
        <v>20</v>
      </c>
      <c r="E20" s="183" t="s">
        <v>193</v>
      </c>
      <c r="F20" s="184"/>
    </row>
    <row r="21" spans="1:6" ht="15" x14ac:dyDescent="0.25">
      <c r="A21" s="42" t="s">
        <v>52</v>
      </c>
      <c r="B21" s="5" t="s">
        <v>17</v>
      </c>
      <c r="C21" s="5" t="s">
        <v>29</v>
      </c>
      <c r="D21" s="79">
        <v>30</v>
      </c>
      <c r="E21" s="183" t="s">
        <v>193</v>
      </c>
      <c r="F21" s="184"/>
    </row>
    <row r="22" spans="1:6" ht="15" x14ac:dyDescent="0.25">
      <c r="A22" s="42" t="s">
        <v>53</v>
      </c>
      <c r="B22" s="5" t="s">
        <v>18</v>
      </c>
      <c r="C22" s="5" t="s">
        <v>30</v>
      </c>
      <c r="D22" s="81">
        <v>0.21</v>
      </c>
      <c r="E22" s="183" t="s">
        <v>194</v>
      </c>
      <c r="F22" s="184"/>
    </row>
    <row r="23" spans="1:6" ht="15" x14ac:dyDescent="0.25">
      <c r="A23" s="98" t="s">
        <v>160</v>
      </c>
      <c r="B23" s="99" t="s">
        <v>19</v>
      </c>
      <c r="C23" s="99" t="s">
        <v>161</v>
      </c>
      <c r="D23" s="131">
        <v>7.17</v>
      </c>
      <c r="E23" s="183" t="s">
        <v>195</v>
      </c>
      <c r="F23" s="184"/>
    </row>
    <row r="24" spans="1:6" ht="15" thickBot="1" x14ac:dyDescent="0.3">
      <c r="A24" s="132" t="s">
        <v>54</v>
      </c>
      <c r="B24" s="133" t="s">
        <v>20</v>
      </c>
      <c r="C24" s="133" t="s">
        <v>31</v>
      </c>
      <c r="D24" s="134">
        <v>60</v>
      </c>
      <c r="E24" s="194" t="s">
        <v>163</v>
      </c>
      <c r="F24" s="195"/>
    </row>
    <row r="25" spans="1:6" ht="37.5" customHeight="1" thickBot="1" x14ac:dyDescent="0.3">
      <c r="A25" s="187" t="s">
        <v>196</v>
      </c>
      <c r="B25" s="188"/>
      <c r="C25" s="188"/>
      <c r="D25" s="188"/>
      <c r="E25" s="188"/>
      <c r="F25" s="189"/>
    </row>
    <row r="26" spans="1:6" ht="15.75" thickBot="1" x14ac:dyDescent="0.3">
      <c r="A26" s="26" t="s">
        <v>83</v>
      </c>
      <c r="B26" s="27"/>
      <c r="C26" s="28"/>
      <c r="D26" s="28"/>
      <c r="E26" s="152" t="s">
        <v>57</v>
      </c>
      <c r="F26" s="29"/>
    </row>
    <row r="27" spans="1:6" ht="15" x14ac:dyDescent="0.25">
      <c r="A27" s="135"/>
      <c r="B27" s="136"/>
      <c r="C27" s="137"/>
      <c r="D27" s="137"/>
      <c r="E27" s="153"/>
      <c r="F27" s="139"/>
    </row>
    <row r="28" spans="1:6" x14ac:dyDescent="0.25">
      <c r="A28" s="24" t="s">
        <v>197</v>
      </c>
      <c r="B28" s="10"/>
      <c r="C28" s="11"/>
      <c r="D28" s="11"/>
      <c r="E28" s="11"/>
      <c r="F28" s="12"/>
    </row>
    <row r="29" spans="1:6" x14ac:dyDescent="0.25">
      <c r="A29" s="24"/>
      <c r="B29" s="10"/>
      <c r="C29" s="11"/>
      <c r="D29" s="11"/>
      <c r="E29" s="11"/>
      <c r="F29" s="12"/>
    </row>
    <row r="30" spans="1:6" x14ac:dyDescent="0.25">
      <c r="A30" s="24" t="s">
        <v>198</v>
      </c>
      <c r="B30" s="10"/>
      <c r="C30" s="11" t="s">
        <v>56</v>
      </c>
      <c r="D30" s="13">
        <f>550000*(D9)*((D13*D14)^0.6)*((D11/2)^0.02)*(D8^0.716)</f>
        <v>28220773.545693513</v>
      </c>
      <c r="E30" s="124" t="s">
        <v>199</v>
      </c>
      <c r="F30" s="12"/>
    </row>
    <row r="31" spans="1:6" x14ac:dyDescent="0.25">
      <c r="A31" s="24"/>
      <c r="B31" s="10"/>
      <c r="C31" s="11"/>
      <c r="D31" s="11"/>
      <c r="E31" s="11"/>
      <c r="F31" s="12"/>
    </row>
    <row r="32" spans="1:6" x14ac:dyDescent="0.25">
      <c r="A32" s="24" t="s">
        <v>200</v>
      </c>
      <c r="B32" s="10"/>
      <c r="C32" s="11" t="s">
        <v>56</v>
      </c>
      <c r="D32" s="13">
        <f>190000*(D9)*((D11*D14)^0.3)*(D8^0.716)</f>
        <v>8241887.5329899127</v>
      </c>
      <c r="E32" s="124" t="s">
        <v>201</v>
      </c>
      <c r="F32" s="12"/>
    </row>
    <row r="33" spans="1:6" x14ac:dyDescent="0.25">
      <c r="A33" s="24"/>
      <c r="B33" s="10"/>
      <c r="C33" s="11"/>
      <c r="D33" s="13"/>
      <c r="E33" s="124"/>
      <c r="F33" s="12"/>
    </row>
    <row r="34" spans="1:6" x14ac:dyDescent="0.25">
      <c r="A34" s="24" t="s">
        <v>202</v>
      </c>
      <c r="B34" s="10"/>
      <c r="C34" s="11" t="s">
        <v>56</v>
      </c>
      <c r="D34" s="13">
        <f>100000*(D9)*((D11*D14)^0.45)*(D8^0.716)</f>
        <v>3997489.0429152972</v>
      </c>
      <c r="E34" s="124" t="s">
        <v>203</v>
      </c>
      <c r="F34" s="12"/>
    </row>
    <row r="35" spans="1:6" x14ac:dyDescent="0.25">
      <c r="A35" s="24"/>
      <c r="B35" s="10"/>
      <c r="C35" s="11"/>
      <c r="D35" s="11"/>
      <c r="E35" s="11"/>
      <c r="F35" s="12"/>
    </row>
    <row r="36" spans="1:6" x14ac:dyDescent="0.25">
      <c r="A36" s="24" t="s">
        <v>204</v>
      </c>
      <c r="B36" s="10"/>
      <c r="C36" s="11" t="s">
        <v>56</v>
      </c>
      <c r="D36" s="13">
        <f>1010000*(D9)*((D13*D14)^0.4)*(D8^0.716)</f>
        <v>52606787.071727097</v>
      </c>
      <c r="E36" s="124" t="s">
        <v>205</v>
      </c>
      <c r="F36" s="12"/>
    </row>
    <row r="37" spans="1:6" x14ac:dyDescent="0.25">
      <c r="A37" s="24"/>
      <c r="B37" s="10"/>
      <c r="C37" s="11"/>
      <c r="D37" s="11"/>
      <c r="E37" s="124"/>
      <c r="F37" s="12"/>
    </row>
    <row r="38" spans="1:6" x14ac:dyDescent="0.25">
      <c r="A38" s="24" t="s">
        <v>206</v>
      </c>
      <c r="B38" s="10"/>
      <c r="C38" s="11" t="s">
        <v>56</v>
      </c>
      <c r="D38" s="13">
        <v>0</v>
      </c>
      <c r="E38" s="124" t="s">
        <v>207</v>
      </c>
      <c r="F38" s="12"/>
    </row>
    <row r="39" spans="1:6" x14ac:dyDescent="0.25">
      <c r="A39" s="24"/>
      <c r="B39" s="10"/>
      <c r="C39" s="11"/>
      <c r="D39" s="11"/>
      <c r="E39" s="124"/>
      <c r="F39" s="12"/>
    </row>
    <row r="40" spans="1:6" x14ac:dyDescent="0.25">
      <c r="A40" s="24" t="s">
        <v>208</v>
      </c>
      <c r="B40" s="10"/>
      <c r="C40" s="125" t="s">
        <v>56</v>
      </c>
      <c r="D40" s="13">
        <f>D30+D32+D34+D36+D38</f>
        <v>93066937.193325818</v>
      </c>
      <c r="E40" s="124" t="s">
        <v>209</v>
      </c>
      <c r="F40" s="12"/>
    </row>
    <row r="41" spans="1:6" x14ac:dyDescent="0.25">
      <c r="A41" s="24" t="s">
        <v>59</v>
      </c>
      <c r="B41" s="10"/>
      <c r="C41" s="125" t="s">
        <v>56</v>
      </c>
      <c r="D41" s="13">
        <f>D40/(D8*1000)</f>
        <v>674.39809560381025</v>
      </c>
      <c r="E41" s="124" t="s">
        <v>210</v>
      </c>
      <c r="F41" s="12"/>
    </row>
    <row r="42" spans="1:6" x14ac:dyDescent="0.25">
      <c r="A42" s="9"/>
      <c r="B42" s="10"/>
      <c r="C42" s="11"/>
      <c r="D42" s="11"/>
      <c r="E42" s="124"/>
      <c r="F42" s="12"/>
    </row>
    <row r="43" spans="1:6" ht="15" x14ac:dyDescent="0.25">
      <c r="A43" s="14" t="s">
        <v>61</v>
      </c>
      <c r="B43" s="10"/>
      <c r="C43" s="11"/>
      <c r="D43" s="11"/>
      <c r="E43" s="124"/>
      <c r="F43" s="12"/>
    </row>
    <row r="44" spans="1:6" ht="15" x14ac:dyDescent="0.25">
      <c r="A44" s="14"/>
      <c r="B44" s="10"/>
      <c r="C44" s="11"/>
      <c r="D44" s="11"/>
      <c r="E44" s="124"/>
      <c r="F44" s="12"/>
    </row>
    <row r="45" spans="1:6" x14ac:dyDescent="0.25">
      <c r="A45" s="24" t="s">
        <v>106</v>
      </c>
      <c r="B45" s="10"/>
      <c r="C45" s="125" t="s">
        <v>56</v>
      </c>
      <c r="D45" s="15">
        <f>0.1*$D$40</f>
        <v>9306693.7193325814</v>
      </c>
      <c r="E45" s="87" t="s">
        <v>116</v>
      </c>
      <c r="F45" s="12"/>
    </row>
    <row r="46" spans="1:6" x14ac:dyDescent="0.25">
      <c r="A46" s="24" t="s">
        <v>107</v>
      </c>
      <c r="B46" s="10"/>
      <c r="C46" s="125" t="s">
        <v>56</v>
      </c>
      <c r="D46" s="15">
        <f>0.1*$D$40</f>
        <v>9306693.7193325814</v>
      </c>
      <c r="E46" s="87" t="s">
        <v>117</v>
      </c>
      <c r="F46" s="12"/>
    </row>
    <row r="47" spans="1:6" x14ac:dyDescent="0.25">
      <c r="A47" s="24" t="s">
        <v>108</v>
      </c>
      <c r="B47" s="10"/>
      <c r="C47" s="125" t="s">
        <v>56</v>
      </c>
      <c r="D47" s="15">
        <f>0.1*$D$40</f>
        <v>9306693.7193325814</v>
      </c>
      <c r="E47" s="87" t="s">
        <v>118</v>
      </c>
      <c r="F47" s="12"/>
    </row>
    <row r="48" spans="1:6" x14ac:dyDescent="0.25">
      <c r="A48" s="24"/>
      <c r="B48" s="10"/>
      <c r="C48" s="11"/>
      <c r="D48" s="11"/>
      <c r="E48" s="124"/>
      <c r="F48" s="12"/>
    </row>
    <row r="49" spans="1:6" ht="15" x14ac:dyDescent="0.25">
      <c r="A49" s="107" t="s">
        <v>62</v>
      </c>
      <c r="B49" s="10"/>
      <c r="C49" s="125" t="s">
        <v>56</v>
      </c>
      <c r="D49" s="73">
        <f>D40+D45+D46+D47</f>
        <v>120987018.35132354</v>
      </c>
      <c r="E49" s="124" t="s">
        <v>100</v>
      </c>
      <c r="F49" s="12"/>
    </row>
    <row r="50" spans="1:6" ht="15" x14ac:dyDescent="0.25">
      <c r="A50" s="107" t="s">
        <v>211</v>
      </c>
      <c r="B50" s="10"/>
      <c r="C50" s="125" t="s">
        <v>56</v>
      </c>
      <c r="D50" s="82">
        <f>D49/(D8*1000)</f>
        <v>876.71752428495324</v>
      </c>
      <c r="E50" s="124" t="s">
        <v>64</v>
      </c>
      <c r="F50" s="12"/>
    </row>
    <row r="51" spans="1:6" ht="15" x14ac:dyDescent="0.25">
      <c r="A51" s="24"/>
      <c r="B51" s="10"/>
      <c r="C51" s="125"/>
      <c r="D51" s="82"/>
      <c r="E51" s="124"/>
      <c r="F51" s="12"/>
    </row>
    <row r="52" spans="1:6" ht="14.25" customHeight="1" x14ac:dyDescent="0.25">
      <c r="A52" s="24" t="s">
        <v>65</v>
      </c>
      <c r="B52" s="10"/>
      <c r="C52" s="125" t="s">
        <v>56</v>
      </c>
      <c r="D52" s="15">
        <f>0.05*D49</f>
        <v>6049350.9175661774</v>
      </c>
      <c r="E52" s="177" t="s">
        <v>66</v>
      </c>
      <c r="F52" s="178"/>
    </row>
    <row r="53" spans="1:6" x14ac:dyDescent="0.25">
      <c r="A53" s="24"/>
      <c r="B53" s="10"/>
      <c r="C53" s="125"/>
      <c r="D53" s="15"/>
      <c r="E53" s="124"/>
      <c r="F53" s="12"/>
    </row>
    <row r="54" spans="1:6" ht="15" x14ac:dyDescent="0.25">
      <c r="A54" s="107" t="s">
        <v>67</v>
      </c>
      <c r="B54" s="10"/>
      <c r="C54" s="125" t="s">
        <v>56</v>
      </c>
      <c r="D54" s="73">
        <f>D49+D52</f>
        <v>127036369.26888973</v>
      </c>
      <c r="E54" s="124" t="s">
        <v>103</v>
      </c>
      <c r="F54" s="12"/>
    </row>
    <row r="55" spans="1:6" ht="15" x14ac:dyDescent="0.25">
      <c r="A55" s="107" t="s">
        <v>212</v>
      </c>
      <c r="B55" s="10"/>
      <c r="C55" s="125" t="s">
        <v>56</v>
      </c>
      <c r="D55" s="82">
        <f>D54/(D8*1000)</f>
        <v>920.55340049920096</v>
      </c>
      <c r="E55" s="124" t="s">
        <v>69</v>
      </c>
      <c r="F55" s="12"/>
    </row>
    <row r="56" spans="1:6" ht="15" x14ac:dyDescent="0.25">
      <c r="A56" s="24"/>
      <c r="B56" s="10"/>
      <c r="C56" s="125"/>
      <c r="D56" s="82"/>
      <c r="E56" s="124"/>
      <c r="F56" s="12"/>
    </row>
    <row r="57" spans="1:6" x14ac:dyDescent="0.25">
      <c r="A57" s="24" t="s">
        <v>171</v>
      </c>
      <c r="B57" s="10"/>
      <c r="C57" s="125" t="s">
        <v>56</v>
      </c>
      <c r="D57" s="140">
        <f>0.1*(D49+D52)</f>
        <v>12703636.926888973</v>
      </c>
      <c r="E57" s="124" t="s">
        <v>213</v>
      </c>
      <c r="F57" s="12"/>
    </row>
    <row r="58" spans="1:6" x14ac:dyDescent="0.25">
      <c r="A58" s="24"/>
      <c r="B58" s="10"/>
      <c r="C58" s="125"/>
      <c r="D58" s="11"/>
      <c r="E58" s="124"/>
      <c r="F58" s="12"/>
    </row>
    <row r="59" spans="1:6" ht="15" x14ac:dyDescent="0.25">
      <c r="A59" s="107" t="s">
        <v>214</v>
      </c>
      <c r="B59" s="34"/>
      <c r="C59" s="30" t="s">
        <v>56</v>
      </c>
      <c r="D59" s="73">
        <f>D54+D57</f>
        <v>139740006.1957787</v>
      </c>
      <c r="E59" s="36" t="s">
        <v>68</v>
      </c>
      <c r="F59" s="37"/>
    </row>
    <row r="60" spans="1:6" ht="15" x14ac:dyDescent="0.25">
      <c r="A60" s="107" t="s">
        <v>215</v>
      </c>
      <c r="B60" s="10"/>
      <c r="C60" s="125" t="s">
        <v>56</v>
      </c>
      <c r="D60" s="82">
        <f>D59/(D8*1000)</f>
        <v>1012.608740549121</v>
      </c>
      <c r="E60" s="36" t="s">
        <v>74</v>
      </c>
      <c r="F60" s="12"/>
    </row>
    <row r="61" spans="1:6" ht="15.75" thickBot="1" x14ac:dyDescent="0.3">
      <c r="A61" s="141"/>
      <c r="B61" s="39"/>
      <c r="C61" s="113"/>
      <c r="D61" s="114"/>
      <c r="E61" s="142"/>
      <c r="F61" s="41"/>
    </row>
    <row r="62" spans="1:6" ht="15" x14ac:dyDescent="0.25">
      <c r="A62" s="34"/>
      <c r="B62" s="10"/>
      <c r="C62" s="125"/>
      <c r="D62" s="82"/>
      <c r="E62" s="124"/>
      <c r="F62" s="10"/>
    </row>
    <row r="63" spans="1:6" ht="15" x14ac:dyDescent="0.25">
      <c r="A63" s="34"/>
      <c r="B63" s="10"/>
      <c r="C63" s="125"/>
      <c r="D63" s="82"/>
      <c r="E63" s="124"/>
      <c r="F63" s="10"/>
    </row>
    <row r="64" spans="1:6" ht="15" x14ac:dyDescent="0.25">
      <c r="A64" s="34"/>
      <c r="B64" s="10"/>
      <c r="C64" s="125"/>
      <c r="D64" s="82"/>
      <c r="E64" s="124"/>
      <c r="F64" s="10"/>
    </row>
    <row r="65" spans="1:6" ht="15" x14ac:dyDescent="0.25">
      <c r="A65" s="34"/>
      <c r="B65" s="10"/>
      <c r="C65" s="125"/>
      <c r="D65" s="82"/>
      <c r="E65" s="124"/>
      <c r="F65" s="10"/>
    </row>
    <row r="66" spans="1:6" ht="15" x14ac:dyDescent="0.25">
      <c r="A66" s="34"/>
      <c r="B66" s="10"/>
      <c r="C66" s="125"/>
      <c r="D66" s="82"/>
      <c r="E66" s="124"/>
      <c r="F66" s="10"/>
    </row>
    <row r="67" spans="1:6" ht="15" x14ac:dyDescent="0.25">
      <c r="A67" s="34"/>
      <c r="B67" s="10"/>
      <c r="C67" s="125"/>
      <c r="D67" s="82"/>
      <c r="E67" s="124"/>
      <c r="F67" s="10"/>
    </row>
    <row r="68" spans="1:6" ht="15" x14ac:dyDescent="0.25">
      <c r="A68" s="34"/>
      <c r="B68" s="10"/>
      <c r="C68" s="125"/>
      <c r="D68" s="82"/>
      <c r="E68" s="124"/>
      <c r="F68" s="10"/>
    </row>
    <row r="69" spans="1:6" ht="15" x14ac:dyDescent="0.25">
      <c r="A69" s="34"/>
      <c r="B69" s="10"/>
      <c r="C69" s="125"/>
      <c r="D69" s="82"/>
      <c r="E69" s="124"/>
      <c r="F69" s="10"/>
    </row>
    <row r="70" spans="1:6" ht="15" x14ac:dyDescent="0.25">
      <c r="A70" s="34"/>
      <c r="B70" s="10"/>
      <c r="C70" s="125"/>
      <c r="D70" s="82"/>
      <c r="E70" s="124"/>
      <c r="F70" s="10"/>
    </row>
    <row r="71" spans="1:6" ht="15" x14ac:dyDescent="0.25">
      <c r="A71" s="34"/>
      <c r="B71" s="10"/>
      <c r="C71" s="125"/>
      <c r="D71" s="82"/>
      <c r="E71" s="124"/>
      <c r="F71" s="10"/>
    </row>
    <row r="72" spans="1:6" ht="15" x14ac:dyDescent="0.25">
      <c r="A72" s="34"/>
      <c r="B72" s="10"/>
      <c r="C72" s="125"/>
      <c r="D72" s="82"/>
      <c r="E72" s="124"/>
      <c r="F72" s="10"/>
    </row>
    <row r="73" spans="1:6" ht="15" x14ac:dyDescent="0.25">
      <c r="A73" s="34"/>
      <c r="B73" s="10"/>
      <c r="C73" s="125"/>
      <c r="D73" s="82"/>
      <c r="E73" s="124"/>
      <c r="F73" s="10"/>
    </row>
    <row r="74" spans="1:6" ht="15" x14ac:dyDescent="0.25">
      <c r="A74" s="34"/>
      <c r="B74" s="10"/>
      <c r="C74" s="125"/>
      <c r="D74" s="82"/>
      <c r="E74" s="124"/>
      <c r="F74" s="10"/>
    </row>
    <row r="75" spans="1:6" ht="15" x14ac:dyDescent="0.25">
      <c r="A75" s="34"/>
      <c r="B75" s="10"/>
      <c r="C75" s="125"/>
      <c r="D75" s="82"/>
      <c r="E75" s="124"/>
      <c r="F75" s="10"/>
    </row>
    <row r="76" spans="1:6" ht="15.75" x14ac:dyDescent="0.25">
      <c r="A76" s="176" t="s">
        <v>184</v>
      </c>
      <c r="B76" s="176"/>
      <c r="C76" s="176"/>
      <c r="D76" s="176"/>
      <c r="E76" s="176"/>
      <c r="F76" s="176"/>
    </row>
    <row r="77" spans="1:6" ht="15.75" thickBot="1" x14ac:dyDescent="0.3">
      <c r="A77" s="34"/>
      <c r="B77" s="10"/>
      <c r="C77" s="125"/>
      <c r="D77" s="82"/>
      <c r="E77" s="124"/>
      <c r="F77" s="10"/>
    </row>
    <row r="78" spans="1:6" x14ac:dyDescent="0.25">
      <c r="A78" s="92"/>
      <c r="B78" s="93"/>
      <c r="C78" s="94"/>
      <c r="D78" s="94"/>
      <c r="E78" s="95"/>
      <c r="F78" s="96"/>
    </row>
    <row r="79" spans="1:6" ht="15" x14ac:dyDescent="0.25">
      <c r="A79" s="48" t="s">
        <v>84</v>
      </c>
      <c r="B79" s="44"/>
      <c r="C79" s="45"/>
      <c r="D79" s="45"/>
      <c r="E79" s="46"/>
      <c r="F79" s="47"/>
    </row>
    <row r="80" spans="1:6" ht="15" x14ac:dyDescent="0.25">
      <c r="A80" s="16" t="s">
        <v>75</v>
      </c>
      <c r="B80" s="17"/>
      <c r="C80" s="18"/>
      <c r="D80" s="18"/>
      <c r="E80" s="33"/>
      <c r="F80" s="19"/>
    </row>
    <row r="81" spans="1:8" ht="15" x14ac:dyDescent="0.25">
      <c r="A81" s="20"/>
      <c r="B81" s="21"/>
      <c r="C81" s="22"/>
      <c r="D81" s="22"/>
      <c r="E81" s="122"/>
      <c r="F81" s="23"/>
    </row>
    <row r="82" spans="1:8" x14ac:dyDescent="0.25">
      <c r="A82" s="24" t="s">
        <v>216</v>
      </c>
      <c r="B82" s="10"/>
      <c r="C82" s="125" t="s">
        <v>56</v>
      </c>
      <c r="D82" s="126">
        <f>6*2080*D24/(D8*1000)</f>
        <v>5.4260869565217389</v>
      </c>
      <c r="E82" s="124" t="s">
        <v>77</v>
      </c>
      <c r="F82" s="12"/>
    </row>
    <row r="83" spans="1:8" x14ac:dyDescent="0.25">
      <c r="A83" s="24" t="s">
        <v>173</v>
      </c>
      <c r="B83" s="10"/>
      <c r="C83" s="125" t="s">
        <v>56</v>
      </c>
      <c r="D83" s="126">
        <f>D40*0.015/(D9*D8*1000)</f>
        <v>6.7439809560381025</v>
      </c>
      <c r="E83" s="124" t="s">
        <v>78</v>
      </c>
      <c r="F83" s="12"/>
    </row>
    <row r="84" spans="1:8" x14ac:dyDescent="0.25">
      <c r="A84" s="24" t="s">
        <v>121</v>
      </c>
      <c r="B84" s="10"/>
      <c r="C84" s="125" t="s">
        <v>56</v>
      </c>
      <c r="D84" s="126">
        <f>0.03*(D82+0.4*D83)</f>
        <v>0.24371038016810942</v>
      </c>
      <c r="E84" s="124" t="s">
        <v>79</v>
      </c>
      <c r="F84" s="12"/>
    </row>
    <row r="85" spans="1:8" x14ac:dyDescent="0.25">
      <c r="A85" s="24" t="s">
        <v>217</v>
      </c>
      <c r="B85" s="10"/>
      <c r="C85" s="125"/>
      <c r="D85" s="126">
        <v>0</v>
      </c>
      <c r="E85" s="124" t="s">
        <v>218</v>
      </c>
      <c r="F85" s="12"/>
    </row>
    <row r="86" spans="1:8" x14ac:dyDescent="0.25">
      <c r="A86" s="24"/>
      <c r="B86" s="10"/>
      <c r="C86" s="11"/>
      <c r="D86" s="126"/>
      <c r="E86" s="124"/>
      <c r="F86" s="12"/>
    </row>
    <row r="87" spans="1:8" s="2" customFormat="1" ht="15" x14ac:dyDescent="0.25">
      <c r="A87" s="107" t="s">
        <v>219</v>
      </c>
      <c r="B87" s="34"/>
      <c r="C87" s="30" t="s">
        <v>56</v>
      </c>
      <c r="D87" s="35">
        <f>D82+D83+D84+D85</f>
        <v>12.413778292727949</v>
      </c>
      <c r="E87" s="36" t="s">
        <v>127</v>
      </c>
      <c r="F87" s="37"/>
    </row>
    <row r="88" spans="1:8" x14ac:dyDescent="0.25">
      <c r="A88" s="24"/>
      <c r="B88" s="10"/>
      <c r="C88" s="11"/>
      <c r="D88" s="126"/>
      <c r="E88" s="124"/>
      <c r="F88" s="12"/>
    </row>
    <row r="89" spans="1:8" s="2" customFormat="1" ht="15" x14ac:dyDescent="0.25">
      <c r="A89" s="16" t="s">
        <v>76</v>
      </c>
      <c r="B89" s="17"/>
      <c r="C89" s="18"/>
      <c r="D89" s="18"/>
      <c r="E89" s="33"/>
      <c r="F89" s="19"/>
    </row>
    <row r="90" spans="1:8" s="2" customFormat="1" ht="15" x14ac:dyDescent="0.25">
      <c r="A90" s="24"/>
      <c r="B90" s="34"/>
      <c r="C90" s="154"/>
      <c r="D90" s="35"/>
      <c r="E90" s="36"/>
      <c r="F90" s="37"/>
    </row>
    <row r="91" spans="1:8" x14ac:dyDescent="0.25">
      <c r="A91" s="24" t="s">
        <v>174</v>
      </c>
      <c r="B91" s="10"/>
      <c r="C91" s="125" t="s">
        <v>56</v>
      </c>
      <c r="D91" s="126">
        <f>D16*D20/D8</f>
        <v>0.10161599999999998</v>
      </c>
      <c r="E91" s="124" t="s">
        <v>220</v>
      </c>
      <c r="F91" s="12"/>
    </row>
    <row r="92" spans="1:8" ht="14.25" customHeight="1" x14ac:dyDescent="0.25">
      <c r="A92" s="24" t="s">
        <v>176</v>
      </c>
      <c r="B92" s="10"/>
      <c r="C92" s="125" t="s">
        <v>56</v>
      </c>
      <c r="D92" s="118">
        <f>D17*D21/D8</f>
        <v>0.27603986399999997</v>
      </c>
      <c r="E92" s="124" t="s">
        <v>177</v>
      </c>
      <c r="F92" s="120"/>
      <c r="H92" s="76"/>
    </row>
    <row r="93" spans="1:8" x14ac:dyDescent="0.25">
      <c r="A93" s="24" t="s">
        <v>178</v>
      </c>
      <c r="B93" s="10"/>
      <c r="C93" s="125" t="s">
        <v>56</v>
      </c>
      <c r="D93" s="118">
        <f>D18*D22*10</f>
        <v>2.5330336943134668</v>
      </c>
      <c r="E93" s="177" t="s">
        <v>221</v>
      </c>
      <c r="F93" s="178"/>
    </row>
    <row r="94" spans="1:8" x14ac:dyDescent="0.25">
      <c r="A94" s="24" t="s">
        <v>179</v>
      </c>
      <c r="B94" s="10"/>
      <c r="C94" s="11" t="s">
        <v>56</v>
      </c>
      <c r="D94" s="126">
        <f>D19*D23/D8</f>
        <v>0.56953795122000017</v>
      </c>
      <c r="E94" s="124" t="s">
        <v>180</v>
      </c>
      <c r="F94" s="12"/>
    </row>
    <row r="95" spans="1:8" x14ac:dyDescent="0.25">
      <c r="A95" s="24" t="s">
        <v>222</v>
      </c>
      <c r="B95" s="10"/>
      <c r="C95" s="11" t="s">
        <v>56</v>
      </c>
      <c r="D95" s="126">
        <v>0</v>
      </c>
      <c r="E95" s="124" t="s">
        <v>223</v>
      </c>
      <c r="F95" s="12"/>
    </row>
    <row r="96" spans="1:8" x14ac:dyDescent="0.25">
      <c r="A96" s="24"/>
      <c r="B96" s="10"/>
      <c r="C96" s="11"/>
      <c r="D96" s="126"/>
      <c r="E96" s="124"/>
      <c r="F96" s="12"/>
    </row>
    <row r="97" spans="1:6" ht="15" x14ac:dyDescent="0.25">
      <c r="A97" s="107" t="s">
        <v>224</v>
      </c>
      <c r="B97" s="34"/>
      <c r="C97" s="30" t="s">
        <v>56</v>
      </c>
      <c r="D97" s="77">
        <f>D91+D92+D93+D94+D95</f>
        <v>3.4802275095334667</v>
      </c>
      <c r="E97" s="36" t="s">
        <v>128</v>
      </c>
      <c r="F97" s="12"/>
    </row>
    <row r="98" spans="1:6" ht="15" thickBot="1" x14ac:dyDescent="0.3">
      <c r="A98" s="38"/>
      <c r="B98" s="39"/>
      <c r="C98" s="40"/>
      <c r="D98" s="40"/>
      <c r="E98" s="40"/>
      <c r="F98" s="41"/>
    </row>
    <row r="99" spans="1:6" ht="15" x14ac:dyDescent="0.25">
      <c r="A99" s="49" t="s">
        <v>89</v>
      </c>
      <c r="B99" s="50"/>
      <c r="C99" s="51"/>
      <c r="D99" s="51"/>
      <c r="E99" s="52"/>
      <c r="F99" s="53"/>
    </row>
    <row r="100" spans="1:6" x14ac:dyDescent="0.25">
      <c r="A100" s="155"/>
      <c r="B100" s="156"/>
      <c r="C100" s="11"/>
      <c r="D100" s="11"/>
      <c r="E100" s="11"/>
      <c r="F100" s="12"/>
    </row>
    <row r="101" spans="1:6" x14ac:dyDescent="0.25">
      <c r="A101" s="24" t="s">
        <v>104</v>
      </c>
      <c r="B101" s="10"/>
      <c r="C101" s="125" t="s">
        <v>56</v>
      </c>
      <c r="D101" s="146">
        <f>0.6*D87*D8*1000</f>
        <v>1027860.8426378742</v>
      </c>
      <c r="E101" s="124" t="s">
        <v>105</v>
      </c>
      <c r="F101" s="12"/>
    </row>
    <row r="102" spans="1:6" x14ac:dyDescent="0.25">
      <c r="A102" s="24" t="s">
        <v>85</v>
      </c>
      <c r="B102" s="10"/>
      <c r="C102" s="125" t="s">
        <v>56</v>
      </c>
      <c r="D102" s="146">
        <f>0.02*D59</f>
        <v>2794800.123915574</v>
      </c>
      <c r="E102" s="124" t="s">
        <v>105</v>
      </c>
      <c r="F102" s="12"/>
    </row>
    <row r="103" spans="1:6" x14ac:dyDescent="0.25">
      <c r="A103" s="24" t="s">
        <v>87</v>
      </c>
      <c r="B103" s="10"/>
      <c r="C103" s="125" t="s">
        <v>56</v>
      </c>
      <c r="D103" s="146">
        <f>0.01*D59</f>
        <v>1397400.061957787</v>
      </c>
      <c r="E103" s="124" t="s">
        <v>105</v>
      </c>
      <c r="F103" s="12"/>
    </row>
    <row r="104" spans="1:6" x14ac:dyDescent="0.25">
      <c r="A104" s="24" t="s">
        <v>86</v>
      </c>
      <c r="B104" s="10"/>
      <c r="C104" s="125" t="s">
        <v>56</v>
      </c>
      <c r="D104" s="146">
        <f>0.01*D59</f>
        <v>1397400.061957787</v>
      </c>
      <c r="E104" s="124" t="s">
        <v>105</v>
      </c>
      <c r="F104" s="12"/>
    </row>
    <row r="105" spans="1:6" ht="16.5" x14ac:dyDescent="0.25">
      <c r="A105" s="24" t="s">
        <v>129</v>
      </c>
      <c r="B105" s="10"/>
      <c r="F105" s="12"/>
    </row>
    <row r="106" spans="1:6" x14ac:dyDescent="0.25">
      <c r="A106" s="105" t="s">
        <v>135</v>
      </c>
      <c r="B106" s="124">
        <v>5</v>
      </c>
      <c r="C106" s="125"/>
      <c r="D106" s="146"/>
      <c r="E106" s="11"/>
      <c r="F106" s="12"/>
    </row>
    <row r="107" spans="1:6" x14ac:dyDescent="0.25">
      <c r="A107" s="105" t="s">
        <v>136</v>
      </c>
      <c r="B107" s="124">
        <v>15</v>
      </c>
      <c r="C107" s="11"/>
      <c r="D107" s="146"/>
      <c r="E107" s="11"/>
      <c r="F107" s="12"/>
    </row>
    <row r="108" spans="1:6" ht="17.25" customHeight="1" x14ac:dyDescent="0.25">
      <c r="A108" s="24" t="s">
        <v>130</v>
      </c>
      <c r="B108" s="97">
        <f>((B106/100)*((1+(B106/100))^B107))/(((1+(B106/100))^B107)-1)</f>
        <v>9.6342287609244348E-2</v>
      </c>
      <c r="C108" s="125" t="s">
        <v>56</v>
      </c>
      <c r="D108" s="146">
        <f>B108*D59</f>
        <v>13462871.867431298</v>
      </c>
      <c r="E108" s="124" t="s">
        <v>105</v>
      </c>
      <c r="F108" s="12"/>
    </row>
    <row r="109" spans="1:6" ht="17.25" customHeight="1" x14ac:dyDescent="0.25">
      <c r="A109" s="155"/>
      <c r="B109" s="10"/>
      <c r="C109" s="11"/>
      <c r="D109" s="146"/>
      <c r="E109" s="11"/>
      <c r="F109" s="12"/>
    </row>
    <row r="110" spans="1:6" ht="15" x14ac:dyDescent="0.25">
      <c r="A110" s="106" t="s">
        <v>88</v>
      </c>
      <c r="B110" s="10"/>
      <c r="C110" s="125" t="s">
        <v>56</v>
      </c>
      <c r="D110" s="157">
        <f>SUM(D101:D108)</f>
        <v>20080332.957900319</v>
      </c>
      <c r="E110" s="11"/>
      <c r="F110" s="12"/>
    </row>
    <row r="111" spans="1:6" x14ac:dyDescent="0.25">
      <c r="A111" s="155"/>
      <c r="B111" s="10"/>
      <c r="C111" s="11"/>
      <c r="D111" s="158"/>
      <c r="E111" s="11"/>
      <c r="F111" s="12"/>
    </row>
    <row r="112" spans="1:6" ht="15" x14ac:dyDescent="0.25">
      <c r="A112" s="106" t="s">
        <v>95</v>
      </c>
      <c r="B112" s="34"/>
      <c r="C112" s="30" t="s">
        <v>56</v>
      </c>
      <c r="D112" s="157">
        <f>D87*D8*1000+D97*D8*8760+D110</f>
        <v>26000611.794021592</v>
      </c>
      <c r="E112" s="11"/>
      <c r="F112" s="12"/>
    </row>
    <row r="113" spans="1:6" ht="15.75" thickBot="1" x14ac:dyDescent="0.3">
      <c r="A113" s="159"/>
      <c r="B113" s="160"/>
      <c r="C113" s="40"/>
      <c r="D113" s="40"/>
      <c r="E113" s="40"/>
      <c r="F113" s="41"/>
    </row>
    <row r="114" spans="1:6" x14ac:dyDescent="0.25">
      <c r="A114" s="161"/>
      <c r="B114" s="62"/>
      <c r="C114" s="31"/>
      <c r="D114" s="31"/>
      <c r="E114" s="31"/>
      <c r="F114" s="32"/>
    </row>
    <row r="115" spans="1:6" x14ac:dyDescent="0.25">
      <c r="A115" s="24" t="s">
        <v>90</v>
      </c>
      <c r="B115" s="10"/>
      <c r="C115" s="125" t="s">
        <v>56</v>
      </c>
      <c r="D115" s="162">
        <v>584.6</v>
      </c>
      <c r="E115" s="11"/>
      <c r="F115" s="12"/>
    </row>
    <row r="116" spans="1:6" x14ac:dyDescent="0.25">
      <c r="A116" s="24" t="s">
        <v>102</v>
      </c>
      <c r="B116" s="10"/>
      <c r="C116" s="125" t="s">
        <v>56</v>
      </c>
      <c r="D116" s="163">
        <v>536.4</v>
      </c>
      <c r="E116" s="11"/>
      <c r="F116" s="12"/>
    </row>
    <row r="117" spans="1:6" x14ac:dyDescent="0.25">
      <c r="A117" s="9"/>
      <c r="B117" s="10"/>
      <c r="C117" s="11"/>
      <c r="D117" s="11"/>
      <c r="E117" s="11"/>
      <c r="F117" s="12"/>
    </row>
    <row r="118" spans="1:6" ht="15" x14ac:dyDescent="0.25">
      <c r="A118" s="106" t="s">
        <v>101</v>
      </c>
      <c r="B118" s="34"/>
      <c r="C118" s="30" t="s">
        <v>56</v>
      </c>
      <c r="D118" s="73">
        <f>D112*D116/D115</f>
        <v>23856873.360097811</v>
      </c>
      <c r="E118" s="11"/>
      <c r="F118" s="12"/>
    </row>
    <row r="119" spans="1:6" ht="15.75" thickBot="1" x14ac:dyDescent="0.3">
      <c r="A119" s="159"/>
      <c r="B119" s="39"/>
      <c r="C119" s="40"/>
      <c r="D119" s="160"/>
      <c r="E119" s="40"/>
      <c r="F119" s="41"/>
    </row>
    <row r="120" spans="1:6" x14ac:dyDescent="0.25">
      <c r="A120" s="164"/>
      <c r="B120" s="10"/>
      <c r="C120" s="11"/>
      <c r="D120" s="165"/>
      <c r="E120" s="11"/>
      <c r="F120" s="12"/>
    </row>
    <row r="121" spans="1:6" ht="18.75" x14ac:dyDescent="0.25">
      <c r="A121" s="24" t="s">
        <v>92</v>
      </c>
      <c r="B121" s="166"/>
      <c r="C121" s="125" t="s">
        <v>56</v>
      </c>
      <c r="D121" s="117">
        <f>E122*E121*D11/2000</f>
        <v>1473.2927999999997</v>
      </c>
      <c r="E121" s="172">
        <v>15.12</v>
      </c>
      <c r="F121" s="12" t="s">
        <v>227</v>
      </c>
    </row>
    <row r="122" spans="1:6" ht="18.75" x14ac:dyDescent="0.25">
      <c r="A122" s="24" t="s">
        <v>91</v>
      </c>
      <c r="B122" s="10"/>
      <c r="C122" s="125" t="s">
        <v>56</v>
      </c>
      <c r="D122" s="78">
        <v>99</v>
      </c>
      <c r="E122" s="173">
        <v>336000</v>
      </c>
      <c r="F122" s="12" t="s">
        <v>226</v>
      </c>
    </row>
    <row r="123" spans="1:6" ht="18.75" x14ac:dyDescent="0.25">
      <c r="A123" s="24" t="s">
        <v>93</v>
      </c>
      <c r="B123" s="10"/>
      <c r="C123" s="125" t="s">
        <v>56</v>
      </c>
      <c r="D123" s="167">
        <f>D121*D122/100</f>
        <v>1458.5598719999998</v>
      </c>
      <c r="E123" s="11"/>
      <c r="F123" s="12"/>
    </row>
    <row r="124" spans="1:6" x14ac:dyDescent="0.25">
      <c r="A124" s="24"/>
      <c r="B124" s="10"/>
      <c r="C124" s="125"/>
      <c r="D124" s="167"/>
      <c r="E124" s="11"/>
      <c r="F124" s="12"/>
    </row>
    <row r="125" spans="1:6" ht="16.5" x14ac:dyDescent="0.25">
      <c r="A125" s="106" t="s">
        <v>94</v>
      </c>
      <c r="B125" s="168"/>
      <c r="C125" s="125" t="s">
        <v>56</v>
      </c>
      <c r="D125" s="169">
        <f>D118/D123</f>
        <v>16356.458050216957</v>
      </c>
      <c r="E125" s="124" t="s">
        <v>225</v>
      </c>
      <c r="F125" s="12"/>
    </row>
    <row r="126" spans="1:6" ht="15" thickBot="1" x14ac:dyDescent="0.3">
      <c r="A126" s="170"/>
      <c r="B126" s="39"/>
      <c r="C126" s="40"/>
      <c r="D126" s="171"/>
      <c r="E126" s="40"/>
      <c r="F126" s="41"/>
    </row>
  </sheetData>
  <mergeCells count="22">
    <mergeCell ref="E93:F93"/>
    <mergeCell ref="A5:F5"/>
    <mergeCell ref="E18:F18"/>
    <mergeCell ref="E24:F24"/>
    <mergeCell ref="A25:F25"/>
    <mergeCell ref="E52:F52"/>
    <mergeCell ref="A76:F76"/>
    <mergeCell ref="E17:F17"/>
    <mergeCell ref="E20:F20"/>
    <mergeCell ref="E21:F21"/>
    <mergeCell ref="E22:F22"/>
    <mergeCell ref="E23:F23"/>
    <mergeCell ref="E11:F11"/>
    <mergeCell ref="E12:F12"/>
    <mergeCell ref="E13:F13"/>
    <mergeCell ref="E14:F14"/>
    <mergeCell ref="E15:F15"/>
    <mergeCell ref="E16:F16"/>
    <mergeCell ref="E7:F7"/>
    <mergeCell ref="E8:F8"/>
    <mergeCell ref="E9:F9"/>
    <mergeCell ref="E10:F10"/>
  </mergeCells>
  <pageMargins left="0.7" right="0.7" top="0.34875" bottom="0.75" header="0.3" footer="0.3"/>
  <pageSetup scale="5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DFFD117A687F4BBEEF3206719FB718" ma:contentTypeVersion="0" ma:contentTypeDescription="Create a new document." ma:contentTypeScope="" ma:versionID="950c161123550eef76ac92b61c93b34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509994-29B5-4231-85DA-8657DE2084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D9E31F-585E-4E5F-8D6B-31D7EC05D4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8DA0879-3F85-4ED9-B9A4-67CA505C908F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Dry Sorbent Injection</vt:lpstr>
      <vt:lpstr>Spray Dry Absorber</vt:lpstr>
      <vt:lpstr>Wet Scrubber</vt:lpstr>
    </vt:vector>
  </TitlesOfParts>
  <Company>ERM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Kelley Hand</dc:creator>
  <cp:lastModifiedBy>Jones, David</cp:lastModifiedBy>
  <cp:lastPrinted>2018-03-02T19:48:57Z</cp:lastPrinted>
  <dcterms:created xsi:type="dcterms:W3CDTF">2017-10-23T20:23:20Z</dcterms:created>
  <dcterms:modified xsi:type="dcterms:W3CDTF">2019-10-31T22:44:54Z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0x010100C8DFFD117A687F4BBEEF3206719FB718</vt:lpwstr>
  </property>
  <property fmtid="{D5CDD505-2E9C-101B-9397-08002B2CF9AE}" pid="4" name="ESRI_WORKBOOK_ID">
    <vt:lpwstr>c24a6ed88c0141cb98c5fbc838aca03b</vt:lpwstr>
  </property>
</Properties>
</file>