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5540" yWindow="1320" windowWidth="20730" windowHeight="9630" tabRatio="687" activeTab="2"/>
  </bookViews>
  <sheets>
    <sheet name="5-1 Available-SO2" sheetId="15" r:id="rId1"/>
    <sheet name="5-2 Feasible-SO2" sheetId="10" r:id="rId2"/>
    <sheet name="5-3 Ranking-SO2" sheetId="13" r:id="rId3"/>
    <sheet name="5-4 EU ID 1 ULSD CE" sheetId="19" r:id="rId4"/>
    <sheet name="5-5 EU ID 2 ULSD CE" sheetId="20" r:id="rId5"/>
    <sheet name="5-6 EU ID 5&amp;6 ULSD CE" sheetId="23" r:id="rId6"/>
    <sheet name="5-7 EU ID 7 ULSD CE" sheetId="22" r:id="rId7"/>
    <sheet name="Table 5-8" sheetId="18" r:id="rId8"/>
    <sheet name="Table - 5-9" sheetId="17" r:id="rId9"/>
    <sheet name="5-10 TCI ULSD EU1-2" sheetId="26" r:id="rId10"/>
    <sheet name="DO NOT INCLUDE - Identified-SO2" sheetId="3" r:id="rId11"/>
    <sheet name="ESRI_MAPINFO_SHEET" sheetId="27" state="veryHidden" r:id="rId12"/>
  </sheets>
  <externalReferences>
    <externalReference r:id="rId13"/>
    <externalReference r:id="rId14"/>
    <externalReference r:id="rId15"/>
  </externalReferences>
  <definedNames>
    <definedName name="_xlnm.Print_Area" localSheetId="2">'5-3 Ranking-SO2'!$A$1:$F$18</definedName>
  </definedNames>
  <calcPr calcId="152511"/>
</workbook>
</file>

<file path=xl/calcChain.xml><?xml version="1.0" encoding="utf-8"?>
<calcChain xmlns="http://schemas.openxmlformats.org/spreadsheetml/2006/main">
  <c r="F11" i="13" l="1"/>
  <c r="K26" i="23" l="1"/>
  <c r="E20" i="20" l="1"/>
  <c r="B15" i="26" l="1"/>
  <c r="E20" i="19"/>
  <c r="E11" i="13" l="1"/>
  <c r="K29" i="20"/>
  <c r="B8" i="26" l="1"/>
  <c r="B11" i="26"/>
  <c r="B13" i="26" s="1"/>
  <c r="E8" i="26"/>
  <c r="E9" i="26" s="1"/>
  <c r="E10" i="26" s="1"/>
  <c r="D8" i="26"/>
  <c r="D9" i="26" s="1"/>
  <c r="D10" i="26" s="1"/>
  <c r="C8" i="26"/>
  <c r="C9" i="26" s="1"/>
  <c r="C10" i="26" s="1"/>
  <c r="B9" i="26"/>
  <c r="B10" i="26" s="1"/>
  <c r="B12" i="26" s="1"/>
  <c r="K23" i="19" l="1"/>
  <c r="K23" i="20"/>
  <c r="K25" i="20" s="1"/>
  <c r="C12" i="26"/>
  <c r="C11" i="26"/>
  <c r="D12" i="26"/>
  <c r="D11" i="26"/>
  <c r="D13" i="26" s="1"/>
  <c r="E12" i="26"/>
  <c r="E11" i="26"/>
  <c r="E13" i="26" l="1"/>
  <c r="C13" i="26"/>
  <c r="E9" i="13" l="1"/>
  <c r="E8" i="13"/>
  <c r="E6" i="13"/>
  <c r="E5" i="13"/>
  <c r="F32" i="18" l="1"/>
  <c r="A28" i="18"/>
  <c r="F28" i="18"/>
  <c r="A29" i="18"/>
  <c r="B29" i="18"/>
  <c r="A32" i="18"/>
  <c r="A33" i="18"/>
  <c r="B33" i="18"/>
  <c r="A36" i="18"/>
  <c r="A37" i="18"/>
  <c r="B37" i="18"/>
  <c r="A40" i="18"/>
  <c r="A41" i="18"/>
  <c r="B41" i="18"/>
  <c r="B44" i="18"/>
  <c r="K32" i="20" l="1"/>
  <c r="K32" i="19"/>
  <c r="C32" i="18"/>
  <c r="C10" i="18"/>
  <c r="C28" i="18"/>
  <c r="C6" i="18"/>
  <c r="K33" i="19" l="1"/>
  <c r="K33" i="20"/>
  <c r="D6" i="13" l="1"/>
  <c r="D5" i="13"/>
  <c r="B28" i="18"/>
  <c r="K30" i="23" l="1"/>
  <c r="B36" i="18"/>
  <c r="A15" i="18"/>
  <c r="A14" i="18"/>
  <c r="E14" i="23" l="1"/>
  <c r="E21" i="23" l="1"/>
  <c r="K22" i="23" s="1"/>
  <c r="I20" i="23"/>
  <c r="K20" i="23" s="1"/>
  <c r="I19" i="23"/>
  <c r="K19" i="23" s="1"/>
  <c r="H14" i="23"/>
  <c r="K14" i="23" s="1"/>
  <c r="I11" i="23"/>
  <c r="K11" i="23" s="1"/>
  <c r="I10" i="23"/>
  <c r="K10" i="23" s="1"/>
  <c r="B15" i="18"/>
  <c r="K24" i="23" l="1"/>
  <c r="B14" i="18"/>
  <c r="K16" i="23"/>
  <c r="B22" i="18"/>
  <c r="D36" i="18" l="1"/>
  <c r="D14" i="18" l="1"/>
  <c r="K32" i="23"/>
  <c r="F36" i="18" s="1"/>
  <c r="E20" i="22"/>
  <c r="K21" i="22" s="1"/>
  <c r="I19" i="22"/>
  <c r="K19" i="22" s="1"/>
  <c r="I18" i="22"/>
  <c r="K18" i="22" s="1"/>
  <c r="E13" i="22"/>
  <c r="H13" i="22" s="1"/>
  <c r="K13" i="22" s="1"/>
  <c r="I10" i="22"/>
  <c r="K10" i="22" s="1"/>
  <c r="I9" i="22"/>
  <c r="K9" i="22" s="1"/>
  <c r="K21" i="20"/>
  <c r="I19" i="20"/>
  <c r="K19" i="20" s="1"/>
  <c r="I18" i="20"/>
  <c r="K18" i="20" s="1"/>
  <c r="H13" i="20"/>
  <c r="K13" i="20" s="1"/>
  <c r="I10" i="20"/>
  <c r="K10" i="20" s="1"/>
  <c r="I9" i="20"/>
  <c r="K9" i="20" s="1"/>
  <c r="K21" i="19"/>
  <c r="I19" i="19"/>
  <c r="K19" i="19" s="1"/>
  <c r="I18" i="19"/>
  <c r="K18" i="19" s="1"/>
  <c r="H13" i="19"/>
  <c r="K13" i="19" s="1"/>
  <c r="K15" i="19" s="1"/>
  <c r="K25" i="19" s="1"/>
  <c r="I10" i="19"/>
  <c r="K10" i="19" s="1"/>
  <c r="I9" i="19"/>
  <c r="K9" i="19" s="1"/>
  <c r="F14" i="18" l="1"/>
  <c r="K15" i="22"/>
  <c r="K15" i="20"/>
  <c r="K23" i="22"/>
  <c r="E10" i="18" l="1"/>
  <c r="E6" i="18"/>
  <c r="K25" i="22"/>
  <c r="D40" i="18" s="1"/>
  <c r="D6" i="18" l="1"/>
  <c r="K31" i="19"/>
  <c r="D10" i="18"/>
  <c r="D18" i="18"/>
  <c r="B19" i="18"/>
  <c r="A18" i="18"/>
  <c r="A19" i="18"/>
  <c r="B7" i="18"/>
  <c r="B11" i="18"/>
  <c r="A10" i="18"/>
  <c r="A11" i="18"/>
  <c r="A6" i="18"/>
  <c r="A7" i="18"/>
  <c r="D8" i="13" l="1"/>
  <c r="B32" i="18" s="1"/>
  <c r="D9" i="13"/>
  <c r="C20" i="3" l="1"/>
  <c r="E14" i="13" l="1"/>
  <c r="E13" i="13"/>
  <c r="B40" i="18" s="1"/>
  <c r="F14" i="13" l="1"/>
  <c r="F6" i="13"/>
  <c r="F13" i="13"/>
  <c r="K29" i="22" s="1"/>
  <c r="K31" i="22" s="1"/>
  <c r="F40" i="18" s="1"/>
  <c r="B18" i="18"/>
  <c r="F5" i="13"/>
  <c r="K29" i="19" s="1"/>
  <c r="B6" i="18"/>
  <c r="F8" i="13"/>
  <c r="K31" i="20" s="1"/>
  <c r="B10" i="18"/>
  <c r="F9" i="13"/>
  <c r="F10" i="18" l="1"/>
  <c r="F6" i="18"/>
  <c r="F18" i="18"/>
</calcChain>
</file>

<file path=xl/comments1.xml><?xml version="1.0" encoding="utf-8"?>
<comments xmlns="http://schemas.openxmlformats.org/spreadsheetml/2006/main">
  <authors>
    <author>Author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unlimited operation. 672 MMBtu/hr @ 8760 hrs/yr and HHV of 0.13 MMBtu/gallon.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based on data provided by GVEA.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limited operations. 672 MMBtu/hr @ 7992 hrs/yr and HHV of 0.13 MMBtu/gal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based on data provided by GVEA.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HHV of 0.13 MMBtu/gal and maximum allowed operations of 455 MMBtu/hr for 8,760 hr/yr.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LSR based on data provided by GVEA.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engine fuel consumption rate of 32 gals/hr and limited operations of 52 hours/yr. 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based on data provided by GVEA.</t>
        </r>
      </text>
    </comment>
  </commentList>
</comments>
</file>

<file path=xl/sharedStrings.xml><?xml version="1.0" encoding="utf-8"?>
<sst xmlns="http://schemas.openxmlformats.org/spreadsheetml/2006/main" count="486" uniqueCount="182">
  <si>
    <t>Pollutant</t>
  </si>
  <si>
    <t>Control Technology Used</t>
  </si>
  <si>
    <t>None</t>
  </si>
  <si>
    <t>Good Combustion Practices</t>
  </si>
  <si>
    <t>Low Sulfur Fuel</t>
  </si>
  <si>
    <t>Number of RBLC Entries (11 Total)</t>
  </si>
  <si>
    <r>
      <t>SO</t>
    </r>
    <r>
      <rPr>
        <vertAlign val="subscript"/>
        <sz val="12"/>
        <color indexed="8"/>
        <rFont val="Calibri"/>
        <family val="2"/>
      </rPr>
      <t>2</t>
    </r>
  </si>
  <si>
    <t>Limited Operation</t>
  </si>
  <si>
    <t>Low-Sulfur Fuel</t>
  </si>
  <si>
    <t>ULSD</t>
  </si>
  <si>
    <t>Number of RBLC Entries (6 Total)</t>
  </si>
  <si>
    <t>Number of RBLC Entries (54 Total)</t>
  </si>
  <si>
    <t>Emission Unit</t>
  </si>
  <si>
    <t>ID</t>
  </si>
  <si>
    <t>Combined Cycle Gas Turbine</t>
  </si>
  <si>
    <t>7</t>
  </si>
  <si>
    <t>1</t>
  </si>
  <si>
    <t>2</t>
  </si>
  <si>
    <t>Low Sulfur Fuel (0.05 wt. pct. S)</t>
  </si>
  <si>
    <t>Federal Standards</t>
  </si>
  <si>
    <t>Limited Operation + Low Sulfur Fuel (0.05 wt. pct. S)</t>
  </si>
  <si>
    <t>Note: Data is based on a RBLC review from January 1, 2005 through September 15, 2015.</t>
  </si>
  <si>
    <r>
      <t>Table E-1a. Summary of Identified SO</t>
    </r>
    <r>
      <rPr>
        <b/>
        <vertAlign val="subscript"/>
        <sz val="12"/>
        <color indexed="8"/>
        <rFont val="Calibri"/>
        <family val="2"/>
      </rPr>
      <t>2</t>
    </r>
    <r>
      <rPr>
        <b/>
        <sz val="12"/>
        <color indexed="8"/>
        <rFont val="Calibri"/>
        <family val="2"/>
      </rPr>
      <t xml:space="preserve"> Control Technology -  Liquid Fuel-Fired Simple Cycle Turbines &gt; 25 MW (RBLC 15.190)</t>
    </r>
  </si>
  <si>
    <r>
      <t>Table E-1b. Summary of Identified SO</t>
    </r>
    <r>
      <rPr>
        <b/>
        <vertAlign val="subscript"/>
        <sz val="12"/>
        <color indexed="8"/>
        <rFont val="Calibri"/>
        <family val="2"/>
      </rPr>
      <t>2</t>
    </r>
    <r>
      <rPr>
        <b/>
        <sz val="12"/>
        <color indexed="8"/>
        <rFont val="Calibri"/>
        <family val="2"/>
      </rPr>
      <t xml:space="preserve"> Control Technology -  Liquid Fuel-Fired Combined Cycle Turbines &gt; 25 MW (RBLC 15.290)</t>
    </r>
  </si>
  <si>
    <r>
      <t>Table E-1c. Summary of Identified SO</t>
    </r>
    <r>
      <rPr>
        <b/>
        <vertAlign val="subscript"/>
        <sz val="12"/>
        <color indexed="8"/>
        <rFont val="Calibri"/>
        <family val="2"/>
      </rPr>
      <t>2</t>
    </r>
    <r>
      <rPr>
        <b/>
        <sz val="12"/>
        <color indexed="8"/>
        <rFont val="Calibri"/>
        <family val="2"/>
      </rPr>
      <t xml:space="preserve"> Control Technology - Large Diesel Engines &gt; 500 hp (RBLC 17.110)</t>
    </r>
  </si>
  <si>
    <r>
      <t>Table E-1d. Summary of Identified SO</t>
    </r>
    <r>
      <rPr>
        <b/>
        <vertAlign val="subscript"/>
        <sz val="12"/>
        <color indexed="8"/>
        <rFont val="Calibri"/>
        <family val="2"/>
      </rPr>
      <t>2</t>
    </r>
    <r>
      <rPr>
        <b/>
        <sz val="12"/>
        <color indexed="8"/>
        <rFont val="Calibri"/>
        <family val="2"/>
      </rPr>
      <t xml:space="preserve"> Control Technology -  Natural Gas-Fired Commercial/Institutional Boilers &lt;100 MMBtu/hr (RBLC 13.310)</t>
    </r>
  </si>
  <si>
    <t>Description</t>
  </si>
  <si>
    <t>Simple Cycle Gas Turbine</t>
  </si>
  <si>
    <t>1, 2</t>
  </si>
  <si>
    <t>5, 6</t>
  </si>
  <si>
    <t>11, 12</t>
  </si>
  <si>
    <t>Propane-Fired Boiler</t>
  </si>
  <si>
    <t>Technically Feasible Control Technology</t>
  </si>
  <si>
    <t>Low Sulfur Fuel (existing)</t>
  </si>
  <si>
    <t>ULSD (0.0015 wt. pct. S)</t>
  </si>
  <si>
    <t>Limited Operation + ULSD (0.0015 wt. pct. S)</t>
  </si>
  <si>
    <t>Limited Operation (0.1 wt. pct. S) (existing)</t>
  </si>
  <si>
    <t>Emergency Generator Engine</t>
  </si>
  <si>
    <t xml:space="preserve"> </t>
  </si>
  <si>
    <t>Fuel Oil</t>
  </si>
  <si>
    <t>Boiler</t>
  </si>
  <si>
    <t>Propane</t>
  </si>
  <si>
    <t>Control Technology Option</t>
  </si>
  <si>
    <t>Total Installed Capital ($)</t>
  </si>
  <si>
    <t>Annual O&amp;M Cost ($/year)</t>
  </si>
  <si>
    <t>~</t>
  </si>
  <si>
    <t>Emergency Generator Engine (EU ID 7)</t>
  </si>
  <si>
    <r>
      <t>SO</t>
    </r>
    <r>
      <rPr>
        <b/>
        <vertAlign val="subscript"/>
        <sz val="11"/>
        <color indexed="8"/>
        <rFont val="Arial"/>
        <family val="2"/>
      </rPr>
      <t xml:space="preserve">2 </t>
    </r>
    <r>
      <rPr>
        <b/>
        <sz val="11"/>
        <color indexed="8"/>
        <rFont val="Arial"/>
        <family val="2"/>
      </rPr>
      <t>Emissions (tpy)</t>
    </r>
  </si>
  <si>
    <r>
      <t>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Emissions Reduction (tpy)</t>
    </r>
  </si>
  <si>
    <r>
      <t>Emission Rate</t>
    </r>
    <r>
      <rPr>
        <b/>
        <vertAlign val="superscript"/>
        <sz val="11"/>
        <rFont val="Arial"/>
        <family val="2"/>
      </rPr>
      <t>1</t>
    </r>
  </si>
  <si>
    <r>
      <t>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Emissions (tpy)</t>
    </r>
  </si>
  <si>
    <r>
      <t>Cost Effectiveness ($/ton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removed)</t>
    </r>
  </si>
  <si>
    <t>Shaded cells indicate user inputs</t>
  </si>
  <si>
    <t xml:space="preserve">Project:  </t>
  </si>
  <si>
    <t>Prepared By:</t>
  </si>
  <si>
    <t>Checked By:</t>
  </si>
  <si>
    <t>Rev:</t>
  </si>
  <si>
    <t>Annualized Costs</t>
  </si>
  <si>
    <t>DIRECT ANNUAL COSTS</t>
  </si>
  <si>
    <t>QTY</t>
  </si>
  <si>
    <t>UNIT</t>
  </si>
  <si>
    <t xml:space="preserve"> TOTAL MATERIALS COST</t>
  </si>
  <si>
    <t xml:space="preserve"> TOTAL LABOR COST</t>
  </si>
  <si>
    <t>TOTAL</t>
  </si>
  <si>
    <t>(1)</t>
  </si>
  <si>
    <t>Operating &amp; Maintenance Costs</t>
  </si>
  <si>
    <t>%</t>
  </si>
  <si>
    <t>(2)</t>
  </si>
  <si>
    <t>Repair &amp; Replacement Costs</t>
  </si>
  <si>
    <t>(3)</t>
  </si>
  <si>
    <t>Maintenance Materials</t>
  </si>
  <si>
    <t>LOT</t>
  </si>
  <si>
    <t>excluded in this estimate</t>
  </si>
  <si>
    <t>(4)</t>
  </si>
  <si>
    <t>Utilities</t>
  </si>
  <si>
    <t>(a)</t>
  </si>
  <si>
    <t>ULSD Costs:</t>
  </si>
  <si>
    <t>GAL</t>
  </si>
  <si>
    <t>Total Direct Annual Costs (TDAC)</t>
  </si>
  <si>
    <t xml:space="preserve"> TDAC   =</t>
  </si>
  <si>
    <t>INDIRECT ANNUAL COSTS</t>
  </si>
  <si>
    <t>(5)</t>
  </si>
  <si>
    <t>Overhead</t>
  </si>
  <si>
    <t>(6)</t>
  </si>
  <si>
    <t>Administrative Charges, Property Taxes, Insurance</t>
  </si>
  <si>
    <t>% of capital</t>
  </si>
  <si>
    <t>Capital Recovery Factor [see inputs below]</t>
  </si>
  <si>
    <t>(7)</t>
  </si>
  <si>
    <t>Capital Recovery</t>
  </si>
  <si>
    <t xml:space="preserve">CRF * TCI  = </t>
  </si>
  <si>
    <t>Total Indirect Annual Costs (TIAC)</t>
  </si>
  <si>
    <t xml:space="preserve"> TIAC   =</t>
  </si>
  <si>
    <t>TOTAL ANNUALIZED COSTS (TAC)</t>
  </si>
  <si>
    <t>TAC = (TDAC) + (TIAC)  =</t>
  </si>
  <si>
    <t>Cost Effectiveness Summary</t>
  </si>
  <si>
    <t>=</t>
  </si>
  <si>
    <t>COST EFFECTIVENESS ($ PER TON AVOIDED)</t>
  </si>
  <si>
    <t xml:space="preserve">(TAC)/(TPY)   = </t>
  </si>
  <si>
    <t>Data Inputs for Capital Recovery Factor:</t>
  </si>
  <si>
    <t xml:space="preserve">Annual Interest Rate (EPA OAQPS Control Cost Manual)  </t>
  </si>
  <si>
    <t xml:space="preserve">Project Life (EPA OAQPS Control Cost Manual) </t>
  </si>
  <si>
    <t>years</t>
  </si>
  <si>
    <t>the Diesel-fired Simple Cycle Gas Turbine (EU ID 1)</t>
  </si>
  <si>
    <t>Table 5-4. Annualized Costs for ULSD on</t>
  </si>
  <si>
    <t>Table 5-5. Annualized Costs for ULSD on</t>
  </si>
  <si>
    <t>the Diesel-fired Simple Cycle Gas Turbine (EU ID 2)</t>
  </si>
  <si>
    <t>Table 5-6. Annualized Costs for ULSD on</t>
  </si>
  <si>
    <t>30 ppm S in fuel</t>
  </si>
  <si>
    <t>Simple Cycle Turbine</t>
  </si>
  <si>
    <t>0.0012 lb/kgal</t>
  </si>
  <si>
    <t>Combined Cycle Gas Turbines  (EU IDs 5 and 6)</t>
  </si>
  <si>
    <t>Propane Fired Boilers  (EU IDs 11 and 12)</t>
  </si>
  <si>
    <t>Low Sulfur Fuel (0.05 wt. pct. S) + Limited Operation</t>
  </si>
  <si>
    <t>ULSD (0.0015 wt. pct. S) + Limited Operation</t>
  </si>
  <si>
    <t>Emission Control Technology</t>
  </si>
  <si>
    <t>Control Efficiency (pct.)</t>
  </si>
  <si>
    <t>Available Emission Control Technology</t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</si>
  <si>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1 - GE Frame 7 CT)</t>
    </r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</si>
  <si>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2 - GE Frame 7 CT)</t>
    </r>
  </si>
  <si>
    <t>the Diesel-fired Emergency Generator Engine (EU ID 7)</t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</si>
  <si>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7 - Generac Gen Set Engine)</t>
    </r>
  </si>
  <si>
    <r>
      <t xml:space="preserve">1 </t>
    </r>
    <r>
      <rPr>
        <sz val="10"/>
        <rFont val="Arial"/>
        <family val="2"/>
      </rPr>
      <t>All emission costs are on a per emission unit basis.</t>
    </r>
  </si>
  <si>
    <t>Emission Rate for Each Emission Unit</t>
  </si>
  <si>
    <r>
      <t>1</t>
    </r>
    <r>
      <rPr>
        <sz val="11"/>
        <rFont val="Arial"/>
        <family val="2"/>
      </rPr>
      <t xml:space="preserve"> Emissions are on a per emission unit basis.</t>
    </r>
  </si>
  <si>
    <r>
      <t>Table 5-1. Summary of Available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Control Technology</t>
    </r>
  </si>
  <si>
    <r>
      <t>Table 5-2. Summary of Technically Feasible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Control Technology</t>
    </r>
  </si>
  <si>
    <r>
      <t>Table 5-3. Ranking of Technically Feasible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Control Technology</t>
    </r>
  </si>
  <si>
    <t>LSR</t>
  </si>
  <si>
    <t>Table 5-7. Annualized Costs for ULSD on</t>
  </si>
  <si>
    <r>
      <t>Table 5-8. GVEA North Pole Facility - SO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BACT Cost Effectiveness</t>
    </r>
  </si>
  <si>
    <r>
      <t>Table 5-9.  GVEA North Pole Facility - Proposed 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BACT and Associated</t>
    </r>
  </si>
  <si>
    <r>
      <t>GVEA North Pole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IDs 5 and 6 - GE LM6000PC CT)</t>
    </r>
  </si>
  <si>
    <t>the Diesel-fired Combined Cycle Gas Turbines (EU IDs 5 and 6)</t>
  </si>
  <si>
    <t>Good Combustion Practices (0.50 wt. pct. S) (existing)</t>
  </si>
  <si>
    <t>Good Combustion Practices and LSR</t>
  </si>
  <si>
    <r>
      <t>TOTAL TONS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AVOIDED PER YEAR</t>
    </r>
  </si>
  <si>
    <t>Combined Cycle Gas Turbines (per turbine)</t>
  </si>
  <si>
    <t>Low Sulfur Fuel (propane) (existing)</t>
  </si>
  <si>
    <t>Simple Cycle Gas Turbine (EU ID 1)</t>
  </si>
  <si>
    <t>Simple Cycle Gas Turbine (EU ID 2)</t>
  </si>
  <si>
    <t>Total Annualized Cost ($/year)</t>
  </si>
  <si>
    <t>Heat Input, MMBtu/day (combined for each set of combustion turbines)</t>
  </si>
  <si>
    <t>Percentage of Heat Input</t>
  </si>
  <si>
    <t>Capital Cost (apportioned based on heat input ratio)</t>
  </si>
  <si>
    <t>Capital Cost (apportioned per combustion turbine)</t>
  </si>
  <si>
    <t>Capital Recovery (per combustion turbine)</t>
  </si>
  <si>
    <t>Administrative Charges, Property Taxes, Insurance (per combustion turbine)</t>
  </si>
  <si>
    <t>Total Annual Indirect Cost (per combustion turbine)</t>
  </si>
  <si>
    <t>Capital recovery factor</t>
  </si>
  <si>
    <t>Annual Interest Rate (EPA OAQPS Control</t>
  </si>
  <si>
    <t>pct.</t>
  </si>
  <si>
    <t xml:space="preserve">    Cost Manual)</t>
  </si>
  <si>
    <t>Project Life (EPA OAQPS Control Cost</t>
  </si>
  <si>
    <t xml:space="preserve">     Manual)</t>
  </si>
  <si>
    <t>Administrative Charges, Property Taxes</t>
  </si>
  <si>
    <t xml:space="preserve">     Insurance (percentage of total capital</t>
  </si>
  <si>
    <t xml:space="preserve">     cost)</t>
  </si>
  <si>
    <t>Capital cost estimate for 1.27 million gallons of storage capacity.</t>
  </si>
  <si>
    <t>Table 5-10. Capital Cost for New ULSD Storage Based on</t>
  </si>
  <si>
    <r>
      <t xml:space="preserve">Total Indirect Annual Costs (TIAC)  </t>
    </r>
    <r>
      <rPr>
        <b/>
        <sz val="11"/>
        <rFont val="Calibri"/>
        <family val="2"/>
        <scheme val="minor"/>
      </rPr>
      <t>(refer to Table 5-10)</t>
    </r>
  </si>
  <si>
    <r>
      <t xml:space="preserve">Total Indirect Annual Costs (TIAC) </t>
    </r>
    <r>
      <rPr>
        <b/>
        <sz val="11"/>
        <rFont val="Calibri"/>
        <family val="2"/>
        <scheme val="minor"/>
      </rPr>
      <t>(refer to Table 5-10)</t>
    </r>
  </si>
  <si>
    <t>COST EFFECTIVENESS ($ PER TON AVOIDED BASED ON PTE)</t>
  </si>
  <si>
    <r>
      <t>COST EFFECTIVENESS ($ PER TON PM AVOIDED BASED ON 6 TONS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AVOIDED = EQUIVALENT TO 1 TON PM AVOIDED)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</si>
  <si>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COST EFFECTIVENESS ($ PER TON PM AVOIDED BASED ON 6 TONS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AVOIDED =  1 TON PM AVOIDED)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</si>
  <si>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COST EFFECTIVENESS ($ PER TON AVOIDED BASED ON ACTUAL HISTORIC RUN TIMES, AVOIDING 142.3 TONS PER  YEAR)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</si>
  <si>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COST EFFECTIVENESS ($ PER TON AVOIDED BASED ON ACTUALS, AVOIDING 422.3 TONS PER  YEAR)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</si>
  <si>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Summary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for Each Emission Unit Based on PTE</t>
    </r>
  </si>
  <si>
    <r>
      <t>Summary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for Each Emission Unit Based on Actuals</t>
    </r>
  </si>
  <si>
    <r>
      <t>Alaska Department of Environmental Conservation, Amendments to State Air Quality Control Plan Vol. III: Appendix III.D.5.7, page 52. In reference to fuel oil emissions,  "Ambient sampling and modeling in FNSB indicates that reduction of six tons of SO</t>
    </r>
    <r>
      <rPr>
        <vertAlign val="subscript"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emissions result in the same reduction in ambient PM</t>
    </r>
    <r>
      <rPr>
        <vertAlign val="subscript"/>
        <sz val="12"/>
        <color theme="1"/>
        <rFont val="Calibri"/>
        <family val="2"/>
        <scheme val="minor"/>
      </rPr>
      <t>2.5</t>
    </r>
    <r>
      <rPr>
        <sz val="12"/>
        <color theme="1"/>
        <rFont val="Calibri"/>
        <family val="2"/>
        <scheme val="minor"/>
      </rPr>
      <t xml:space="preserve"> concentration as the reduction of one ton of directly emitted PM</t>
    </r>
    <r>
      <rPr>
        <vertAlign val="subscript"/>
        <sz val="12"/>
        <color theme="1"/>
        <rFont val="Calibri"/>
        <family val="2"/>
        <scheme val="minor"/>
      </rPr>
      <t>2.5</t>
    </r>
    <r>
      <rPr>
        <sz val="12"/>
        <color theme="1"/>
        <rFont val="Calibri"/>
        <family val="2"/>
        <scheme val="minor"/>
      </rPr>
      <t>".</t>
    </r>
  </si>
  <si>
    <t>500 ppm S in fuel</t>
  </si>
  <si>
    <t>Good Combustion Practices  (existing)</t>
  </si>
  <si>
    <t>Low Sulfur Fuel - Propane (existing)</t>
  </si>
  <si>
    <t>LSR (existing)</t>
  </si>
  <si>
    <t>Maximum Fuel Use and Actual Fuel Use</t>
  </si>
  <si>
    <t>Capital Cost Estimate</t>
  </si>
  <si>
    <t>North Pole 
EUs 1 and 2 Maximum Fuel Use</t>
  </si>
  <si>
    <t>North Pole 
EUs 1 and 2 Actual Fuel Use</t>
  </si>
  <si>
    <t>Annual average run hours for EU 1  from 2009-2016 is 833 hours, and the peak in the last four years has been 587 hours.  833 hours equates to 4,305,969 gallons of fuel, a TDAC of $1,148,832, and a TAC of $3,068,356.  The capital cost of bulk fuel storage would be less and the TIAC for actuals is shown in Table 5-10.</t>
  </si>
  <si>
    <t>Annual average run hours for EU 2  from 2009-2016 is 2472 hours, and the peak in the last four years has been 2873 hours.  2472 hours equates to 12,778,338 gallons of fuel, a TDAC of $3,409,261, and a TAC of $5,328,784. The capital cost of bulk fuel storage would be less and the TIAC for actuals is shown in Table 5-10.</t>
  </si>
  <si>
    <t>Zehnder 
EUs 1 and 2 Maximum Fuel Use</t>
  </si>
  <si>
    <t>Zehnder 
EUs 1 and 2 Actual Fuel Use</t>
  </si>
  <si>
    <t>LSR (0.0050 wt. pct. S) + JetA/No. 1 Diesel (0.3 wt. pct. S, 1.5x10^6 gal/yr) Good Combustion Practices (existing)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</si>
</sst>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"/>
    <numFmt numFmtId="166" formatCode="&quot;$&quot;#,##0"/>
    <numFmt numFmtId="167" formatCode="&quot;$&quot;#,##0.00"/>
    <numFmt numFmtId="168" formatCode="_(* #,##0_);_(* \(#,##0\);_(* &quot;-&quot;??_);_(@_)"/>
    <numFmt numFmtId="169" formatCode="#,##0.0"/>
    <numFmt numFmtId="170" formatCode="0.0%"/>
    <numFmt numFmtId="171" formatCode="_(&quot;$&quot;* #,##0_);_(&quot;$&quot;* \(#,##0\);_(&quot;$&quot;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Helvetica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color indexed="8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vertAlign val="superscript"/>
      <sz val="11"/>
      <color rgb="FFFF0000"/>
      <name val="Arial"/>
      <family val="2"/>
    </font>
    <font>
      <b/>
      <vertAlign val="subscript"/>
      <sz val="12"/>
      <color theme="1"/>
      <name val="Calibri"/>
      <family val="2"/>
      <scheme val="minor"/>
    </font>
    <font>
      <sz val="12"/>
      <name val="Times New Roman"/>
      <family val="1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8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8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0" fillId="0" borderId="0" xfId="0" applyFont="1"/>
    <xf numFmtId="0" fontId="13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1" fillId="0" borderId="0" xfId="0" applyFont="1" applyAlignment="1">
      <alignment horizontal="centerContinuous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0" xfId="1" applyFont="1"/>
    <xf numFmtId="0" fontId="10" fillId="0" borderId="0" xfId="0" applyFont="1" applyFill="1"/>
    <xf numFmtId="0" fontId="14" fillId="0" borderId="0" xfId="1" applyFont="1" applyAlignment="1">
      <alignment wrapText="1"/>
    </xf>
    <xf numFmtId="0" fontId="11" fillId="0" borderId="34" xfId="1" applyFont="1" applyBorder="1" applyAlignment="1">
      <alignment wrapText="1"/>
    </xf>
    <xf numFmtId="0" fontId="14" fillId="0" borderId="34" xfId="1" applyFont="1" applyBorder="1" applyAlignment="1">
      <alignment wrapText="1"/>
    </xf>
    <xf numFmtId="0" fontId="14" fillId="0" borderId="0" xfId="1" applyFont="1" applyFill="1" applyAlignment="1">
      <alignment wrapText="1"/>
    </xf>
    <xf numFmtId="0" fontId="15" fillId="2" borderId="19" xfId="1" applyFont="1" applyFill="1" applyBorder="1" applyAlignment="1">
      <alignment horizontal="center" vertical="center" wrapText="1"/>
    </xf>
    <xf numFmtId="0" fontId="15" fillId="2" borderId="36" xfId="1" applyFont="1" applyFill="1" applyBorder="1" applyAlignment="1">
      <alignment horizontal="center" vertical="center" wrapText="1"/>
    </xf>
    <xf numFmtId="0" fontId="15" fillId="2" borderId="37" xfId="1" applyFont="1" applyFill="1" applyBorder="1" applyAlignment="1">
      <alignment horizontal="center" vertical="top" wrapText="1"/>
    </xf>
    <xf numFmtId="0" fontId="15" fillId="4" borderId="23" xfId="1" applyFont="1" applyFill="1" applyBorder="1" applyAlignment="1">
      <alignment horizontal="center" vertical="center" wrapText="1"/>
    </xf>
    <xf numFmtId="0" fontId="15" fillId="4" borderId="38" xfId="1" applyFont="1" applyFill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top" wrapText="1"/>
    </xf>
    <xf numFmtId="0" fontId="15" fillId="3" borderId="39" xfId="1" applyFont="1" applyFill="1" applyBorder="1" applyAlignment="1">
      <alignment horizontal="center" vertical="top" wrapText="1"/>
    </xf>
    <xf numFmtId="0" fontId="15" fillId="3" borderId="22" xfId="1" applyFont="1" applyFill="1" applyBorder="1" applyAlignment="1">
      <alignment horizontal="center" vertical="top" wrapText="1"/>
    </xf>
    <xf numFmtId="0" fontId="13" fillId="0" borderId="1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14" fillId="0" borderId="34" xfId="1" applyFont="1" applyFill="1" applyBorder="1" applyAlignment="1">
      <alignment horizontal="center" vertical="center" wrapText="1"/>
    </xf>
    <xf numFmtId="0" fontId="14" fillId="0" borderId="41" xfId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left" wrapText="1"/>
    </xf>
    <xf numFmtId="164" fontId="14" fillId="0" borderId="0" xfId="1" applyNumberFormat="1" applyFont="1" applyFill="1" applyBorder="1" applyAlignment="1">
      <alignment wrapText="1"/>
    </xf>
    <xf numFmtId="0" fontId="15" fillId="0" borderId="44" xfId="1" applyFont="1" applyFill="1" applyBorder="1" applyAlignment="1">
      <alignment horizontal="center" vertical="center" wrapText="1"/>
    </xf>
    <xf numFmtId="0" fontId="15" fillId="0" borderId="38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top" wrapText="1"/>
    </xf>
    <xf numFmtId="0" fontId="15" fillId="0" borderId="22" xfId="1" applyFont="1" applyFill="1" applyBorder="1" applyAlignment="1">
      <alignment horizontal="center" vertical="top" wrapText="1"/>
    </xf>
    <xf numFmtId="0" fontId="14" fillId="0" borderId="0" xfId="1" applyFont="1" applyFill="1" applyAlignment="1"/>
    <xf numFmtId="0" fontId="14" fillId="0" borderId="0" xfId="1" applyFont="1" applyAlignment="1"/>
    <xf numFmtId="167" fontId="13" fillId="0" borderId="40" xfId="1" applyNumberFormat="1" applyFont="1" applyFill="1" applyBorder="1" applyAlignment="1">
      <alignment horizontal="center" vertical="center" wrapText="1"/>
    </xf>
    <xf numFmtId="0" fontId="13" fillId="0" borderId="49" xfId="1" applyFont="1" applyFill="1" applyBorder="1" applyAlignment="1">
      <alignment horizontal="center" vertical="center" wrapText="1"/>
    </xf>
    <xf numFmtId="0" fontId="13" fillId="0" borderId="40" xfId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51" xfId="0" applyNumberFormat="1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0" fillId="0" borderId="55" xfId="0" applyBorder="1"/>
    <xf numFmtId="0" fontId="0" fillId="0" borderId="0" xfId="0" applyBorder="1"/>
    <xf numFmtId="0" fontId="0" fillId="0" borderId="40" xfId="0" applyBorder="1"/>
    <xf numFmtId="0" fontId="0" fillId="0" borderId="0" xfId="0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57" xfId="0" applyBorder="1"/>
    <xf numFmtId="0" fontId="0" fillId="0" borderId="34" xfId="0" applyBorder="1"/>
    <xf numFmtId="0" fontId="0" fillId="0" borderId="34" xfId="0" applyBorder="1" applyAlignment="1">
      <alignment horizontal="right"/>
    </xf>
    <xf numFmtId="0" fontId="0" fillId="0" borderId="58" xfId="0" applyBorder="1" applyAlignment="1">
      <alignment horizontal="right"/>
    </xf>
    <xf numFmtId="0" fontId="20" fillId="0" borderId="59" xfId="0" applyFont="1" applyBorder="1"/>
    <xf numFmtId="0" fontId="20" fillId="0" borderId="60" xfId="0" applyFont="1" applyBorder="1"/>
    <xf numFmtId="0" fontId="0" fillId="0" borderId="60" xfId="0" applyBorder="1"/>
    <xf numFmtId="0" fontId="19" fillId="0" borderId="60" xfId="0" applyFont="1" applyBorder="1" applyAlignment="1">
      <alignment horizontal="center"/>
    </xf>
    <xf numFmtId="0" fontId="21" fillId="0" borderId="60" xfId="0" applyFont="1" applyBorder="1" applyAlignment="1">
      <alignment horizontal="center"/>
    </xf>
    <xf numFmtId="0" fontId="19" fillId="0" borderId="60" xfId="0" applyFont="1" applyFill="1" applyBorder="1" applyAlignment="1">
      <alignment horizontal="center"/>
    </xf>
    <xf numFmtId="0" fontId="19" fillId="0" borderId="61" xfId="0" applyFont="1" applyBorder="1" applyAlignment="1">
      <alignment horizontal="center"/>
    </xf>
    <xf numFmtId="49" fontId="0" fillId="0" borderId="55" xfId="0" applyNumberFormat="1" applyBorder="1"/>
    <xf numFmtId="9" fontId="0" fillId="5" borderId="1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2" fontId="0" fillId="0" borderId="0" xfId="0" applyNumberFormat="1" applyBorder="1"/>
    <xf numFmtId="42" fontId="0" fillId="0" borderId="0" xfId="0" applyNumberFormat="1" applyBorder="1" applyAlignment="1">
      <alignment horizontal="right"/>
    </xf>
    <xf numFmtId="42" fontId="0" fillId="0" borderId="56" xfId="0" applyNumberFormat="1" applyBorder="1"/>
    <xf numFmtId="0" fontId="0" fillId="5" borderId="11" xfId="0" applyFill="1" applyBorder="1" applyAlignment="1">
      <alignment horizontal="center"/>
    </xf>
    <xf numFmtId="44" fontId="0" fillId="0" borderId="0" xfId="0" applyNumberFormat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55" xfId="0" applyBorder="1" applyAlignment="1">
      <alignment horizontal="left"/>
    </xf>
    <xf numFmtId="49" fontId="22" fillId="0" borderId="0" xfId="0" applyNumberFormat="1" applyFont="1" applyBorder="1"/>
    <xf numFmtId="165" fontId="0" fillId="0" borderId="0" xfId="0" applyNumberFormat="1" applyFill="1" applyBorder="1"/>
    <xf numFmtId="42" fontId="23" fillId="0" borderId="0" xfId="0" applyNumberFormat="1" applyFont="1" applyBorder="1"/>
    <xf numFmtId="49" fontId="22" fillId="0" borderId="62" xfId="0" applyNumberFormat="1" applyFont="1" applyBorder="1"/>
    <xf numFmtId="49" fontId="22" fillId="0" borderId="46" xfId="0" applyNumberFormat="1" applyFont="1" applyBorder="1"/>
    <xf numFmtId="0" fontId="0" fillId="0" borderId="46" xfId="0" applyBorder="1" applyAlignment="1">
      <alignment horizontal="left"/>
    </xf>
    <xf numFmtId="165" fontId="0" fillId="0" borderId="46" xfId="0" applyNumberFormat="1" applyBorder="1" applyAlignment="1">
      <alignment horizontal="center"/>
    </xf>
    <xf numFmtId="44" fontId="0" fillId="0" borderId="46" xfId="0" applyNumberFormat="1" applyBorder="1" applyAlignment="1">
      <alignment horizontal="right"/>
    </xf>
    <xf numFmtId="42" fontId="0" fillId="0" borderId="46" xfId="0" applyNumberFormat="1" applyBorder="1" applyAlignment="1">
      <alignment horizontal="right"/>
    </xf>
    <xf numFmtId="42" fontId="0" fillId="0" borderId="46" xfId="0" applyNumberFormat="1" applyBorder="1"/>
    <xf numFmtId="42" fontId="23" fillId="0" borderId="46" xfId="0" applyNumberFormat="1" applyFont="1" applyBorder="1"/>
    <xf numFmtId="42" fontId="22" fillId="0" borderId="46" xfId="0" applyNumberFormat="1" applyFont="1" applyBorder="1" applyAlignment="1">
      <alignment horizontal="right"/>
    </xf>
    <xf numFmtId="42" fontId="0" fillId="0" borderId="63" xfId="0" applyNumberFormat="1" applyBorder="1"/>
    <xf numFmtId="42" fontId="22" fillId="0" borderId="0" xfId="0" applyNumberFormat="1" applyFont="1" applyBorder="1" applyAlignment="1">
      <alignment horizontal="right"/>
    </xf>
    <xf numFmtId="0" fontId="20" fillId="0" borderId="55" xfId="0" applyFont="1" applyBorder="1" applyAlignment="1">
      <alignment horizontal="left"/>
    </xf>
    <xf numFmtId="0" fontId="20" fillId="0" borderId="0" xfId="0" applyFont="1" applyBorder="1"/>
    <xf numFmtId="44" fontId="0" fillId="0" borderId="0" xfId="0" applyNumberFormat="1" applyBorder="1" applyAlignment="1">
      <alignment horizontal="right"/>
    </xf>
    <xf numFmtId="10" fontId="0" fillId="5" borderId="11" xfId="0" applyNumberFormat="1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24" fillId="0" borderId="0" xfId="0" applyFont="1"/>
    <xf numFmtId="42" fontId="22" fillId="0" borderId="0" xfId="0" applyNumberFormat="1" applyFont="1" applyBorder="1"/>
    <xf numFmtId="42" fontId="21" fillId="0" borderId="0" xfId="0" applyNumberFormat="1" applyFont="1" applyBorder="1" applyAlignment="1">
      <alignment horizontal="right"/>
    </xf>
    <xf numFmtId="0" fontId="23" fillId="0" borderId="46" xfId="0" applyFont="1" applyBorder="1"/>
    <xf numFmtId="0" fontId="23" fillId="0" borderId="46" xfId="0" applyFont="1" applyBorder="1" applyAlignment="1">
      <alignment horizontal="center"/>
    </xf>
    <xf numFmtId="42" fontId="0" fillId="0" borderId="46" xfId="0" applyNumberFormat="1" applyFill="1" applyBorder="1"/>
    <xf numFmtId="49" fontId="19" fillId="0" borderId="55" xfId="0" applyNumberFormat="1" applyFont="1" applyBorder="1"/>
    <xf numFmtId="49" fontId="19" fillId="0" borderId="0" xfId="0" applyNumberFormat="1" applyFont="1" applyBorder="1"/>
    <xf numFmtId="49" fontId="25" fillId="0" borderId="62" xfId="0" applyNumberFormat="1" applyFont="1" applyBorder="1"/>
    <xf numFmtId="49" fontId="25" fillId="0" borderId="46" xfId="0" applyNumberFormat="1" applyFont="1" applyBorder="1"/>
    <xf numFmtId="0" fontId="0" fillId="0" borderId="46" xfId="0" applyBorder="1"/>
    <xf numFmtId="0" fontId="0" fillId="0" borderId="46" xfId="0" applyBorder="1" applyAlignment="1">
      <alignment horizontal="center"/>
    </xf>
    <xf numFmtId="42" fontId="22" fillId="0" borderId="46" xfId="0" applyNumberFormat="1" applyFont="1" applyBorder="1"/>
    <xf numFmtId="0" fontId="0" fillId="0" borderId="56" xfId="0" applyBorder="1"/>
    <xf numFmtId="0" fontId="20" fillId="0" borderId="55" xfId="0" applyFont="1" applyBorder="1"/>
    <xf numFmtId="49" fontId="0" fillId="0" borderId="0" xfId="0" applyNumberFormat="1" applyBorder="1" applyAlignment="1">
      <alignment horizontal="right"/>
    </xf>
    <xf numFmtId="0" fontId="0" fillId="5" borderId="67" xfId="0" applyFill="1" applyBorder="1" applyAlignment="1">
      <alignment horizontal="center"/>
    </xf>
    <xf numFmtId="0" fontId="20" fillId="0" borderId="68" xfId="0" applyFont="1" applyBorder="1"/>
    <xf numFmtId="0" fontId="20" fillId="0" borderId="69" xfId="0" applyFont="1" applyBorder="1"/>
    <xf numFmtId="0" fontId="0" fillId="0" borderId="69" xfId="0" applyBorder="1"/>
    <xf numFmtId="0" fontId="26" fillId="0" borderId="69" xfId="0" applyFont="1" applyBorder="1"/>
    <xf numFmtId="49" fontId="22" fillId="0" borderId="69" xfId="0" applyNumberFormat="1" applyFont="1" applyBorder="1" applyAlignment="1">
      <alignment horizontal="right"/>
    </xf>
    <xf numFmtId="42" fontId="0" fillId="0" borderId="70" xfId="0" applyNumberFormat="1" applyBorder="1"/>
    <xf numFmtId="0" fontId="19" fillId="0" borderId="71" xfId="0" applyFont="1" applyBorder="1" applyAlignment="1">
      <alignment horizontal="left"/>
    </xf>
    <xf numFmtId="0" fontId="19" fillId="0" borderId="7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73" xfId="0" applyBorder="1"/>
    <xf numFmtId="2" fontId="0" fillId="5" borderId="11" xfId="0" applyNumberFormat="1" applyFill="1" applyBorder="1" applyAlignment="1">
      <alignment horizontal="center"/>
    </xf>
    <xf numFmtId="0" fontId="0" fillId="0" borderId="48" xfId="0" applyBorder="1"/>
    <xf numFmtId="0" fontId="0" fillId="0" borderId="74" xfId="0" applyBorder="1"/>
    <xf numFmtId="0" fontId="0" fillId="5" borderId="14" xfId="0" applyFill="1" applyBorder="1" applyAlignment="1">
      <alignment horizontal="center"/>
    </xf>
    <xf numFmtId="0" fontId="0" fillId="0" borderId="75" xfId="0" applyBorder="1"/>
    <xf numFmtId="168" fontId="0" fillId="5" borderId="11" xfId="3" applyNumberFormat="1" applyFont="1" applyFill="1" applyBorder="1" applyAlignment="1">
      <alignment horizontal="center"/>
    </xf>
    <xf numFmtId="165" fontId="10" fillId="0" borderId="12" xfId="0" applyNumberFormat="1" applyFont="1" applyBorder="1" applyAlignment="1">
      <alignment horizontal="center"/>
    </xf>
    <xf numFmtId="166" fontId="13" fillId="0" borderId="11" xfId="1" applyNumberFormat="1" applyFont="1" applyFill="1" applyBorder="1" applyAlignment="1">
      <alignment horizontal="center" vertical="center" wrapText="1"/>
    </xf>
    <xf numFmtId="0" fontId="31" fillId="0" borderId="0" xfId="0" applyFont="1"/>
    <xf numFmtId="166" fontId="13" fillId="0" borderId="12" xfId="1" applyNumberFormat="1" applyFont="1" applyFill="1" applyBorder="1" applyAlignment="1">
      <alignment horizontal="center" vertical="center" wrapText="1"/>
    </xf>
    <xf numFmtId="0" fontId="14" fillId="0" borderId="36" xfId="1" applyFont="1" applyFill="1" applyBorder="1" applyAlignment="1">
      <alignment horizontal="center" vertical="center" wrapText="1"/>
    </xf>
    <xf numFmtId="164" fontId="14" fillId="0" borderId="16" xfId="1" applyNumberFormat="1" applyFont="1" applyFill="1" applyBorder="1" applyAlignment="1">
      <alignment horizontal="center" vertical="center" wrapText="1"/>
    </xf>
    <xf numFmtId="2" fontId="14" fillId="0" borderId="51" xfId="0" applyNumberFormat="1" applyFont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74" xfId="1" applyFont="1" applyFill="1" applyBorder="1" applyAlignment="1">
      <alignment horizontal="center" vertical="center" wrapText="1"/>
    </xf>
    <xf numFmtId="0" fontId="32" fillId="0" borderId="0" xfId="1" applyFont="1" applyFill="1" applyAlignment="1"/>
    <xf numFmtId="0" fontId="10" fillId="0" borderId="0" xfId="0" applyFont="1" applyAlignment="1">
      <alignment wrapText="1"/>
    </xf>
    <xf numFmtId="1" fontId="13" fillId="0" borderId="11" xfId="1" applyNumberFormat="1" applyFont="1" applyFill="1" applyBorder="1" applyAlignment="1">
      <alignment horizontal="center" vertical="center" wrapText="1"/>
    </xf>
    <xf numFmtId="167" fontId="13" fillId="0" borderId="11" xfId="1" applyNumberFormat="1" applyFont="1" applyFill="1" applyBorder="1" applyAlignment="1">
      <alignment horizontal="center" vertical="center" wrapText="1"/>
    </xf>
    <xf numFmtId="167" fontId="13" fillId="0" borderId="5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/>
    <xf numFmtId="0" fontId="0" fillId="0" borderId="11" xfId="0" applyFill="1" applyBorder="1" applyAlignment="1">
      <alignment horizontal="center"/>
    </xf>
    <xf numFmtId="1" fontId="13" fillId="0" borderId="14" xfId="1" applyNumberFormat="1" applyFont="1" applyFill="1" applyBorder="1" applyAlignment="1">
      <alignment horizontal="center" vertical="center" wrapText="1"/>
    </xf>
    <xf numFmtId="167" fontId="13" fillId="0" borderId="14" xfId="1" applyNumberFormat="1" applyFont="1" applyFill="1" applyBorder="1" applyAlignment="1">
      <alignment horizontal="center" vertical="center" wrapText="1"/>
    </xf>
    <xf numFmtId="0" fontId="35" fillId="0" borderId="0" xfId="1" applyFont="1" applyAlignment="1"/>
    <xf numFmtId="0" fontId="35" fillId="0" borderId="0" xfId="1" applyFont="1" applyFill="1" applyAlignment="1"/>
    <xf numFmtId="3" fontId="13" fillId="0" borderId="11" xfId="1" applyNumberFormat="1" applyFont="1" applyFill="1" applyBorder="1" applyAlignment="1">
      <alignment horizontal="center" vertical="center" wrapText="1"/>
    </xf>
    <xf numFmtId="0" fontId="13" fillId="0" borderId="50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3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4" fillId="0" borderId="48" xfId="1" applyFont="1" applyBorder="1" applyAlignment="1">
      <alignment vertical="center" wrapText="1"/>
    </xf>
    <xf numFmtId="0" fontId="13" fillId="0" borderId="75" xfId="1" applyNumberFormat="1" applyFont="1" applyFill="1" applyBorder="1" applyAlignment="1">
      <alignment horizontal="center" vertical="center" wrapText="1"/>
    </xf>
    <xf numFmtId="0" fontId="35" fillId="0" borderId="0" xfId="0" applyFont="1"/>
    <xf numFmtId="0" fontId="2" fillId="0" borderId="0" xfId="0" applyFont="1"/>
    <xf numFmtId="3" fontId="0" fillId="5" borderId="11" xfId="0" applyNumberFormat="1" applyFill="1" applyBorder="1" applyAlignment="1">
      <alignment horizontal="center"/>
    </xf>
    <xf numFmtId="1" fontId="14" fillId="0" borderId="11" xfId="1" applyNumberFormat="1" applyFont="1" applyFill="1" applyBorder="1" applyAlignment="1">
      <alignment horizontal="center" vertical="center" wrapText="1"/>
    </xf>
    <xf numFmtId="3" fontId="0" fillId="5" borderId="67" xfId="0" applyNumberFormat="1" applyFill="1" applyBorder="1" applyAlignment="1">
      <alignment horizontal="center"/>
    </xf>
    <xf numFmtId="42" fontId="0" fillId="0" borderId="70" xfId="0" applyNumberFormat="1" applyFill="1" applyBorder="1"/>
    <xf numFmtId="164" fontId="10" fillId="0" borderId="11" xfId="0" applyNumberFormat="1" applyFont="1" applyFill="1" applyBorder="1" applyAlignment="1">
      <alignment horizontal="center"/>
    </xf>
    <xf numFmtId="169" fontId="10" fillId="0" borderId="6" xfId="0" applyNumberFormat="1" applyFont="1" applyFill="1" applyBorder="1" applyAlignment="1">
      <alignment horizontal="center" vertical="center"/>
    </xf>
    <xf numFmtId="169" fontId="10" fillId="0" borderId="12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164" fontId="0" fillId="5" borderId="67" xfId="0" applyNumberFormat="1" applyFill="1" applyBorder="1" applyAlignment="1">
      <alignment horizontal="center"/>
    </xf>
    <xf numFmtId="0" fontId="14" fillId="0" borderId="4" xfId="1" applyFont="1" applyFill="1" applyBorder="1" applyAlignment="1">
      <alignment horizontal="center" vertical="center" wrapText="1"/>
    </xf>
    <xf numFmtId="0" fontId="14" fillId="0" borderId="40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wrapText="1"/>
    </xf>
    <xf numFmtId="0" fontId="14" fillId="0" borderId="0" xfId="1" applyFont="1" applyFill="1" applyBorder="1" applyAlignment="1">
      <alignment horizontal="left" wrapText="1"/>
    </xf>
    <xf numFmtId="0" fontId="18" fillId="0" borderId="0" xfId="1" applyFont="1" applyFill="1" applyAlignment="1">
      <alignment wrapText="1"/>
    </xf>
    <xf numFmtId="0" fontId="36" fillId="0" borderId="0" xfId="1" applyFont="1" applyFill="1" applyAlignment="1"/>
    <xf numFmtId="0" fontId="30" fillId="0" borderId="0" xfId="4" applyFont="1" applyAlignment="1">
      <alignment horizontal="centerContinuous" vertical="center"/>
    </xf>
    <xf numFmtId="0" fontId="30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4" xfId="4" applyFont="1" applyBorder="1" applyAlignment="1">
      <alignment vertical="center"/>
    </xf>
    <xf numFmtId="0" fontId="1" fillId="0" borderId="0" xfId="4" applyFont="1" applyFill="1" applyAlignment="1">
      <alignment vertical="center"/>
    </xf>
    <xf numFmtId="0" fontId="11" fillId="0" borderId="0" xfId="1" applyFont="1" applyFill="1" applyAlignment="1">
      <alignment horizontal="center"/>
    </xf>
    <xf numFmtId="0" fontId="15" fillId="2" borderId="29" xfId="1" applyFont="1" applyFill="1" applyBorder="1" applyAlignment="1">
      <alignment horizontal="center" vertical="center" wrapText="1"/>
    </xf>
    <xf numFmtId="0" fontId="26" fillId="0" borderId="0" xfId="0" applyFont="1" applyBorder="1"/>
    <xf numFmtId="49" fontId="22" fillId="0" borderId="0" xfId="0" applyNumberFormat="1" applyFont="1" applyBorder="1" applyAlignment="1">
      <alignment horizontal="right"/>
    </xf>
    <xf numFmtId="42" fontId="0" fillId="0" borderId="56" xfId="0" applyNumberFormat="1" applyFill="1" applyBorder="1"/>
    <xf numFmtId="0" fontId="15" fillId="0" borderId="0" xfId="2" applyFont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77" xfId="0" applyFont="1" applyFill="1" applyBorder="1" applyAlignment="1">
      <alignment horizontal="center"/>
    </xf>
    <xf numFmtId="0" fontId="11" fillId="0" borderId="78" xfId="0" applyFont="1" applyFill="1" applyBorder="1" applyAlignment="1">
      <alignment horizontal="center" vertical="center"/>
    </xf>
    <xf numFmtId="0" fontId="14" fillId="2" borderId="79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0" borderId="80" xfId="0" applyFont="1" applyBorder="1" applyAlignment="1">
      <alignment horizontal="center"/>
    </xf>
    <xf numFmtId="0" fontId="11" fillId="0" borderId="18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wrapText="1"/>
    </xf>
    <xf numFmtId="0" fontId="11" fillId="0" borderId="82" xfId="0" applyFont="1" applyFill="1" applyBorder="1" applyAlignment="1">
      <alignment horizontal="center" vertical="center" wrapText="1"/>
    </xf>
    <xf numFmtId="0" fontId="11" fillId="0" borderId="8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164" fontId="10" fillId="2" borderId="25" xfId="0" applyNumberFormat="1" applyFont="1" applyFill="1" applyBorder="1" applyAlignment="1">
      <alignment horizontal="center"/>
    </xf>
    <xf numFmtId="169" fontId="10" fillId="2" borderId="79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/>
    </xf>
    <xf numFmtId="169" fontId="10" fillId="2" borderId="12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69" fontId="10" fillId="2" borderId="14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169" fontId="10" fillId="0" borderId="30" xfId="0" applyNumberFormat="1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4" fillId="0" borderId="7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0" fontId="14" fillId="2" borderId="3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164" fontId="14" fillId="2" borderId="79" xfId="0" applyNumberFormat="1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 wrapText="1"/>
    </xf>
    <xf numFmtId="164" fontId="14" fillId="2" borderId="14" xfId="0" applyNumberFormat="1" applyFont="1" applyFill="1" applyBorder="1" applyAlignment="1">
      <alignment horizontal="center" vertical="center"/>
    </xf>
    <xf numFmtId="164" fontId="14" fillId="2" borderId="16" xfId="0" applyNumberFormat="1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wrapText="1"/>
    </xf>
    <xf numFmtId="0" fontId="10" fillId="0" borderId="30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3" fillId="2" borderId="84" xfId="0" quotePrefix="1" applyFont="1" applyFill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 wrapText="1"/>
    </xf>
    <xf numFmtId="0" fontId="14" fillId="2" borderId="86" xfId="0" applyFont="1" applyFill="1" applyBorder="1" applyAlignment="1">
      <alignment horizontal="center"/>
    </xf>
    <xf numFmtId="0" fontId="10" fillId="2" borderId="85" xfId="0" applyFont="1" applyFill="1" applyBorder="1" applyAlignment="1">
      <alignment horizontal="center"/>
    </xf>
    <xf numFmtId="0" fontId="10" fillId="2" borderId="87" xfId="0" applyFont="1" applyFill="1" applyBorder="1" applyAlignment="1">
      <alignment horizontal="center"/>
    </xf>
    <xf numFmtId="0" fontId="15" fillId="6" borderId="42" xfId="1" applyFont="1" applyFill="1" applyBorder="1" applyAlignment="1">
      <alignment horizontal="center" vertical="center" wrapText="1"/>
    </xf>
    <xf numFmtId="0" fontId="15" fillId="6" borderId="43" xfId="1" applyFont="1" applyFill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 vertical="top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0" fillId="0" borderId="88" xfId="0" applyBorder="1"/>
    <xf numFmtId="0" fontId="0" fillId="0" borderId="89" xfId="0" applyBorder="1"/>
    <xf numFmtId="0" fontId="0" fillId="0" borderId="90" xfId="0" applyBorder="1"/>
    <xf numFmtId="0" fontId="0" fillId="0" borderId="89" xfId="0" applyBorder="1" applyAlignment="1">
      <alignment horizontal="right"/>
    </xf>
    <xf numFmtId="0" fontId="0" fillId="0" borderId="91" xfId="0" applyBorder="1" applyAlignment="1">
      <alignment horizontal="right"/>
    </xf>
    <xf numFmtId="0" fontId="1" fillId="0" borderId="1" xfId="10" applyFont="1" applyBorder="1" applyAlignment="1">
      <alignment vertical="center"/>
    </xf>
    <xf numFmtId="0" fontId="30" fillId="0" borderId="2" xfId="10" applyFont="1" applyBorder="1" applyAlignment="1">
      <alignment horizontal="center" vertical="center" wrapText="1"/>
    </xf>
    <xf numFmtId="0" fontId="30" fillId="0" borderId="3" xfId="10" applyFont="1" applyBorder="1" applyAlignment="1">
      <alignment horizontal="center" vertical="center" wrapText="1"/>
    </xf>
    <xf numFmtId="0" fontId="1" fillId="0" borderId="7" xfId="10" applyFont="1" applyBorder="1" applyAlignment="1">
      <alignment vertical="center" wrapText="1"/>
    </xf>
    <xf numFmtId="3" fontId="1" fillId="0" borderId="11" xfId="10" applyNumberFormat="1" applyFont="1" applyBorder="1" applyAlignment="1">
      <alignment horizontal="center" vertical="center"/>
    </xf>
    <xf numFmtId="3" fontId="1" fillId="0" borderId="12" xfId="10" applyNumberFormat="1" applyFont="1" applyBorder="1" applyAlignment="1">
      <alignment horizontal="center" vertical="center"/>
    </xf>
    <xf numFmtId="170" fontId="1" fillId="0" borderId="11" xfId="11" applyNumberFormat="1" applyFont="1" applyBorder="1" applyAlignment="1">
      <alignment horizontal="center" vertical="center"/>
    </xf>
    <xf numFmtId="170" fontId="1" fillId="0" borderId="12" xfId="11" applyNumberFormat="1" applyFont="1" applyBorder="1" applyAlignment="1">
      <alignment horizontal="center" vertical="center"/>
    </xf>
    <xf numFmtId="0" fontId="1" fillId="0" borderId="7" xfId="10" applyFont="1" applyBorder="1" applyAlignment="1">
      <alignment horizontal="left" vertical="center" wrapText="1"/>
    </xf>
    <xf numFmtId="171" fontId="1" fillId="0" borderId="11" xfId="12" applyNumberFormat="1" applyFont="1" applyBorder="1" applyAlignment="1">
      <alignment vertical="center"/>
    </xf>
    <xf numFmtId="171" fontId="1" fillId="0" borderId="12" xfId="12" applyNumberFormat="1" applyFont="1" applyBorder="1" applyAlignment="1">
      <alignment vertical="center"/>
    </xf>
    <xf numFmtId="171" fontId="1" fillId="0" borderId="11" xfId="10" applyNumberFormat="1" applyFont="1" applyBorder="1" applyAlignment="1">
      <alignment vertical="center"/>
    </xf>
    <xf numFmtId="171" fontId="1" fillId="0" borderId="12" xfId="10" applyNumberFormat="1" applyFont="1" applyBorder="1" applyAlignment="1">
      <alignment vertical="center"/>
    </xf>
    <xf numFmtId="0" fontId="30" fillId="0" borderId="8" xfId="10" applyFont="1" applyBorder="1" applyAlignment="1">
      <alignment vertical="center" wrapText="1"/>
    </xf>
    <xf numFmtId="171" fontId="30" fillId="0" borderId="14" xfId="10" applyNumberFormat="1" applyFont="1" applyBorder="1" applyAlignment="1">
      <alignment vertical="center"/>
    </xf>
    <xf numFmtId="171" fontId="30" fillId="0" borderId="16" xfId="10" applyNumberFormat="1" applyFont="1" applyBorder="1" applyAlignment="1">
      <alignment vertical="center"/>
    </xf>
    <xf numFmtId="0" fontId="1" fillId="0" borderId="0" xfId="10" applyFont="1" applyAlignment="1">
      <alignment vertical="center"/>
    </xf>
    <xf numFmtId="165" fontId="1" fillId="5" borderId="11" xfId="10" applyNumberFormat="1" applyFont="1" applyFill="1" applyBorder="1" applyAlignment="1">
      <alignment vertical="center"/>
    </xf>
    <xf numFmtId="0" fontId="30" fillId="0" borderId="0" xfId="10" applyFont="1" applyBorder="1" applyAlignment="1">
      <alignment horizontal="left" vertical="center"/>
    </xf>
    <xf numFmtId="0" fontId="1" fillId="0" borderId="0" xfId="10" applyFont="1" applyBorder="1" applyAlignment="1">
      <alignment vertical="center"/>
    </xf>
    <xf numFmtId="0" fontId="30" fillId="0" borderId="0" xfId="10" applyFont="1" applyBorder="1" applyAlignment="1">
      <alignment horizontal="center" vertical="center"/>
    </xf>
    <xf numFmtId="2" fontId="1" fillId="5" borderId="11" xfId="10" applyNumberFormat="1" applyFont="1" applyFill="1" applyBorder="1" applyAlignment="1">
      <alignment horizontal="center" vertical="center"/>
    </xf>
    <xf numFmtId="0" fontId="1" fillId="5" borderId="11" xfId="10" applyFont="1" applyFill="1" applyBorder="1" applyAlignment="1">
      <alignment horizontal="center" vertical="center"/>
    </xf>
    <xf numFmtId="10" fontId="1" fillId="5" borderId="11" xfId="10" applyNumberFormat="1" applyFont="1" applyFill="1" applyBorder="1" applyAlignment="1">
      <alignment horizontal="center" vertical="center"/>
    </xf>
    <xf numFmtId="44" fontId="0" fillId="0" borderId="56" xfId="0" applyNumberFormat="1" applyFill="1" applyBorder="1"/>
    <xf numFmtId="0" fontId="13" fillId="2" borderId="2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6" borderId="32" xfId="0" applyFont="1" applyFill="1" applyBorder="1" applyAlignment="1">
      <alignment horizontal="center"/>
    </xf>
    <xf numFmtId="0" fontId="11" fillId="6" borderId="33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19" xfId="0" quotePrefix="1" applyFont="1" applyBorder="1" applyAlignment="1">
      <alignment horizontal="center" vertical="center"/>
    </xf>
    <xf numFmtId="0" fontId="13" fillId="0" borderId="20" xfId="0" quotePrefix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2" borderId="24" xfId="0" quotePrefix="1" applyFont="1" applyFill="1" applyBorder="1" applyAlignment="1">
      <alignment horizontal="center" vertical="center"/>
    </xf>
    <xf numFmtId="0" fontId="13" fillId="2" borderId="7" xfId="0" quotePrefix="1" applyFont="1" applyFill="1" applyBorder="1" applyAlignment="1">
      <alignment horizontal="center" vertical="center"/>
    </xf>
    <xf numFmtId="0" fontId="13" fillId="4" borderId="4" xfId="0" quotePrefix="1" applyFont="1" applyFill="1" applyBorder="1" applyAlignment="1">
      <alignment horizontal="center" vertical="center"/>
    </xf>
    <xf numFmtId="0" fontId="13" fillId="4" borderId="31" xfId="0" quotePrefix="1" applyFont="1" applyFill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4" borderId="7" xfId="0" quotePrefix="1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2" borderId="42" xfId="0" quotePrefix="1" applyFont="1" applyFill="1" applyBorder="1" applyAlignment="1">
      <alignment horizontal="center" vertical="center"/>
    </xf>
    <xf numFmtId="0" fontId="13" fillId="2" borderId="20" xfId="0" quotePrefix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9" fillId="0" borderId="0" xfId="2" applyFont="1" applyAlignment="1">
      <alignment horizontal="center"/>
    </xf>
    <xf numFmtId="0" fontId="41" fillId="0" borderId="0" xfId="0" applyFont="1" applyAlignment="1">
      <alignment vertical="top" wrapText="1"/>
    </xf>
    <xf numFmtId="0" fontId="0" fillId="5" borderId="52" xfId="0" applyFill="1" applyBorder="1" applyAlignment="1">
      <alignment horizontal="right"/>
    </xf>
    <xf numFmtId="0" fontId="0" fillId="5" borderId="53" xfId="0" applyFill="1" applyBorder="1" applyAlignment="1">
      <alignment horizontal="right"/>
    </xf>
    <xf numFmtId="0" fontId="0" fillId="5" borderId="54" xfId="0" applyFill="1" applyBorder="1" applyAlignment="1">
      <alignment horizontal="right"/>
    </xf>
    <xf numFmtId="0" fontId="20" fillId="6" borderId="55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56" xfId="0" applyFont="1" applyFill="1" applyBorder="1" applyAlignment="1">
      <alignment horizontal="center"/>
    </xf>
    <xf numFmtId="0" fontId="20" fillId="6" borderId="64" xfId="0" applyFont="1" applyFill="1" applyBorder="1" applyAlignment="1">
      <alignment horizontal="center"/>
    </xf>
    <xf numFmtId="0" fontId="20" fillId="6" borderId="65" xfId="0" applyFont="1" applyFill="1" applyBorder="1" applyAlignment="1">
      <alignment horizontal="center"/>
    </xf>
    <xf numFmtId="0" fontId="20" fillId="6" borderId="66" xfId="0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1" fillId="2" borderId="47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/>
    </xf>
    <xf numFmtId="0" fontId="11" fillId="0" borderId="0" xfId="1" applyFont="1" applyAlignment="1">
      <alignment horizontal="center"/>
    </xf>
    <xf numFmtId="0" fontId="15" fillId="0" borderId="0" xfId="1" applyFont="1" applyFill="1" applyAlignment="1">
      <alignment horizontal="center" wrapText="1"/>
    </xf>
    <xf numFmtId="0" fontId="11" fillId="0" borderId="0" xfId="1" applyFont="1" applyAlignment="1">
      <alignment horizontal="center" wrapText="1"/>
    </xf>
    <xf numFmtId="0" fontId="1" fillId="0" borderId="0" xfId="10" applyFont="1" applyBorder="1" applyAlignment="1">
      <alignment horizontal="left" vertical="center" wrapText="1"/>
    </xf>
    <xf numFmtId="0" fontId="1" fillId="0" borderId="36" xfId="10" applyFont="1" applyBorder="1" applyAlignment="1">
      <alignment horizontal="left" vertical="center" wrapText="1"/>
    </xf>
    <xf numFmtId="166" fontId="1" fillId="0" borderId="92" xfId="4" applyNumberFormat="1" applyFont="1" applyBorder="1" applyAlignment="1">
      <alignment horizontal="center" vertical="center" wrapText="1"/>
    </xf>
    <xf numFmtId="166" fontId="1" fillId="0" borderId="93" xfId="4" applyNumberFormat="1" applyFont="1" applyBorder="1" applyAlignment="1">
      <alignment horizontal="center" vertical="center" wrapText="1"/>
    </xf>
    <xf numFmtId="166" fontId="1" fillId="0" borderId="44" xfId="0" applyNumberFormat="1" applyFont="1" applyBorder="1" applyAlignment="1">
      <alignment horizontal="center"/>
    </xf>
    <xf numFmtId="166" fontId="1" fillId="0" borderId="93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3">
    <cellStyle name="Comma" xfId="3" builtinId="3"/>
    <cellStyle name="Comma 2" xfId="7"/>
    <cellStyle name="Currency 2" xfId="6"/>
    <cellStyle name="Currency 3" xfId="12"/>
    <cellStyle name="Normal" xfId="0" builtinId="0"/>
    <cellStyle name="Normal 12" xfId="2"/>
    <cellStyle name="Normal 18" xfId="8"/>
    <cellStyle name="Normal 19" xfId="10"/>
    <cellStyle name="Normal 2" xfId="1"/>
    <cellStyle name="Normal 3" xfId="4"/>
    <cellStyle name="Normal 4" xfId="9"/>
    <cellStyle name="Percent 2" xfId="5"/>
    <cellStyle name="Percent 6" xfId="1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irbanks\Projects%20and%20Proposals\GVEA\Multiple%20Sites%20-%20Air%20Quality\PM%202.5%20Nonattainment\NAA%20BACT\North%20Pole\SCI%20Tables%20and%20Costs\ULSD%20(No%20Tank)%20-%20GVEA%20NP%20EUID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irbanks\Projects%20and%20Proposals\GVEA\Multiple%20Sites%20-%20Air%20Quality\PM%202.5%20Nonattainment\NAA%20BACT\North%20Pole\SCI%20Tables%20and%20Costs\ULSD%20(No%20Tank)%20-%20GVEA%20NP%20EUID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irbanks\Projects%20and%20Proposals\GVEA\Multiple%20Sites%20-%20Air%20Quality\PM%202.5%20Nonattainment\NAA%20BACT\North%20Pole\SCI%20Tables%20and%20Costs\ULSD%20(No%20Tank)%20-%20GVEA%20NP%20EUID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zoomScaleNormal="100" workbookViewId="0">
      <selection activeCell="D27" sqref="D27"/>
    </sheetView>
  </sheetViews>
  <sheetFormatPr defaultColWidth="8.85546875" defaultRowHeight="14.25" x14ac:dyDescent="0.2"/>
  <cols>
    <col min="1" max="1" width="6.7109375" style="18" bestFit="1" customWidth="1"/>
    <col min="2" max="2" width="28.140625" style="18" bestFit="1" customWidth="1"/>
    <col min="3" max="3" width="30.5703125" style="18" bestFit="1" customWidth="1"/>
    <col min="4" max="16384" width="8.85546875" style="18"/>
  </cols>
  <sheetData>
    <row r="1" spans="1:4" ht="30" customHeight="1" x14ac:dyDescent="0.25">
      <c r="A1" s="294" t="s">
        <v>124</v>
      </c>
      <c r="B1" s="294"/>
      <c r="C1" s="294"/>
    </row>
    <row r="2" spans="1:4" ht="15" thickBot="1" x14ac:dyDescent="0.25">
      <c r="A2" s="19"/>
      <c r="B2" s="19"/>
      <c r="C2" s="19"/>
    </row>
    <row r="3" spans="1:4" ht="15" customHeight="1" thickBot="1" x14ac:dyDescent="0.3">
      <c r="A3" s="295" t="s">
        <v>12</v>
      </c>
      <c r="B3" s="296"/>
      <c r="C3" s="255" t="s">
        <v>116</v>
      </c>
    </row>
    <row r="4" spans="1:4" ht="16.5" thickTop="1" thickBot="1" x14ac:dyDescent="0.3">
      <c r="A4" s="201"/>
      <c r="B4" s="202"/>
      <c r="C4" s="203"/>
      <c r="D4" s="30"/>
    </row>
    <row r="5" spans="1:4" s="30" customFormat="1" x14ac:dyDescent="0.2">
      <c r="A5" s="286" t="s">
        <v>28</v>
      </c>
      <c r="B5" s="297" t="s">
        <v>27</v>
      </c>
      <c r="C5" s="204" t="s">
        <v>9</v>
      </c>
    </row>
    <row r="6" spans="1:4" x14ac:dyDescent="0.2">
      <c r="A6" s="287"/>
      <c r="B6" s="298"/>
      <c r="C6" s="205" t="s">
        <v>4</v>
      </c>
    </row>
    <row r="7" spans="1:4" ht="15" thickBot="1" x14ac:dyDescent="0.25">
      <c r="A7" s="288"/>
      <c r="B7" s="299"/>
      <c r="C7" s="206" t="s">
        <v>3</v>
      </c>
    </row>
    <row r="8" spans="1:4" x14ac:dyDescent="0.2">
      <c r="A8" s="289" t="s">
        <v>29</v>
      </c>
      <c r="B8" s="300" t="s">
        <v>14</v>
      </c>
      <c r="C8" s="23" t="s">
        <v>9</v>
      </c>
    </row>
    <row r="9" spans="1:4" x14ac:dyDescent="0.2">
      <c r="A9" s="290"/>
      <c r="B9" s="301"/>
      <c r="C9" s="20" t="s">
        <v>127</v>
      </c>
    </row>
    <row r="10" spans="1:4" x14ac:dyDescent="0.2">
      <c r="A10" s="290"/>
      <c r="B10" s="301"/>
      <c r="C10" s="20" t="s">
        <v>7</v>
      </c>
    </row>
    <row r="11" spans="1:4" ht="15" thickBot="1" x14ac:dyDescent="0.25">
      <c r="A11" s="291"/>
      <c r="B11" s="302"/>
      <c r="C11" s="207" t="s">
        <v>3</v>
      </c>
    </row>
    <row r="12" spans="1:4" x14ac:dyDescent="0.2">
      <c r="A12" s="286">
        <v>7</v>
      </c>
      <c r="B12" s="303" t="s">
        <v>37</v>
      </c>
      <c r="C12" s="204" t="s">
        <v>9</v>
      </c>
    </row>
    <row r="13" spans="1:4" x14ac:dyDescent="0.2">
      <c r="A13" s="287"/>
      <c r="B13" s="304"/>
      <c r="C13" s="205" t="s">
        <v>4</v>
      </c>
    </row>
    <row r="14" spans="1:4" x14ac:dyDescent="0.2">
      <c r="A14" s="287"/>
      <c r="B14" s="304"/>
      <c r="C14" s="205" t="s">
        <v>7</v>
      </c>
    </row>
    <row r="15" spans="1:4" ht="15" thickBot="1" x14ac:dyDescent="0.25">
      <c r="A15" s="288"/>
      <c r="B15" s="305"/>
      <c r="C15" s="206" t="s">
        <v>3</v>
      </c>
    </row>
    <row r="16" spans="1:4" x14ac:dyDescent="0.2">
      <c r="A16" s="292" t="s">
        <v>30</v>
      </c>
      <c r="B16" s="306" t="s">
        <v>31</v>
      </c>
      <c r="C16" s="23" t="s">
        <v>4</v>
      </c>
    </row>
    <row r="17" spans="1:3" ht="16.5" customHeight="1" thickBot="1" x14ac:dyDescent="0.25">
      <c r="A17" s="293"/>
      <c r="B17" s="307"/>
      <c r="C17" s="21" t="s">
        <v>3</v>
      </c>
    </row>
  </sheetData>
  <mergeCells count="10">
    <mergeCell ref="A5:A7"/>
    <mergeCell ref="A8:A11"/>
    <mergeCell ref="A12:A15"/>
    <mergeCell ref="A16:A17"/>
    <mergeCell ref="A1:C1"/>
    <mergeCell ref="A3:B3"/>
    <mergeCell ref="B5:B7"/>
    <mergeCell ref="B8:B11"/>
    <mergeCell ref="B12:B15"/>
    <mergeCell ref="B16:B17"/>
  </mergeCells>
  <printOptions horizontalCentered="1"/>
  <pageMargins left="0.7" right="0.7" top="0.75" bottom="0.75" header="0.3" footer="0.3"/>
  <pageSetup firstPageNumber="91" orientation="portrait" useFirstPageNumber="1" verticalDpi="90" r:id="rId1"/>
  <headerFooter>
    <oddFooter>&amp;L&amp;"Arial,Regular"&amp;8GVEA - North Pole Facility
PM&amp;Y2.5&amp;Y Serious NAA BACT Analysis&amp;C&amp;"Arial,Regular"&amp;8Page 100&amp;R&amp;"Arial,Regular"&amp;8August 2017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Normal="100" workbookViewId="0">
      <selection activeCell="C18" sqref="C18"/>
    </sheetView>
  </sheetViews>
  <sheetFormatPr defaultColWidth="9.140625" defaultRowHeight="14.25" x14ac:dyDescent="0.25"/>
  <cols>
    <col min="1" max="1" width="25.7109375" style="192" customWidth="1"/>
    <col min="2" max="2" width="16.85546875" style="192" bestFit="1" customWidth="1"/>
    <col min="3" max="3" width="15.7109375" style="192" bestFit="1" customWidth="1"/>
    <col min="4" max="4" width="13" style="192" customWidth="1"/>
    <col min="5" max="5" width="14.42578125" style="192" customWidth="1"/>
    <col min="6" max="16384" width="9.140625" style="192"/>
  </cols>
  <sheetData>
    <row r="1" spans="1:5" s="191" customFormat="1" ht="15" x14ac:dyDescent="0.25">
      <c r="A1" s="190" t="s">
        <v>158</v>
      </c>
      <c r="B1" s="190"/>
      <c r="C1" s="190"/>
    </row>
    <row r="2" spans="1:5" s="191" customFormat="1" ht="15" x14ac:dyDescent="0.25">
      <c r="A2" s="190" t="s">
        <v>173</v>
      </c>
      <c r="B2" s="190"/>
      <c r="C2" s="190"/>
    </row>
    <row r="4" spans="1:5" ht="15" thickBot="1" x14ac:dyDescent="0.3"/>
    <row r="5" spans="1:5" ht="60.75" thickBot="1" x14ac:dyDescent="0.3">
      <c r="A5" s="261"/>
      <c r="B5" s="262" t="s">
        <v>175</v>
      </c>
      <c r="C5" s="263" t="s">
        <v>179</v>
      </c>
      <c r="D5" s="262" t="s">
        <v>176</v>
      </c>
      <c r="E5" s="263" t="s">
        <v>180</v>
      </c>
    </row>
    <row r="6" spans="1:5" ht="15" thickTop="1" x14ac:dyDescent="0.2">
      <c r="A6" s="193" t="s">
        <v>174</v>
      </c>
      <c r="B6" s="361">
        <v>30425000</v>
      </c>
      <c r="C6" s="362"/>
      <c r="D6" s="363">
        <v>21050000</v>
      </c>
      <c r="E6" s="364"/>
    </row>
    <row r="7" spans="1:5" ht="42.75" x14ac:dyDescent="0.25">
      <c r="A7" s="264" t="s">
        <v>141</v>
      </c>
      <c r="B7" s="265">
        <v>32256</v>
      </c>
      <c r="C7" s="266">
        <v>12864</v>
      </c>
      <c r="D7" s="265">
        <v>32256</v>
      </c>
      <c r="E7" s="266">
        <v>12864</v>
      </c>
    </row>
    <row r="8" spans="1:5" x14ac:dyDescent="0.25">
      <c r="A8" s="264" t="s">
        <v>142</v>
      </c>
      <c r="B8" s="267">
        <f>B7/(B7+C7)</f>
        <v>0.71489361702127663</v>
      </c>
      <c r="C8" s="268">
        <f>C7/(B7+C7)</f>
        <v>0.28510638297872343</v>
      </c>
      <c r="D8" s="267">
        <f>D7/(D7+E7)</f>
        <v>0.71489361702127663</v>
      </c>
      <c r="E8" s="268">
        <f>E7/(D7+E7)</f>
        <v>0.28510638297872343</v>
      </c>
    </row>
    <row r="9" spans="1:5" ht="28.5" x14ac:dyDescent="0.25">
      <c r="A9" s="269" t="s">
        <v>143</v>
      </c>
      <c r="B9" s="270">
        <f>B8*$B$6</f>
        <v>21750638.297872342</v>
      </c>
      <c r="C9" s="271">
        <f>C8*$B$6</f>
        <v>8674361.7021276597</v>
      </c>
      <c r="D9" s="270">
        <f>D8*$D$6</f>
        <v>15048510.638297873</v>
      </c>
      <c r="E9" s="271">
        <f>E8*$D$6</f>
        <v>6001489.3617021283</v>
      </c>
    </row>
    <row r="10" spans="1:5" ht="28.5" x14ac:dyDescent="0.25">
      <c r="A10" s="264" t="s">
        <v>144</v>
      </c>
      <c r="B10" s="270">
        <f>B9/2</f>
        <v>10875319.148936171</v>
      </c>
      <c r="C10" s="271">
        <f>C9/2</f>
        <v>4337180.8510638298</v>
      </c>
      <c r="D10" s="270">
        <f>D9/2</f>
        <v>7524255.3191489363</v>
      </c>
      <c r="E10" s="271">
        <f>E9/2</f>
        <v>3000744.6808510642</v>
      </c>
    </row>
    <row r="11" spans="1:5" ht="28.5" x14ac:dyDescent="0.25">
      <c r="A11" s="264" t="s">
        <v>145</v>
      </c>
      <c r="B11" s="272">
        <f>B10*B15</f>
        <v>872663.74503510562</v>
      </c>
      <c r="C11" s="273">
        <f>C10*B15</f>
        <v>348026.61260328611</v>
      </c>
      <c r="D11" s="272">
        <f>D10*B15</f>
        <v>603765.71349183144</v>
      </c>
      <c r="E11" s="273">
        <f>E10*B15</f>
        <v>240787.51669019469</v>
      </c>
    </row>
    <row r="12" spans="1:5" ht="57" x14ac:dyDescent="0.25">
      <c r="A12" s="264" t="s">
        <v>146</v>
      </c>
      <c r="B12" s="270">
        <f>C23*B10</f>
        <v>435012.76595744683</v>
      </c>
      <c r="C12" s="271">
        <f>C23*C10</f>
        <v>173487.2340425532</v>
      </c>
      <c r="D12" s="270">
        <f>C23*D10</f>
        <v>300970.21276595746</v>
      </c>
      <c r="E12" s="271">
        <f>C23*E10</f>
        <v>120029.78723404257</v>
      </c>
    </row>
    <row r="13" spans="1:5" ht="45.75" thickBot="1" x14ac:dyDescent="0.3">
      <c r="A13" s="274" t="s">
        <v>147</v>
      </c>
      <c r="B13" s="275">
        <f>SUM(B11:B12)</f>
        <v>1307676.5109925524</v>
      </c>
      <c r="C13" s="276">
        <f>SUM(C11:C12)</f>
        <v>521513.84664583928</v>
      </c>
      <c r="D13" s="275">
        <f>SUM(D11:D12)</f>
        <v>904735.9262577889</v>
      </c>
      <c r="E13" s="276">
        <f>SUM(E11:E12)</f>
        <v>360817.30392423726</v>
      </c>
    </row>
    <row r="14" spans="1:5" x14ac:dyDescent="0.25">
      <c r="A14" s="277"/>
      <c r="B14" s="277"/>
      <c r="C14" s="277"/>
      <c r="D14" s="277"/>
      <c r="E14" s="277"/>
    </row>
    <row r="15" spans="1:5" x14ac:dyDescent="0.25">
      <c r="A15" s="277" t="s">
        <v>148</v>
      </c>
      <c r="B15" s="278">
        <f>($C$18/100*POWER((1+($C$18/100)),$C$20))/((POWER(((1+$C$18/100)),$C$20))-1)</f>
        <v>8.0242587190691314E-2</v>
      </c>
      <c r="C15" s="277"/>
      <c r="D15" s="277"/>
      <c r="E15" s="277"/>
    </row>
    <row r="16" spans="1:5" x14ac:dyDescent="0.25">
      <c r="A16" s="277"/>
      <c r="B16" s="277"/>
      <c r="C16" s="277"/>
      <c r="D16" s="277"/>
      <c r="E16" s="277"/>
    </row>
    <row r="17" spans="1:5" ht="15" x14ac:dyDescent="0.25">
      <c r="A17" s="279" t="s">
        <v>98</v>
      </c>
      <c r="B17" s="280"/>
      <c r="C17" s="281"/>
      <c r="D17" s="280"/>
      <c r="E17" s="277"/>
    </row>
    <row r="18" spans="1:5" x14ac:dyDescent="0.25">
      <c r="A18" s="280" t="s">
        <v>149</v>
      </c>
      <c r="B18" s="280"/>
      <c r="C18" s="282">
        <v>5</v>
      </c>
      <c r="D18" s="277" t="s">
        <v>150</v>
      </c>
      <c r="E18" s="277"/>
    </row>
    <row r="19" spans="1:5" x14ac:dyDescent="0.25">
      <c r="A19" s="280" t="s">
        <v>151</v>
      </c>
      <c r="B19" s="280"/>
      <c r="C19" s="280"/>
      <c r="D19" s="277"/>
      <c r="E19" s="277"/>
    </row>
    <row r="20" spans="1:5" x14ac:dyDescent="0.25">
      <c r="A20" s="280" t="s">
        <v>152</v>
      </c>
      <c r="B20" s="280"/>
      <c r="C20" s="283">
        <v>20</v>
      </c>
      <c r="D20" s="277" t="s">
        <v>101</v>
      </c>
      <c r="E20" s="277"/>
    </row>
    <row r="21" spans="1:5" x14ac:dyDescent="0.25">
      <c r="A21" s="280" t="s">
        <v>153</v>
      </c>
      <c r="B21" s="280"/>
      <c r="C21" s="280"/>
      <c r="D21" s="277"/>
      <c r="E21" s="277"/>
    </row>
    <row r="22" spans="1:5" x14ac:dyDescent="0.25">
      <c r="A22" s="277"/>
      <c r="B22" s="277"/>
      <c r="C22" s="277"/>
      <c r="D22" s="277"/>
      <c r="E22" s="277"/>
    </row>
    <row r="23" spans="1:5" ht="29.25" customHeight="1" x14ac:dyDescent="0.25">
      <c r="A23" s="359" t="s">
        <v>154</v>
      </c>
      <c r="B23" s="360"/>
      <c r="C23" s="284">
        <v>0.04</v>
      </c>
      <c r="D23" s="277"/>
      <c r="E23" s="277"/>
    </row>
    <row r="24" spans="1:5" ht="14.25" customHeight="1" x14ac:dyDescent="0.25">
      <c r="A24" s="359" t="s">
        <v>155</v>
      </c>
      <c r="B24" s="359"/>
      <c r="C24" s="277"/>
      <c r="D24" s="277"/>
      <c r="E24" s="277"/>
    </row>
    <row r="25" spans="1:5" x14ac:dyDescent="0.25">
      <c r="A25" s="277" t="s">
        <v>156</v>
      </c>
      <c r="B25" s="277"/>
      <c r="C25" s="277"/>
      <c r="D25" s="277"/>
      <c r="E25" s="277"/>
    </row>
    <row r="27" spans="1:5" x14ac:dyDescent="0.25">
      <c r="A27" s="194" t="s">
        <v>157</v>
      </c>
      <c r="B27" s="194"/>
    </row>
  </sheetData>
  <mergeCells count="4">
    <mergeCell ref="A23:B23"/>
    <mergeCell ref="A24:B24"/>
    <mergeCell ref="B6:C6"/>
    <mergeCell ref="D6:E6"/>
  </mergeCells>
  <printOptions horizontalCentered="1"/>
  <pageMargins left="0.7" right="0.7" top="0.75" bottom="0.75" header="0.3" footer="0.3"/>
  <pageSetup orientation="portrait" r:id="rId1"/>
  <headerFooter>
    <oddFooter>&amp;L&amp;"Arial,Regular"&amp;8GVEA North Pole Facility
PM2.5 Serious NAA BACT Analysis&amp;C&amp;"Arial,Regular"&amp;8Page 109&amp;R&amp;"Arial,Regular"&amp;8August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workbookViewId="0">
      <selection activeCell="B13" sqref="B13"/>
    </sheetView>
  </sheetViews>
  <sheetFormatPr defaultRowHeight="15" x14ac:dyDescent="0.25"/>
  <cols>
    <col min="1" max="1" width="45.7109375" customWidth="1"/>
    <col min="2" max="2" width="48.5703125" bestFit="1" customWidth="1"/>
    <col min="3" max="3" width="45.7109375" customWidth="1"/>
  </cols>
  <sheetData>
    <row r="1" spans="1:3" ht="18.75" x14ac:dyDescent="0.35">
      <c r="A1" s="1" t="s">
        <v>22</v>
      </c>
      <c r="B1" s="1"/>
      <c r="C1" s="1"/>
    </row>
    <row r="2" spans="1:3" ht="16.5" thickBot="1" x14ac:dyDescent="0.3">
      <c r="A2" s="2"/>
      <c r="B2" s="2"/>
      <c r="C2" s="2"/>
    </row>
    <row r="3" spans="1:3" ht="16.5" thickBot="1" x14ac:dyDescent="0.3">
      <c r="A3" s="8" t="s">
        <v>0</v>
      </c>
      <c r="B3" s="4" t="s">
        <v>1</v>
      </c>
      <c r="C3" s="5" t="s">
        <v>5</v>
      </c>
    </row>
    <row r="4" spans="1:3" ht="16.5" thickTop="1" x14ac:dyDescent="0.25">
      <c r="A4" s="365" t="s">
        <v>6</v>
      </c>
      <c r="B4" s="9" t="s">
        <v>4</v>
      </c>
      <c r="C4" s="6">
        <v>7</v>
      </c>
    </row>
    <row r="5" spans="1:3" ht="15.75" x14ac:dyDescent="0.25">
      <c r="A5" s="366"/>
      <c r="B5" s="12" t="s">
        <v>2</v>
      </c>
      <c r="C5" s="13">
        <v>4</v>
      </c>
    </row>
    <row r="6" spans="1:3" ht="16.5" thickBot="1" x14ac:dyDescent="0.3">
      <c r="A6" s="367"/>
      <c r="B6" s="10" t="s">
        <v>9</v>
      </c>
      <c r="C6" s="15">
        <v>0</v>
      </c>
    </row>
    <row r="7" spans="1:3" ht="15.75" x14ac:dyDescent="0.25">
      <c r="A7" t="s">
        <v>21</v>
      </c>
      <c r="B7" s="11"/>
      <c r="C7" s="11"/>
    </row>
    <row r="9" spans="1:3" ht="18.75" x14ac:dyDescent="0.35">
      <c r="A9" s="1" t="s">
        <v>23</v>
      </c>
      <c r="B9" s="1"/>
      <c r="C9" s="1"/>
    </row>
    <row r="10" spans="1:3" ht="16.5" thickBot="1" x14ac:dyDescent="0.3">
      <c r="A10" s="2"/>
      <c r="B10" s="2"/>
      <c r="C10" s="2"/>
    </row>
    <row r="11" spans="1:3" ht="16.5" thickBot="1" x14ac:dyDescent="0.3">
      <c r="A11" s="8" t="s">
        <v>0</v>
      </c>
      <c r="B11" s="4" t="s">
        <v>1</v>
      </c>
      <c r="C11" s="5" t="s">
        <v>10</v>
      </c>
    </row>
    <row r="12" spans="1:3" ht="16.5" thickTop="1" x14ac:dyDescent="0.25">
      <c r="A12" s="365" t="s">
        <v>6</v>
      </c>
      <c r="B12" s="12" t="s">
        <v>9</v>
      </c>
      <c r="C12" s="6">
        <v>3</v>
      </c>
    </row>
    <row r="13" spans="1:3" ht="15.75" x14ac:dyDescent="0.25">
      <c r="A13" s="366"/>
      <c r="B13" s="12" t="s">
        <v>2</v>
      </c>
      <c r="C13" s="13">
        <v>2</v>
      </c>
    </row>
    <row r="14" spans="1:3" ht="15.75" x14ac:dyDescent="0.25">
      <c r="A14" s="366"/>
      <c r="B14" s="12" t="s">
        <v>7</v>
      </c>
      <c r="C14" s="13">
        <v>2</v>
      </c>
    </row>
    <row r="15" spans="1:3" ht="16.5" thickBot="1" x14ac:dyDescent="0.3">
      <c r="A15" s="367"/>
      <c r="B15" s="14" t="s">
        <v>4</v>
      </c>
      <c r="C15" s="15">
        <v>1</v>
      </c>
    </row>
    <row r="16" spans="1:3" ht="15.75" x14ac:dyDescent="0.25">
      <c r="A16" t="s">
        <v>21</v>
      </c>
      <c r="B16" s="11"/>
      <c r="C16" s="11"/>
    </row>
    <row r="18" spans="1:3" ht="18.75" x14ac:dyDescent="0.35">
      <c r="A18" s="1" t="s">
        <v>24</v>
      </c>
      <c r="B18" s="1"/>
      <c r="C18" s="1"/>
    </row>
    <row r="19" spans="1:3" ht="16.5" thickBot="1" x14ac:dyDescent="0.3">
      <c r="A19" s="2"/>
      <c r="B19" s="2"/>
      <c r="C19" s="2"/>
    </row>
    <row r="20" spans="1:3" ht="16.5" thickBot="1" x14ac:dyDescent="0.3">
      <c r="A20" s="3" t="s">
        <v>0</v>
      </c>
      <c r="B20" s="4" t="s">
        <v>1</v>
      </c>
      <c r="C20" s="5" t="str">
        <f>"Number of RBLC Entries ("&amp; SUM(C21:C26)&amp; " Total)"</f>
        <v>Number of RBLC Entries (35 Total)</v>
      </c>
    </row>
    <row r="21" spans="1:3" ht="16.5" thickTop="1" x14ac:dyDescent="0.25">
      <c r="A21" s="365" t="s">
        <v>6</v>
      </c>
      <c r="B21" s="9" t="s">
        <v>8</v>
      </c>
      <c r="C21" s="6">
        <v>13</v>
      </c>
    </row>
    <row r="22" spans="1:3" ht="15.75" x14ac:dyDescent="0.25">
      <c r="A22" s="366"/>
      <c r="B22" s="9" t="s">
        <v>9</v>
      </c>
      <c r="C22" s="6">
        <v>5</v>
      </c>
    </row>
    <row r="23" spans="1:3" ht="15.75" x14ac:dyDescent="0.25">
      <c r="A23" s="366"/>
      <c r="B23" s="9" t="s">
        <v>3</v>
      </c>
      <c r="C23" s="6">
        <v>5</v>
      </c>
    </row>
    <row r="24" spans="1:3" ht="15.75" x14ac:dyDescent="0.25">
      <c r="A24" s="366"/>
      <c r="B24" s="9" t="s">
        <v>7</v>
      </c>
      <c r="C24" s="6">
        <v>5</v>
      </c>
    </row>
    <row r="25" spans="1:3" ht="15.75" x14ac:dyDescent="0.25">
      <c r="A25" s="366"/>
      <c r="B25" s="9" t="s">
        <v>2</v>
      </c>
      <c r="C25" s="6">
        <v>3</v>
      </c>
    </row>
    <row r="26" spans="1:3" ht="16.5" thickBot="1" x14ac:dyDescent="0.3">
      <c r="A26" s="367"/>
      <c r="B26" s="10" t="s">
        <v>19</v>
      </c>
      <c r="C26" s="7">
        <v>4</v>
      </c>
    </row>
    <row r="27" spans="1:3" ht="15.75" x14ac:dyDescent="0.25">
      <c r="A27" t="s">
        <v>21</v>
      </c>
      <c r="B27" s="11"/>
      <c r="C27" s="11"/>
    </row>
    <row r="29" spans="1:3" ht="18.75" x14ac:dyDescent="0.35">
      <c r="A29" s="1" t="s">
        <v>25</v>
      </c>
      <c r="B29" s="1"/>
      <c r="C29" s="1"/>
    </row>
    <row r="30" spans="1:3" ht="16.5" thickBot="1" x14ac:dyDescent="0.3">
      <c r="A30" s="2"/>
      <c r="B30" s="2"/>
      <c r="C30" s="2"/>
    </row>
    <row r="31" spans="1:3" ht="16.5" thickBot="1" x14ac:dyDescent="0.3">
      <c r="A31" s="8" t="s">
        <v>0</v>
      </c>
      <c r="B31" s="4" t="s">
        <v>1</v>
      </c>
      <c r="C31" s="5" t="s">
        <v>11</v>
      </c>
    </row>
    <row r="32" spans="1:3" ht="16.5" thickTop="1" x14ac:dyDescent="0.25">
      <c r="A32" s="365" t="s">
        <v>6</v>
      </c>
      <c r="B32" s="16" t="s">
        <v>4</v>
      </c>
      <c r="C32" s="17">
        <v>31</v>
      </c>
    </row>
    <row r="33" spans="1:3" ht="15.75" x14ac:dyDescent="0.25">
      <c r="A33" s="366"/>
      <c r="B33" s="12" t="s">
        <v>2</v>
      </c>
      <c r="C33" s="13">
        <v>17</v>
      </c>
    </row>
    <row r="34" spans="1:3" ht="16.5" thickBot="1" x14ac:dyDescent="0.3">
      <c r="A34" s="367"/>
      <c r="B34" s="14" t="s">
        <v>3</v>
      </c>
      <c r="C34" s="15">
        <v>7</v>
      </c>
    </row>
    <row r="35" spans="1:3" ht="15.75" x14ac:dyDescent="0.25">
      <c r="A35" t="s">
        <v>21</v>
      </c>
      <c r="B35" s="11"/>
      <c r="C35" s="11"/>
    </row>
  </sheetData>
  <sortState ref="B21:C25">
    <sortCondition descending="1" ref="C21:C25"/>
  </sortState>
  <mergeCells count="4">
    <mergeCell ref="A4:A6"/>
    <mergeCell ref="A21:A26"/>
    <mergeCell ref="A12:A15"/>
    <mergeCell ref="A32:A34"/>
  </mergeCells>
  <pageMargins left="0.7" right="0.7" top="0.75" bottom="0.75" header="0.3" footer="0.3"/>
  <pageSetup scale="87" orientation="landscape" verticalDpi="90" r:id="rId1"/>
  <headerFooter>
    <oddFooter>&amp;LGVEA North Pole Facility
PM&amp;Y2.5&amp;Y Serious Nonattainment Area BACT Analysis&amp;CE-&amp;P&amp;RDRAFT - December 2015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C26" sqref="C26"/>
    </sheetView>
  </sheetViews>
  <sheetFormatPr defaultColWidth="8.85546875" defaultRowHeight="14.25" x14ac:dyDescent="0.2"/>
  <cols>
    <col min="1" max="1" width="9.28515625" style="18" customWidth="1"/>
    <col min="2" max="2" width="28.140625" style="18" bestFit="1" customWidth="1"/>
    <col min="3" max="3" width="30.5703125" style="18" bestFit="1" customWidth="1"/>
    <col min="4" max="16384" width="8.85546875" style="18"/>
  </cols>
  <sheetData>
    <row r="1" spans="1:4" ht="30" customHeight="1" x14ac:dyDescent="0.25">
      <c r="A1" s="294" t="s">
        <v>125</v>
      </c>
      <c r="B1" s="294"/>
      <c r="C1" s="294"/>
    </row>
    <row r="2" spans="1:4" ht="15.75" thickBot="1" x14ac:dyDescent="0.3">
      <c r="A2" s="22"/>
      <c r="B2" s="22"/>
      <c r="C2" s="22"/>
    </row>
    <row r="3" spans="1:4" ht="15" customHeight="1" thickBot="1" x14ac:dyDescent="0.25">
      <c r="A3" s="314" t="s">
        <v>12</v>
      </c>
      <c r="B3" s="315"/>
      <c r="C3" s="255" t="s">
        <v>32</v>
      </c>
    </row>
    <row r="4" spans="1:4" ht="16.5" thickTop="1" thickBot="1" x14ac:dyDescent="0.25">
      <c r="A4" s="208"/>
      <c r="B4" s="209"/>
      <c r="C4" s="210"/>
      <c r="D4" s="30"/>
    </row>
    <row r="5" spans="1:4" s="30" customFormat="1" x14ac:dyDescent="0.2">
      <c r="A5" s="321" t="s">
        <v>28</v>
      </c>
      <c r="B5" s="316" t="s">
        <v>27</v>
      </c>
      <c r="C5" s="204" t="s">
        <v>9</v>
      </c>
    </row>
    <row r="6" spans="1:4" x14ac:dyDescent="0.2">
      <c r="A6" s="322"/>
      <c r="B6" s="317"/>
      <c r="C6" s="205" t="s">
        <v>4</v>
      </c>
    </row>
    <row r="7" spans="1:4" ht="15" thickBot="1" x14ac:dyDescent="0.25">
      <c r="A7" s="288"/>
      <c r="B7" s="318"/>
      <c r="C7" s="206" t="s">
        <v>3</v>
      </c>
    </row>
    <row r="8" spans="1:4" x14ac:dyDescent="0.2">
      <c r="A8" s="323" t="s">
        <v>29</v>
      </c>
      <c r="B8" s="319" t="s">
        <v>14</v>
      </c>
      <c r="C8" s="23" t="s">
        <v>9</v>
      </c>
    </row>
    <row r="9" spans="1:4" ht="29.25" thickBot="1" x14ac:dyDescent="0.25">
      <c r="A9" s="324"/>
      <c r="B9" s="320"/>
      <c r="C9" s="211" t="s">
        <v>134</v>
      </c>
    </row>
    <row r="10" spans="1:4" x14ac:dyDescent="0.2">
      <c r="A10" s="321" t="s">
        <v>15</v>
      </c>
      <c r="B10" s="316" t="s">
        <v>37</v>
      </c>
      <c r="C10" s="204" t="s">
        <v>9</v>
      </c>
    </row>
    <row r="11" spans="1:4" x14ac:dyDescent="0.2">
      <c r="A11" s="287"/>
      <c r="B11" s="317"/>
      <c r="C11" s="205" t="s">
        <v>4</v>
      </c>
    </row>
    <row r="12" spans="1:4" x14ac:dyDescent="0.2">
      <c r="A12" s="287"/>
      <c r="B12" s="317"/>
      <c r="C12" s="205" t="s">
        <v>7</v>
      </c>
    </row>
    <row r="13" spans="1:4" ht="15" thickBot="1" x14ac:dyDescent="0.25">
      <c r="A13" s="288"/>
      <c r="B13" s="318"/>
      <c r="C13" s="206" t="s">
        <v>3</v>
      </c>
    </row>
    <row r="14" spans="1:4" x14ac:dyDescent="0.2">
      <c r="A14" s="310" t="s">
        <v>30</v>
      </c>
      <c r="B14" s="312" t="s">
        <v>31</v>
      </c>
      <c r="C14" s="23" t="s">
        <v>4</v>
      </c>
    </row>
    <row r="15" spans="1:4" ht="15" thickBot="1" x14ac:dyDescent="0.25">
      <c r="A15" s="311"/>
      <c r="B15" s="313"/>
      <c r="C15" s="21" t="s">
        <v>3</v>
      </c>
    </row>
    <row r="16" spans="1:4" x14ac:dyDescent="0.2">
      <c r="C16" s="24"/>
    </row>
    <row r="17" spans="1:3" x14ac:dyDescent="0.2">
      <c r="A17" s="18" t="s">
        <v>38</v>
      </c>
    </row>
    <row r="18" spans="1:3" ht="27.6" customHeight="1" x14ac:dyDescent="0.2">
      <c r="A18" s="308" t="s">
        <v>38</v>
      </c>
      <c r="B18" s="309"/>
      <c r="C18" s="309"/>
    </row>
    <row r="26" spans="1:3" x14ac:dyDescent="0.2">
      <c r="C26" s="153"/>
    </row>
  </sheetData>
  <mergeCells count="11">
    <mergeCell ref="A18:C18"/>
    <mergeCell ref="A14:A15"/>
    <mergeCell ref="B14:B15"/>
    <mergeCell ref="A1:C1"/>
    <mergeCell ref="A3:B3"/>
    <mergeCell ref="B5:B7"/>
    <mergeCell ref="B8:B9"/>
    <mergeCell ref="B10:B13"/>
    <mergeCell ref="A5:A7"/>
    <mergeCell ref="A8:A9"/>
    <mergeCell ref="A10:A13"/>
  </mergeCells>
  <printOptions horizontalCentered="1"/>
  <pageMargins left="0.7" right="0.7" top="0.75" bottom="0.75" header="0.3" footer="0.3"/>
  <pageSetup firstPageNumber="92" orientation="portrait" useFirstPageNumber="1" verticalDpi="90" r:id="rId1"/>
  <headerFooter>
    <oddFooter>&amp;L&amp;"Arial,Regular"&amp;8GVEA North Pole Facility
PM&amp;Y2.5&amp;Y Serious NAA BACT Analysis&amp;C&amp;"Arial,Regular"&amp;8Page 101&amp;R&amp;"Arial,Regular"&amp;8August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workbookViewId="0">
      <selection activeCell="E11" sqref="E11"/>
    </sheetView>
  </sheetViews>
  <sheetFormatPr defaultColWidth="8.85546875" defaultRowHeight="14.25" x14ac:dyDescent="0.2"/>
  <cols>
    <col min="1" max="1" width="12.28515625" style="18" customWidth="1"/>
    <col min="2" max="2" width="45.7109375" style="18" customWidth="1"/>
    <col min="3" max="3" width="52.140625" style="18" bestFit="1" customWidth="1"/>
    <col min="4" max="4" width="15.85546875" style="25" customWidth="1"/>
    <col min="5" max="5" width="14.28515625" style="25" bestFit="1" customWidth="1"/>
    <col min="6" max="6" width="16.42578125" style="25" bestFit="1" customWidth="1"/>
    <col min="7" max="16384" width="8.85546875" style="18"/>
  </cols>
  <sheetData>
    <row r="1" spans="1:7" ht="16.5" x14ac:dyDescent="0.3">
      <c r="A1" s="330" t="s">
        <v>126</v>
      </c>
      <c r="B1" s="330"/>
      <c r="C1" s="330"/>
      <c r="D1" s="330"/>
      <c r="E1" s="330"/>
      <c r="F1" s="330"/>
    </row>
    <row r="2" spans="1:7" ht="15.75" thickBot="1" x14ac:dyDescent="0.3">
      <c r="A2" s="22"/>
      <c r="B2" s="22"/>
      <c r="C2" s="22"/>
    </row>
    <row r="3" spans="1:7" ht="51" customHeight="1" thickBot="1" x14ac:dyDescent="0.25">
      <c r="A3" s="314" t="s">
        <v>12</v>
      </c>
      <c r="B3" s="315"/>
      <c r="C3" s="254" t="s">
        <v>114</v>
      </c>
      <c r="D3" s="254" t="s">
        <v>115</v>
      </c>
      <c r="E3" s="254" t="s">
        <v>47</v>
      </c>
      <c r="F3" s="255" t="s">
        <v>48</v>
      </c>
    </row>
    <row r="4" spans="1:7" ht="15" customHeight="1" thickTop="1" thickBot="1" x14ac:dyDescent="0.25">
      <c r="A4" s="208"/>
      <c r="B4" s="209"/>
      <c r="C4" s="212"/>
      <c r="D4" s="213"/>
      <c r="E4" s="213"/>
      <c r="F4" s="210"/>
      <c r="G4" s="30"/>
    </row>
    <row r="5" spans="1:7" s="30" customFormat="1" x14ac:dyDescent="0.2">
      <c r="A5" s="321" t="s">
        <v>16</v>
      </c>
      <c r="B5" s="335" t="s">
        <v>108</v>
      </c>
      <c r="C5" s="217" t="s">
        <v>34</v>
      </c>
      <c r="D5" s="218">
        <f>((0.5-0.0015)/0.5)*100</f>
        <v>99.7</v>
      </c>
      <c r="E5" s="219">
        <f>E$7*((100-D5)/100)</f>
        <v>4.4591999999999574</v>
      </c>
      <c r="F5" s="220">
        <f>$E$7-E5</f>
        <v>1481.9408000000001</v>
      </c>
    </row>
    <row r="6" spans="1:7" x14ac:dyDescent="0.2">
      <c r="A6" s="322"/>
      <c r="B6" s="337"/>
      <c r="C6" s="221" t="s">
        <v>18</v>
      </c>
      <c r="D6" s="222">
        <f>((0.5-0.05)/0.5)*100</f>
        <v>90</v>
      </c>
      <c r="E6" s="223">
        <f>E$7*((100-D6)/100)</f>
        <v>148.64000000000001</v>
      </c>
      <c r="F6" s="224">
        <f>$E$7-E6</f>
        <v>1337.76</v>
      </c>
    </row>
    <row r="7" spans="1:7" ht="15" thickBot="1" x14ac:dyDescent="0.25">
      <c r="A7" s="288"/>
      <c r="B7" s="336"/>
      <c r="C7" s="225" t="s">
        <v>133</v>
      </c>
      <c r="D7" s="226">
        <v>0</v>
      </c>
      <c r="E7" s="227">
        <v>1486.4</v>
      </c>
      <c r="F7" s="228">
        <v>0</v>
      </c>
    </row>
    <row r="8" spans="1:7" x14ac:dyDescent="0.2">
      <c r="A8" s="323" t="s">
        <v>17</v>
      </c>
      <c r="B8" s="338" t="s">
        <v>108</v>
      </c>
      <c r="C8" s="214" t="s">
        <v>35</v>
      </c>
      <c r="D8" s="215">
        <f>D5</f>
        <v>99.7</v>
      </c>
      <c r="E8" s="216">
        <f>E$10*((100-D8)/100)</f>
        <v>4.0682999999999607</v>
      </c>
      <c r="F8" s="177">
        <f>$E$10-E8</f>
        <v>1352.0317</v>
      </c>
    </row>
    <row r="9" spans="1:7" x14ac:dyDescent="0.2">
      <c r="A9" s="331"/>
      <c r="B9" s="338"/>
      <c r="C9" s="27" t="s">
        <v>20</v>
      </c>
      <c r="D9" s="179">
        <f>D6</f>
        <v>90</v>
      </c>
      <c r="E9" s="176">
        <f>E$10*((100-D9)/100)</f>
        <v>135.60999999999999</v>
      </c>
      <c r="F9" s="178">
        <f>$E$10-E9</f>
        <v>1220.49</v>
      </c>
    </row>
    <row r="10" spans="1:7" ht="15" thickBot="1" x14ac:dyDescent="0.25">
      <c r="A10" s="332"/>
      <c r="B10" s="338"/>
      <c r="C10" s="229" t="s">
        <v>133</v>
      </c>
      <c r="D10" s="230">
        <v>0</v>
      </c>
      <c r="E10" s="231">
        <v>1356.1</v>
      </c>
      <c r="F10" s="232">
        <v>0</v>
      </c>
    </row>
    <row r="11" spans="1:7" ht="14.45" customHeight="1" x14ac:dyDescent="0.2">
      <c r="A11" s="333" t="s">
        <v>29</v>
      </c>
      <c r="B11" s="335" t="s">
        <v>136</v>
      </c>
      <c r="C11" s="236" t="s">
        <v>34</v>
      </c>
      <c r="D11" s="237">
        <v>91.4</v>
      </c>
      <c r="E11" s="219">
        <f>E$12*((100-D11)/100)</f>
        <v>3.0959999999999979</v>
      </c>
      <c r="F11" s="238">
        <f>E12-E11</f>
        <v>32.904000000000003</v>
      </c>
      <c r="G11" s="170"/>
    </row>
    <row r="12" spans="1:7" ht="27.95" customHeight="1" thickBot="1" x14ac:dyDescent="0.25">
      <c r="A12" s="334"/>
      <c r="B12" s="336"/>
      <c r="C12" s="239" t="s">
        <v>181</v>
      </c>
      <c r="D12" s="226">
        <v>0</v>
      </c>
      <c r="E12" s="240">
        <v>36</v>
      </c>
      <c r="F12" s="241">
        <v>0</v>
      </c>
    </row>
    <row r="13" spans="1:7" x14ac:dyDescent="0.2">
      <c r="A13" s="325" t="s">
        <v>15</v>
      </c>
      <c r="B13" s="327" t="s">
        <v>37</v>
      </c>
      <c r="C13" s="233" t="s">
        <v>113</v>
      </c>
      <c r="D13" s="234">
        <v>98.5</v>
      </c>
      <c r="E13" s="234">
        <f>$E$15*(100-D13)/100</f>
        <v>1.4999999999999999E-4</v>
      </c>
      <c r="F13" s="235">
        <f>$E$15-E13</f>
        <v>9.8499999999999994E-3</v>
      </c>
    </row>
    <row r="14" spans="1:7" x14ac:dyDescent="0.2">
      <c r="A14" s="326"/>
      <c r="B14" s="328"/>
      <c r="C14" s="28" t="s">
        <v>112</v>
      </c>
      <c r="D14" s="26">
        <v>50</v>
      </c>
      <c r="E14" s="26">
        <f>$E$15*(100-D14)/100</f>
        <v>5.0000000000000001E-3</v>
      </c>
      <c r="F14" s="142">
        <f>$E$15-E14</f>
        <v>5.0000000000000001E-3</v>
      </c>
    </row>
    <row r="15" spans="1:7" ht="15" thickBot="1" x14ac:dyDescent="0.25">
      <c r="A15" s="291"/>
      <c r="B15" s="329"/>
      <c r="C15" s="242" t="s">
        <v>36</v>
      </c>
      <c r="D15" s="243">
        <v>0</v>
      </c>
      <c r="E15" s="243">
        <v>0.01</v>
      </c>
      <c r="F15" s="244">
        <v>0</v>
      </c>
    </row>
    <row r="16" spans="1:7" ht="15" thickBot="1" x14ac:dyDescent="0.25">
      <c r="A16" s="245" t="s">
        <v>30</v>
      </c>
      <c r="B16" s="246" t="s">
        <v>31</v>
      </c>
      <c r="C16" s="247" t="s">
        <v>33</v>
      </c>
      <c r="D16" s="248">
        <v>0</v>
      </c>
      <c r="E16" s="248">
        <v>2.0000000000000001E-4</v>
      </c>
      <c r="F16" s="249">
        <v>0</v>
      </c>
    </row>
    <row r="17" spans="1:3" x14ac:dyDescent="0.2">
      <c r="A17" s="18" t="s">
        <v>38</v>
      </c>
      <c r="C17" s="24"/>
    </row>
    <row r="19" spans="1:3" ht="16.5" x14ac:dyDescent="0.2">
      <c r="A19" s="144" t="s">
        <v>38</v>
      </c>
      <c r="B19" s="171"/>
    </row>
  </sheetData>
  <mergeCells count="10">
    <mergeCell ref="A13:A15"/>
    <mergeCell ref="B13:B15"/>
    <mergeCell ref="A1:F1"/>
    <mergeCell ref="A3:B3"/>
    <mergeCell ref="A8:A10"/>
    <mergeCell ref="A5:A7"/>
    <mergeCell ref="A11:A12"/>
    <mergeCell ref="B11:B12"/>
    <mergeCell ref="B5:B7"/>
    <mergeCell ref="B8:B10"/>
  </mergeCells>
  <printOptions horizontalCentered="1"/>
  <pageMargins left="0.7" right="0.7" top="0.75" bottom="0.75" header="0.3" footer="0.3"/>
  <pageSetup scale="57" firstPageNumber="93" orientation="portrait" useFirstPageNumber="1" verticalDpi="90" r:id="rId1"/>
  <headerFooter>
    <oddFooter>&amp;L&amp;"Arial,Regular"&amp;8GVEA North Pole Facility
PM&amp;Y2.5&amp;Y Serious NAA BACT Analysis&amp;C&amp;"Arial,Regular"&amp;8Page 102&amp;R&amp;"Arial,Regular"&amp;8August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1"/>
  <sheetViews>
    <sheetView zoomScale="80" zoomScaleNormal="80" workbookViewId="0">
      <selection activeCell="H36" sqref="H36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4.285156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39" t="s">
        <v>103</v>
      </c>
      <c r="C1" s="339"/>
      <c r="D1" s="339"/>
      <c r="E1" s="339"/>
      <c r="F1" s="339"/>
      <c r="G1" s="339"/>
      <c r="H1" s="339"/>
      <c r="I1" s="339"/>
      <c r="J1" s="339"/>
      <c r="K1" s="339"/>
    </row>
    <row r="2" spans="2:11" x14ac:dyDescent="0.25">
      <c r="B2" s="340" t="s">
        <v>102</v>
      </c>
      <c r="C2" s="340"/>
      <c r="D2" s="340"/>
      <c r="E2" s="340"/>
      <c r="F2" s="340"/>
      <c r="G2" s="340"/>
      <c r="H2" s="340"/>
      <c r="I2" s="340"/>
      <c r="J2" s="340"/>
      <c r="K2" s="340"/>
    </row>
    <row r="3" spans="2:11" x14ac:dyDescent="0.25">
      <c r="I3" s="342" t="s">
        <v>52</v>
      </c>
      <c r="J3" s="343"/>
      <c r="K3" s="344"/>
    </row>
    <row r="4" spans="2:11" ht="18" x14ac:dyDescent="0.35">
      <c r="B4" s="63" t="s">
        <v>53</v>
      </c>
      <c r="C4" s="64"/>
      <c r="D4" s="65" t="s">
        <v>117</v>
      </c>
      <c r="E4" s="64"/>
      <c r="F4" s="64"/>
      <c r="G4" s="64"/>
      <c r="H4" s="64"/>
      <c r="I4" s="64"/>
      <c r="J4" s="66" t="s">
        <v>54</v>
      </c>
      <c r="K4" s="67"/>
    </row>
    <row r="5" spans="2:11" x14ac:dyDescent="0.25">
      <c r="B5" s="63"/>
      <c r="C5" s="64"/>
      <c r="D5" s="64"/>
      <c r="E5" s="64"/>
      <c r="F5" s="64"/>
      <c r="G5" s="64"/>
      <c r="H5" s="64"/>
      <c r="I5" s="64"/>
      <c r="J5" s="66" t="s">
        <v>55</v>
      </c>
      <c r="K5" s="67"/>
    </row>
    <row r="6" spans="2:11" ht="15.75" thickBot="1" x14ac:dyDescent="0.3">
      <c r="B6" s="68"/>
      <c r="C6" s="69"/>
      <c r="D6" s="69"/>
      <c r="E6" s="69"/>
      <c r="F6" s="69"/>
      <c r="G6" s="69"/>
      <c r="H6" s="69"/>
      <c r="I6" s="69"/>
      <c r="J6" s="70" t="s">
        <v>56</v>
      </c>
      <c r="K6" s="71"/>
    </row>
    <row r="7" spans="2:11" ht="16.5" thickBot="1" x14ac:dyDescent="0.3">
      <c r="B7" s="345" t="s">
        <v>57</v>
      </c>
      <c r="C7" s="346"/>
      <c r="D7" s="346"/>
      <c r="E7" s="346"/>
      <c r="F7" s="346"/>
      <c r="G7" s="346"/>
      <c r="H7" s="346"/>
      <c r="I7" s="346"/>
      <c r="J7" s="346"/>
      <c r="K7" s="347"/>
    </row>
    <row r="8" spans="2:11" ht="15.75" x14ac:dyDescent="0.25">
      <c r="B8" s="72" t="s">
        <v>58</v>
      </c>
      <c r="C8" s="73"/>
      <c r="D8" s="74"/>
      <c r="E8" s="75" t="s">
        <v>59</v>
      </c>
      <c r="F8" s="75" t="s">
        <v>60</v>
      </c>
      <c r="G8" s="76"/>
      <c r="H8" s="77" t="s">
        <v>61</v>
      </c>
      <c r="I8" s="77" t="s">
        <v>62</v>
      </c>
      <c r="J8" s="74"/>
      <c r="K8" s="78" t="s">
        <v>63</v>
      </c>
    </row>
    <row r="9" spans="2:11" x14ac:dyDescent="0.25">
      <c r="B9" s="79" t="s">
        <v>64</v>
      </c>
      <c r="C9" s="64" t="s">
        <v>65</v>
      </c>
      <c r="D9" s="64"/>
      <c r="E9" s="80"/>
      <c r="F9" s="81" t="s">
        <v>66</v>
      </c>
      <c r="G9" s="81"/>
      <c r="H9" s="82"/>
      <c r="I9" s="82">
        <f>'[1]Total Capital Investment'!K44*E9/E38</f>
        <v>0</v>
      </c>
      <c r="J9" s="83"/>
      <c r="K9" s="84">
        <f>I9</f>
        <v>0</v>
      </c>
    </row>
    <row r="10" spans="2:11" x14ac:dyDescent="0.25">
      <c r="B10" s="79" t="s">
        <v>67</v>
      </c>
      <c r="C10" s="64" t="s">
        <v>68</v>
      </c>
      <c r="D10" s="64"/>
      <c r="E10" s="80"/>
      <c r="F10" s="81" t="s">
        <v>66</v>
      </c>
      <c r="G10" s="81"/>
      <c r="H10" s="82"/>
      <c r="I10" s="82">
        <f>E10*'[1]Total Capital Investment'!K47/10</f>
        <v>0</v>
      </c>
      <c r="J10" s="83"/>
      <c r="K10" s="84">
        <f t="shared" ref="K10" si="0">I10</f>
        <v>0</v>
      </c>
    </row>
    <row r="11" spans="2:11" x14ac:dyDescent="0.25">
      <c r="B11" s="79" t="s">
        <v>69</v>
      </c>
      <c r="C11" s="64" t="s">
        <v>70</v>
      </c>
      <c r="D11" s="64"/>
      <c r="E11" s="85"/>
      <c r="F11" s="81" t="s">
        <v>71</v>
      </c>
      <c r="G11" s="85"/>
      <c r="H11" s="86" t="s">
        <v>72</v>
      </c>
      <c r="I11" s="82"/>
      <c r="J11" s="83"/>
      <c r="K11" s="84"/>
    </row>
    <row r="12" spans="2:11" x14ac:dyDescent="0.25">
      <c r="B12" s="79" t="s">
        <v>73</v>
      </c>
      <c r="C12" s="64" t="s">
        <v>74</v>
      </c>
      <c r="D12" s="64"/>
      <c r="E12" s="87"/>
      <c r="F12" s="87"/>
      <c r="G12" s="82"/>
      <c r="H12" s="82"/>
      <c r="I12" s="82"/>
      <c r="J12" s="83"/>
      <c r="K12" s="84"/>
    </row>
    <row r="13" spans="2:11" x14ac:dyDescent="0.25">
      <c r="B13" s="63"/>
      <c r="C13" s="88" t="s">
        <v>75</v>
      </c>
      <c r="D13" s="64" t="s">
        <v>76</v>
      </c>
      <c r="E13" s="141">
        <v>45282461.539999999</v>
      </c>
      <c r="F13" s="87" t="s">
        <v>77</v>
      </c>
      <c r="G13" s="85">
        <v>0.42399999999999999</v>
      </c>
      <c r="H13" s="82">
        <f>E13*G13</f>
        <v>19199763.692959998</v>
      </c>
      <c r="I13" s="82"/>
      <c r="J13" s="83"/>
      <c r="K13" s="84">
        <f>H13</f>
        <v>19199763.692959998</v>
      </c>
    </row>
    <row r="14" spans="2:11" x14ac:dyDescent="0.25">
      <c r="B14" s="89"/>
      <c r="C14" s="90"/>
      <c r="D14" s="64"/>
      <c r="E14" s="91"/>
      <c r="F14" s="66"/>
      <c r="G14" s="83"/>
      <c r="H14" s="82"/>
      <c r="I14" s="92"/>
      <c r="J14" s="82"/>
      <c r="K14" s="84"/>
    </row>
    <row r="15" spans="2:11" x14ac:dyDescent="0.25">
      <c r="B15" s="93" t="s">
        <v>78</v>
      </c>
      <c r="C15" s="94"/>
      <c r="D15" s="95"/>
      <c r="E15" s="96"/>
      <c r="F15" s="97"/>
      <c r="G15" s="98"/>
      <c r="H15" s="99"/>
      <c r="I15" s="100"/>
      <c r="J15" s="101" t="s">
        <v>79</v>
      </c>
      <c r="K15" s="102">
        <f>SUM(K9:K13)</f>
        <v>19199763.692959998</v>
      </c>
    </row>
    <row r="16" spans="2:11" x14ac:dyDescent="0.25">
      <c r="B16" s="63"/>
      <c r="C16" s="90"/>
      <c r="D16" s="64"/>
      <c r="E16" s="87"/>
      <c r="F16" s="64"/>
      <c r="G16" s="82"/>
      <c r="H16" s="82"/>
      <c r="I16" s="92"/>
      <c r="J16" s="103"/>
      <c r="K16" s="84"/>
    </row>
    <row r="17" spans="2:12" ht="15.75" x14ac:dyDescent="0.25">
      <c r="B17" s="104" t="s">
        <v>80</v>
      </c>
      <c r="C17" s="105"/>
      <c r="D17" s="106"/>
      <c r="E17" s="87"/>
      <c r="F17" s="87"/>
      <c r="G17" s="82"/>
      <c r="H17" s="82"/>
      <c r="I17" s="82"/>
      <c r="J17" s="82"/>
      <c r="K17" s="84"/>
    </row>
    <row r="18" spans="2:12" x14ac:dyDescent="0.25">
      <c r="B18" s="79" t="s">
        <v>81</v>
      </c>
      <c r="C18" s="64" t="s">
        <v>82</v>
      </c>
      <c r="D18" s="64"/>
      <c r="E18" s="85"/>
      <c r="F18" s="87" t="s">
        <v>66</v>
      </c>
      <c r="G18" s="81"/>
      <c r="H18" s="86" t="s">
        <v>72</v>
      </c>
      <c r="I18" s="82">
        <f>E18*G18</f>
        <v>0</v>
      </c>
      <c r="J18" s="83"/>
      <c r="K18" s="84">
        <f>I18</f>
        <v>0</v>
      </c>
    </row>
    <row r="19" spans="2:12" x14ac:dyDescent="0.25">
      <c r="B19" s="79" t="s">
        <v>83</v>
      </c>
      <c r="C19" s="64" t="s">
        <v>84</v>
      </c>
      <c r="D19" s="64"/>
      <c r="E19" s="107"/>
      <c r="F19" s="87" t="s">
        <v>85</v>
      </c>
      <c r="G19" s="81"/>
      <c r="H19" s="86"/>
      <c r="I19" s="82">
        <f>E19*'[1]Total Capital Investment'!K62</f>
        <v>0</v>
      </c>
      <c r="J19" s="83"/>
      <c r="K19" s="84">
        <f>I19</f>
        <v>0</v>
      </c>
    </row>
    <row r="20" spans="2:12" x14ac:dyDescent="0.25">
      <c r="B20" s="79"/>
      <c r="C20" s="88" t="s">
        <v>86</v>
      </c>
      <c r="D20" s="64"/>
      <c r="E20" s="91">
        <f>($E$37/100*POWER((1+($E$37/100)),$E$38))/((POWER(((1+$E$37/100)),$E$38))-1)</f>
        <v>8.0242587190691314E-2</v>
      </c>
      <c r="F20" s="81"/>
      <c r="G20" s="82"/>
      <c r="H20" s="82"/>
      <c r="I20" s="82"/>
      <c r="J20" s="83"/>
      <c r="K20" s="108"/>
      <c r="L20" s="109"/>
    </row>
    <row r="21" spans="2:12" x14ac:dyDescent="0.25">
      <c r="B21" s="79" t="s">
        <v>87</v>
      </c>
      <c r="C21" s="64" t="s">
        <v>88</v>
      </c>
      <c r="D21" s="64"/>
      <c r="E21" s="64"/>
      <c r="F21" s="64"/>
      <c r="G21" s="82"/>
      <c r="H21" s="110"/>
      <c r="I21" s="82"/>
      <c r="J21" s="111" t="s">
        <v>89</v>
      </c>
      <c r="K21" s="84">
        <f>E20*'[1]Total Capital Investment'!K62</f>
        <v>0</v>
      </c>
      <c r="L21" s="109"/>
    </row>
    <row r="22" spans="2:12" x14ac:dyDescent="0.25">
      <c r="B22" s="63"/>
      <c r="C22" s="64"/>
      <c r="D22" s="64"/>
      <c r="E22" s="87"/>
      <c r="F22" s="64"/>
      <c r="G22" s="82"/>
      <c r="H22" s="82"/>
      <c r="I22" s="82"/>
      <c r="J22" s="82"/>
      <c r="K22" s="84"/>
    </row>
    <row r="23" spans="2:12" x14ac:dyDescent="0.25">
      <c r="B23" s="93" t="s">
        <v>159</v>
      </c>
      <c r="C23" s="94"/>
      <c r="D23" s="112"/>
      <c r="E23" s="113"/>
      <c r="F23" s="97"/>
      <c r="G23" s="100"/>
      <c r="H23" s="114"/>
      <c r="I23" s="100"/>
      <c r="J23" s="101" t="s">
        <v>91</v>
      </c>
      <c r="K23" s="102">
        <f>'5-10 TCI ULSD EU1-2'!B13</f>
        <v>1307676.5109925524</v>
      </c>
    </row>
    <row r="24" spans="2:12" x14ac:dyDescent="0.25">
      <c r="B24" s="115"/>
      <c r="C24" s="116"/>
      <c r="D24" s="64"/>
      <c r="E24" s="87"/>
      <c r="F24" s="64"/>
      <c r="G24" s="82"/>
      <c r="H24" s="82"/>
      <c r="I24" s="82"/>
      <c r="J24" s="82"/>
      <c r="K24" s="84"/>
    </row>
    <row r="25" spans="2:12" ht="15.75" x14ac:dyDescent="0.25">
      <c r="B25" s="117" t="s">
        <v>92</v>
      </c>
      <c r="C25" s="118"/>
      <c r="D25" s="119"/>
      <c r="E25" s="120"/>
      <c r="F25" s="119"/>
      <c r="G25" s="99"/>
      <c r="H25" s="121"/>
      <c r="I25" s="99"/>
      <c r="J25" s="101" t="s">
        <v>93</v>
      </c>
      <c r="K25" s="102">
        <f>K15+K23</f>
        <v>20507440.203952551</v>
      </c>
    </row>
    <row r="26" spans="2:12" ht="15.75" thickBot="1" x14ac:dyDescent="0.3">
      <c r="B26" s="63"/>
      <c r="C26" s="64"/>
      <c r="D26" s="64"/>
      <c r="E26" s="87"/>
      <c r="F26" s="64"/>
      <c r="G26" s="64"/>
      <c r="H26" s="64"/>
      <c r="I26" s="64"/>
      <c r="J26" s="64"/>
      <c r="K26" s="122"/>
    </row>
    <row r="27" spans="2:12" ht="16.5" thickBot="1" x14ac:dyDescent="0.3">
      <c r="B27" s="348" t="s">
        <v>94</v>
      </c>
      <c r="C27" s="349"/>
      <c r="D27" s="349"/>
      <c r="E27" s="349"/>
      <c r="F27" s="349"/>
      <c r="G27" s="349"/>
      <c r="H27" s="349"/>
      <c r="I27" s="349"/>
      <c r="J27" s="349"/>
      <c r="K27" s="350"/>
    </row>
    <row r="28" spans="2:12" x14ac:dyDescent="0.25">
      <c r="B28" s="63"/>
      <c r="C28" s="64"/>
      <c r="D28" s="64"/>
      <c r="E28" s="64"/>
      <c r="F28" s="64"/>
      <c r="G28" s="64"/>
      <c r="H28" s="64"/>
      <c r="I28" s="64"/>
      <c r="J28" s="64"/>
      <c r="K28" s="122"/>
    </row>
    <row r="29" spans="2:12" ht="18.75" x14ac:dyDescent="0.35">
      <c r="B29" s="123" t="s">
        <v>135</v>
      </c>
      <c r="C29" s="105"/>
      <c r="D29" s="64"/>
      <c r="E29" s="64"/>
      <c r="F29" s="64"/>
      <c r="G29" s="64"/>
      <c r="H29" s="64"/>
      <c r="I29" s="64"/>
      <c r="J29" s="124" t="s">
        <v>95</v>
      </c>
      <c r="K29" s="174">
        <f>'5-3 Ranking-SO2'!F5</f>
        <v>1481.9408000000001</v>
      </c>
    </row>
    <row r="30" spans="2:12" x14ac:dyDescent="0.25">
      <c r="B30" s="63"/>
      <c r="C30" s="64"/>
      <c r="D30" s="64"/>
      <c r="E30" s="64"/>
      <c r="F30" s="64"/>
      <c r="G30" s="64"/>
      <c r="H30" s="64"/>
      <c r="I30" s="64"/>
      <c r="J30" s="64"/>
      <c r="K30" s="122"/>
    </row>
    <row r="31" spans="2:12" ht="15.75" x14ac:dyDescent="0.25">
      <c r="B31" s="123" t="s">
        <v>161</v>
      </c>
      <c r="C31" s="105"/>
      <c r="D31" s="64"/>
      <c r="E31" s="64"/>
      <c r="F31" s="64"/>
      <c r="G31" s="64"/>
      <c r="H31" s="197"/>
      <c r="I31" s="64"/>
      <c r="J31" s="198" t="s">
        <v>97</v>
      </c>
      <c r="K31" s="285">
        <f>K25/K29</f>
        <v>13838.231732301689</v>
      </c>
    </row>
    <row r="32" spans="2:12" ht="18" x14ac:dyDescent="0.25">
      <c r="B32" s="123" t="s">
        <v>164</v>
      </c>
      <c r="C32" s="105"/>
      <c r="D32" s="64"/>
      <c r="E32" s="64"/>
      <c r="F32" s="64"/>
      <c r="G32" s="64"/>
      <c r="H32" s="197"/>
      <c r="I32" s="64"/>
      <c r="J32" s="198" t="s">
        <v>97</v>
      </c>
      <c r="K32" s="199">
        <f>+('5-10 TCI ULSD EU1-2'!C13+G13*833*672/0.13)/142.3</f>
        <v>16495.044276120821</v>
      </c>
    </row>
    <row r="33" spans="2:11" ht="20.25" thickBot="1" x14ac:dyDescent="0.4">
      <c r="B33" s="126" t="s">
        <v>163</v>
      </c>
      <c r="C33" s="127"/>
      <c r="D33" s="128"/>
      <c r="E33" s="128"/>
      <c r="F33" s="128"/>
      <c r="G33" s="128"/>
      <c r="H33" s="129"/>
      <c r="I33" s="128"/>
      <c r="J33" s="130" t="s">
        <v>97</v>
      </c>
      <c r="K33" s="175">
        <f>+K32*6</f>
        <v>98970.265656724921</v>
      </c>
    </row>
    <row r="34" spans="2:11" ht="15.75" thickTop="1" x14ac:dyDescent="0.25"/>
    <row r="35" spans="2:11" ht="15.75" thickBot="1" x14ac:dyDescent="0.3"/>
    <row r="36" spans="2:11" x14ac:dyDescent="0.25">
      <c r="D36" s="132" t="s">
        <v>98</v>
      </c>
      <c r="E36" s="74"/>
      <c r="F36" s="133"/>
      <c r="G36" s="134"/>
    </row>
    <row r="37" spans="2:11" x14ac:dyDescent="0.25">
      <c r="D37" s="135" t="s">
        <v>99</v>
      </c>
      <c r="E37" s="136">
        <v>5</v>
      </c>
      <c r="F37" s="137" t="s">
        <v>66</v>
      </c>
    </row>
    <row r="38" spans="2:11" ht="15.75" thickBot="1" x14ac:dyDescent="0.3">
      <c r="D38" s="138" t="s">
        <v>100</v>
      </c>
      <c r="E38" s="139">
        <v>20</v>
      </c>
      <c r="F38" s="140" t="s">
        <v>101</v>
      </c>
    </row>
    <row r="40" spans="2:11" ht="42" customHeight="1" x14ac:dyDescent="0.25">
      <c r="B40" s="253">
        <v>1</v>
      </c>
      <c r="C40" s="341" t="s">
        <v>177</v>
      </c>
      <c r="D40" s="341"/>
      <c r="E40" s="341"/>
      <c r="F40" s="341"/>
      <c r="G40" s="341"/>
      <c r="H40" s="341"/>
      <c r="I40" s="341"/>
      <c r="J40" s="341"/>
      <c r="K40" s="341"/>
    </row>
    <row r="41" spans="2:11" ht="60" customHeight="1" x14ac:dyDescent="0.25">
      <c r="B41" s="253">
        <v>2</v>
      </c>
      <c r="C41" s="341" t="s">
        <v>168</v>
      </c>
      <c r="D41" s="341"/>
      <c r="E41" s="341"/>
      <c r="F41" s="341"/>
      <c r="G41" s="341"/>
      <c r="H41" s="341"/>
      <c r="I41" s="341"/>
      <c r="J41" s="341"/>
      <c r="K41" s="341"/>
    </row>
  </sheetData>
  <mergeCells count="7">
    <mergeCell ref="B1:K1"/>
    <mergeCell ref="B2:K2"/>
    <mergeCell ref="C40:K40"/>
    <mergeCell ref="C41:K41"/>
    <mergeCell ref="I3:K3"/>
    <mergeCell ref="B7:K7"/>
    <mergeCell ref="B27:K27"/>
  </mergeCells>
  <printOptions horizontalCentered="1"/>
  <pageMargins left="0.7" right="0.7" top="0.75" bottom="0.75" header="0.3" footer="0.3"/>
  <pageSetup scale="51" firstPageNumber="94" orientation="portrait" useFirstPageNumber="1" r:id="rId1"/>
  <headerFooter>
    <oddFooter>&amp;L&amp;"Arial,Regular"&amp;8GVEA North Pole Facility
PM&amp;Y2.5&amp;Y Serious NAA BACT Analysis&amp;C&amp;"Arial,Regular"&amp;8Page 103&amp;R&amp;"Arial,Regular"&amp;8August 2017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1"/>
  <sheetViews>
    <sheetView topLeftCell="D7" zoomScale="90" zoomScaleNormal="90" workbookViewId="0">
      <selection activeCell="N24" sqref="N24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4.285156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39" t="s">
        <v>104</v>
      </c>
      <c r="C1" s="339"/>
      <c r="D1" s="339"/>
      <c r="E1" s="339"/>
      <c r="F1" s="339"/>
      <c r="G1" s="339"/>
      <c r="H1" s="339"/>
      <c r="I1" s="339"/>
      <c r="J1" s="339"/>
      <c r="K1" s="339"/>
    </row>
    <row r="2" spans="2:11" x14ac:dyDescent="0.25">
      <c r="B2" s="351" t="s">
        <v>105</v>
      </c>
      <c r="C2" s="351"/>
      <c r="D2" s="351"/>
      <c r="E2" s="351"/>
      <c r="F2" s="351"/>
      <c r="G2" s="351"/>
      <c r="H2" s="351"/>
      <c r="I2" s="351"/>
      <c r="J2" s="351"/>
      <c r="K2" s="351"/>
    </row>
    <row r="3" spans="2:11" x14ac:dyDescent="0.25">
      <c r="I3" s="342" t="s">
        <v>52</v>
      </c>
      <c r="J3" s="343"/>
      <c r="K3" s="344"/>
    </row>
    <row r="4" spans="2:11" ht="18" x14ac:dyDescent="0.35">
      <c r="B4" s="63" t="s">
        <v>53</v>
      </c>
      <c r="C4" s="64"/>
      <c r="D4" s="65" t="s">
        <v>118</v>
      </c>
      <c r="E4" s="64"/>
      <c r="F4" s="64"/>
      <c r="G4" s="64"/>
      <c r="H4" s="64"/>
      <c r="I4" s="64"/>
      <c r="J4" s="66" t="s">
        <v>54</v>
      </c>
      <c r="K4" s="67"/>
    </row>
    <row r="5" spans="2:11" x14ac:dyDescent="0.25">
      <c r="B5" s="63"/>
      <c r="C5" s="64"/>
      <c r="D5" s="64"/>
      <c r="E5" s="64"/>
      <c r="F5" s="64"/>
      <c r="G5" s="64"/>
      <c r="H5" s="64"/>
      <c r="I5" s="64"/>
      <c r="J5" s="66" t="s">
        <v>55</v>
      </c>
      <c r="K5" s="67"/>
    </row>
    <row r="6" spans="2:11" ht="15.75" thickBot="1" x14ac:dyDescent="0.3">
      <c r="B6" s="68"/>
      <c r="C6" s="69"/>
      <c r="D6" s="69"/>
      <c r="E6" s="69"/>
      <c r="F6" s="69"/>
      <c r="G6" s="69"/>
      <c r="H6" s="69"/>
      <c r="I6" s="69"/>
      <c r="J6" s="70" t="s">
        <v>56</v>
      </c>
      <c r="K6" s="71"/>
    </row>
    <row r="7" spans="2:11" ht="16.5" thickBot="1" x14ac:dyDescent="0.3">
      <c r="B7" s="345" t="s">
        <v>57</v>
      </c>
      <c r="C7" s="346"/>
      <c r="D7" s="346"/>
      <c r="E7" s="346"/>
      <c r="F7" s="346"/>
      <c r="G7" s="346"/>
      <c r="H7" s="346"/>
      <c r="I7" s="346"/>
      <c r="J7" s="346"/>
      <c r="K7" s="347"/>
    </row>
    <row r="8" spans="2:11" ht="15.75" x14ac:dyDescent="0.25">
      <c r="B8" s="72" t="s">
        <v>58</v>
      </c>
      <c r="C8" s="73"/>
      <c r="D8" s="74"/>
      <c r="E8" s="75" t="s">
        <v>59</v>
      </c>
      <c r="F8" s="75" t="s">
        <v>60</v>
      </c>
      <c r="G8" s="76"/>
      <c r="H8" s="77" t="s">
        <v>61</v>
      </c>
      <c r="I8" s="77" t="s">
        <v>62</v>
      </c>
      <c r="J8" s="74"/>
      <c r="K8" s="78" t="s">
        <v>63</v>
      </c>
    </row>
    <row r="9" spans="2:11" x14ac:dyDescent="0.25">
      <c r="B9" s="79" t="s">
        <v>64</v>
      </c>
      <c r="C9" s="64" t="s">
        <v>65</v>
      </c>
      <c r="D9" s="64"/>
      <c r="E9" s="80"/>
      <c r="F9" s="81" t="s">
        <v>66</v>
      </c>
      <c r="G9" s="81"/>
      <c r="H9" s="82"/>
      <c r="I9" s="82">
        <f>'[2]Total Capital Investment'!K44*E9/E38</f>
        <v>0</v>
      </c>
      <c r="J9" s="83"/>
      <c r="K9" s="84">
        <f>I9</f>
        <v>0</v>
      </c>
    </row>
    <row r="10" spans="2:11" x14ac:dyDescent="0.25">
      <c r="B10" s="79" t="s">
        <v>67</v>
      </c>
      <c r="C10" s="64" t="s">
        <v>68</v>
      </c>
      <c r="D10" s="64"/>
      <c r="E10" s="80"/>
      <c r="F10" s="81" t="s">
        <v>66</v>
      </c>
      <c r="G10" s="81"/>
      <c r="H10" s="82"/>
      <c r="I10" s="82">
        <f>E10*'[2]Total Capital Investment'!K47/10</f>
        <v>0</v>
      </c>
      <c r="J10" s="83"/>
      <c r="K10" s="84">
        <f t="shared" ref="K10" si="0">I10</f>
        <v>0</v>
      </c>
    </row>
    <row r="11" spans="2:11" x14ac:dyDescent="0.25">
      <c r="B11" s="79" t="s">
        <v>69</v>
      </c>
      <c r="C11" s="64" t="s">
        <v>70</v>
      </c>
      <c r="D11" s="64"/>
      <c r="E11" s="85"/>
      <c r="F11" s="81" t="s">
        <v>71</v>
      </c>
      <c r="G11" s="85"/>
      <c r="H11" s="86" t="s">
        <v>72</v>
      </c>
      <c r="I11" s="82"/>
      <c r="J11" s="83"/>
      <c r="K11" s="84"/>
    </row>
    <row r="12" spans="2:11" x14ac:dyDescent="0.25">
      <c r="B12" s="79" t="s">
        <v>73</v>
      </c>
      <c r="C12" s="64" t="s">
        <v>74</v>
      </c>
      <c r="D12" s="64"/>
      <c r="E12" s="87"/>
      <c r="F12" s="87"/>
      <c r="G12" s="82"/>
      <c r="H12" s="82"/>
      <c r="I12" s="82"/>
      <c r="J12" s="83"/>
      <c r="K12" s="84"/>
    </row>
    <row r="13" spans="2:11" x14ac:dyDescent="0.25">
      <c r="B13" s="63"/>
      <c r="C13" s="88" t="s">
        <v>75</v>
      </c>
      <c r="D13" s="64" t="s">
        <v>76</v>
      </c>
      <c r="E13" s="141">
        <v>41312492.310000002</v>
      </c>
      <c r="F13" s="87" t="s">
        <v>77</v>
      </c>
      <c r="G13" s="85">
        <v>0.42399999999999999</v>
      </c>
      <c r="H13" s="82">
        <f>E13*G13</f>
        <v>17516496.739440002</v>
      </c>
      <c r="I13" s="82"/>
      <c r="J13" s="83"/>
      <c r="K13" s="84">
        <f>H13</f>
        <v>17516496.739440002</v>
      </c>
    </row>
    <row r="14" spans="2:11" x14ac:dyDescent="0.25">
      <c r="B14" s="89"/>
      <c r="C14" s="90"/>
      <c r="D14" s="64"/>
      <c r="E14" s="91"/>
      <c r="F14" s="66"/>
      <c r="G14" s="83"/>
      <c r="H14" s="82"/>
      <c r="I14" s="92"/>
      <c r="J14" s="82"/>
      <c r="K14" s="84"/>
    </row>
    <row r="15" spans="2:11" x14ac:dyDescent="0.25">
      <c r="B15" s="93" t="s">
        <v>78</v>
      </c>
      <c r="C15" s="94"/>
      <c r="D15" s="95"/>
      <c r="E15" s="96"/>
      <c r="F15" s="97"/>
      <c r="G15" s="98"/>
      <c r="H15" s="99"/>
      <c r="I15" s="100"/>
      <c r="J15" s="101" t="s">
        <v>79</v>
      </c>
      <c r="K15" s="102">
        <f>SUM(K9:K13)</f>
        <v>17516496.739440002</v>
      </c>
    </row>
    <row r="16" spans="2:11" x14ac:dyDescent="0.25">
      <c r="B16" s="63"/>
      <c r="C16" s="90"/>
      <c r="D16" s="64"/>
      <c r="E16" s="87"/>
      <c r="F16" s="64"/>
      <c r="G16" s="82"/>
      <c r="H16" s="82"/>
      <c r="I16" s="92"/>
      <c r="J16" s="103"/>
      <c r="K16" s="84"/>
    </row>
    <row r="17" spans="2:12" ht="15.75" x14ac:dyDescent="0.25">
      <c r="B17" s="104" t="s">
        <v>80</v>
      </c>
      <c r="C17" s="105"/>
      <c r="D17" s="106"/>
      <c r="E17" s="87"/>
      <c r="F17" s="87"/>
      <c r="G17" s="82"/>
      <c r="H17" s="82"/>
      <c r="I17" s="82"/>
      <c r="J17" s="82"/>
      <c r="K17" s="84"/>
    </row>
    <row r="18" spans="2:12" x14ac:dyDescent="0.25">
      <c r="B18" s="79" t="s">
        <v>81</v>
      </c>
      <c r="C18" s="64" t="s">
        <v>82</v>
      </c>
      <c r="D18" s="64"/>
      <c r="E18" s="85"/>
      <c r="F18" s="87" t="s">
        <v>66</v>
      </c>
      <c r="G18" s="81"/>
      <c r="H18" s="86" t="s">
        <v>72</v>
      </c>
      <c r="I18" s="82">
        <f>E18*G18</f>
        <v>0</v>
      </c>
      <c r="J18" s="83"/>
      <c r="K18" s="84">
        <f>I18</f>
        <v>0</v>
      </c>
    </row>
    <row r="19" spans="2:12" x14ac:dyDescent="0.25">
      <c r="B19" s="79" t="s">
        <v>83</v>
      </c>
      <c r="C19" s="64" t="s">
        <v>84</v>
      </c>
      <c r="D19" s="64"/>
      <c r="E19" s="107"/>
      <c r="F19" s="87" t="s">
        <v>85</v>
      </c>
      <c r="G19" s="81"/>
      <c r="H19" s="86"/>
      <c r="I19" s="82">
        <f>E19*'[2]Total Capital Investment'!K62</f>
        <v>0</v>
      </c>
      <c r="J19" s="83"/>
      <c r="K19" s="84">
        <f>I19</f>
        <v>0</v>
      </c>
    </row>
    <row r="20" spans="2:12" x14ac:dyDescent="0.25">
      <c r="B20" s="79"/>
      <c r="C20" s="88" t="s">
        <v>86</v>
      </c>
      <c r="D20" s="64"/>
      <c r="E20" s="91">
        <f>($E$37/100*POWER((1+($E$37/100)),$E$38))/((POWER(((1+$E$37/100)),$E$38))-1)</f>
        <v>8.0242587190691314E-2</v>
      </c>
      <c r="F20" s="81"/>
      <c r="G20" s="82"/>
      <c r="H20" s="82"/>
      <c r="I20" s="82"/>
      <c r="J20" s="83"/>
      <c r="K20" s="108"/>
      <c r="L20" s="109"/>
    </row>
    <row r="21" spans="2:12" x14ac:dyDescent="0.25">
      <c r="B21" s="79" t="s">
        <v>87</v>
      </c>
      <c r="C21" s="64" t="s">
        <v>88</v>
      </c>
      <c r="D21" s="64"/>
      <c r="E21" s="64"/>
      <c r="F21" s="64"/>
      <c r="G21" s="82"/>
      <c r="H21" s="110"/>
      <c r="I21" s="82"/>
      <c r="J21" s="111" t="s">
        <v>89</v>
      </c>
      <c r="K21" s="84">
        <f>E20*'[2]Total Capital Investment'!K62</f>
        <v>0</v>
      </c>
      <c r="L21" s="109"/>
    </row>
    <row r="22" spans="2:12" x14ac:dyDescent="0.25">
      <c r="B22" s="63"/>
      <c r="C22" s="64"/>
      <c r="D22" s="64"/>
      <c r="E22" s="87"/>
      <c r="F22" s="64"/>
      <c r="G22" s="82"/>
      <c r="H22" s="82"/>
      <c r="I22" s="82"/>
      <c r="J22" s="82"/>
      <c r="K22" s="84"/>
    </row>
    <row r="23" spans="2:12" x14ac:dyDescent="0.25">
      <c r="B23" s="93" t="s">
        <v>160</v>
      </c>
      <c r="C23" s="94"/>
      <c r="D23" s="112"/>
      <c r="E23" s="113"/>
      <c r="F23" s="97"/>
      <c r="G23" s="100"/>
      <c r="H23" s="114"/>
      <c r="I23" s="100"/>
      <c r="J23" s="101" t="s">
        <v>91</v>
      </c>
      <c r="K23" s="102">
        <f>'5-10 TCI ULSD EU1-2'!B13</f>
        <v>1307676.5109925524</v>
      </c>
    </row>
    <row r="24" spans="2:12" x14ac:dyDescent="0.25">
      <c r="B24" s="115"/>
      <c r="C24" s="116"/>
      <c r="D24" s="64"/>
      <c r="E24" s="87"/>
      <c r="F24" s="64"/>
      <c r="G24" s="82"/>
      <c r="H24" s="82"/>
      <c r="I24" s="82"/>
      <c r="J24" s="82"/>
      <c r="K24" s="84"/>
    </row>
    <row r="25" spans="2:12" ht="15.75" x14ac:dyDescent="0.25">
      <c r="B25" s="117" t="s">
        <v>92</v>
      </c>
      <c r="C25" s="118"/>
      <c r="D25" s="119"/>
      <c r="E25" s="120"/>
      <c r="F25" s="119"/>
      <c r="G25" s="99"/>
      <c r="H25" s="121"/>
      <c r="I25" s="99"/>
      <c r="J25" s="101" t="s">
        <v>93</v>
      </c>
      <c r="K25" s="102">
        <f>K15+K23</f>
        <v>18824173.250432555</v>
      </c>
    </row>
    <row r="26" spans="2:12" ht="15.75" thickBot="1" x14ac:dyDescent="0.3">
      <c r="B26" s="63"/>
      <c r="C26" s="64"/>
      <c r="D26" s="64"/>
      <c r="E26" s="87"/>
      <c r="F26" s="64"/>
      <c r="G26" s="64"/>
      <c r="H26" s="64"/>
      <c r="I26" s="64"/>
      <c r="J26" s="64"/>
      <c r="K26" s="122"/>
    </row>
    <row r="27" spans="2:12" ht="16.5" thickBot="1" x14ac:dyDescent="0.3">
      <c r="B27" s="348" t="s">
        <v>94</v>
      </c>
      <c r="C27" s="349"/>
      <c r="D27" s="349"/>
      <c r="E27" s="349"/>
      <c r="F27" s="349"/>
      <c r="G27" s="349"/>
      <c r="H27" s="349"/>
      <c r="I27" s="349"/>
      <c r="J27" s="349"/>
      <c r="K27" s="350"/>
    </row>
    <row r="28" spans="2:12" x14ac:dyDescent="0.25">
      <c r="B28" s="63"/>
      <c r="C28" s="64"/>
      <c r="D28" s="64"/>
      <c r="E28" s="64"/>
      <c r="F28" s="64"/>
      <c r="G28" s="64"/>
      <c r="H28" s="64"/>
      <c r="I28" s="64"/>
      <c r="J28" s="64"/>
      <c r="K28" s="122"/>
    </row>
    <row r="29" spans="2:12" ht="18.75" x14ac:dyDescent="0.35">
      <c r="B29" s="123" t="s">
        <v>135</v>
      </c>
      <c r="C29" s="105"/>
      <c r="D29" s="64"/>
      <c r="E29" s="64"/>
      <c r="F29" s="64"/>
      <c r="G29" s="64"/>
      <c r="H29" s="64"/>
      <c r="I29" s="64"/>
      <c r="J29" s="124" t="s">
        <v>95</v>
      </c>
      <c r="K29" s="174">
        <f>'5-3 Ranking-SO2'!F8</f>
        <v>1352.0317</v>
      </c>
    </row>
    <row r="30" spans="2:12" x14ac:dyDescent="0.25">
      <c r="B30" s="63"/>
      <c r="C30" s="64"/>
      <c r="D30" s="64"/>
      <c r="E30" s="64"/>
      <c r="F30" s="64"/>
      <c r="G30" s="64"/>
      <c r="H30" s="64"/>
      <c r="I30" s="64"/>
      <c r="J30" s="64"/>
      <c r="K30" s="122"/>
    </row>
    <row r="31" spans="2:12" ht="15.75" x14ac:dyDescent="0.25">
      <c r="B31" s="123" t="s">
        <v>161</v>
      </c>
      <c r="C31" s="105"/>
      <c r="D31" s="64"/>
      <c r="E31" s="64"/>
      <c r="F31" s="64"/>
      <c r="G31" s="64"/>
      <c r="H31" s="197"/>
      <c r="I31" s="64"/>
      <c r="J31" s="198" t="s">
        <v>97</v>
      </c>
      <c r="K31" s="199">
        <f>K25/K29</f>
        <v>13922.878620695472</v>
      </c>
    </row>
    <row r="32" spans="2:12" ht="18" x14ac:dyDescent="0.25">
      <c r="B32" s="123" t="s">
        <v>165</v>
      </c>
      <c r="C32" s="105"/>
      <c r="D32" s="64"/>
      <c r="E32" s="64"/>
      <c r="F32" s="64"/>
      <c r="G32" s="64"/>
      <c r="H32" s="197"/>
      <c r="I32" s="64"/>
      <c r="J32" s="198" t="s">
        <v>97</v>
      </c>
      <c r="K32" s="199">
        <f>+('5-10 TCI ULSD EU1-2'!C13+G13*2472*672/0.13)/422.3</f>
        <v>14064.71549689355</v>
      </c>
    </row>
    <row r="33" spans="2:11" ht="20.25" thickBot="1" x14ac:dyDescent="0.4">
      <c r="B33" s="126" t="s">
        <v>162</v>
      </c>
      <c r="C33" s="127"/>
      <c r="D33" s="128"/>
      <c r="E33" s="128"/>
      <c r="F33" s="128"/>
      <c r="G33" s="128"/>
      <c r="H33" s="129"/>
      <c r="I33" s="128"/>
      <c r="J33" s="130" t="s">
        <v>97</v>
      </c>
      <c r="K33" s="175">
        <f>+K32*6</f>
        <v>84388.292981361301</v>
      </c>
    </row>
    <row r="34" spans="2:11" ht="15.75" thickTop="1" x14ac:dyDescent="0.25"/>
    <row r="35" spans="2:11" ht="15.75" thickBot="1" x14ac:dyDescent="0.3"/>
    <row r="36" spans="2:11" x14ac:dyDescent="0.25">
      <c r="D36" s="132" t="s">
        <v>98</v>
      </c>
      <c r="E36" s="74"/>
      <c r="F36" s="133"/>
      <c r="G36" s="134"/>
    </row>
    <row r="37" spans="2:11" x14ac:dyDescent="0.25">
      <c r="D37" s="135" t="s">
        <v>99</v>
      </c>
      <c r="E37" s="136">
        <v>5</v>
      </c>
      <c r="F37" s="137" t="s">
        <v>66</v>
      </c>
    </row>
    <row r="38" spans="2:11" ht="15.75" thickBot="1" x14ac:dyDescent="0.3">
      <c r="D38" s="138" t="s">
        <v>100</v>
      </c>
      <c r="E38" s="139">
        <v>20</v>
      </c>
      <c r="F38" s="140" t="s">
        <v>101</v>
      </c>
    </row>
    <row r="40" spans="2:11" ht="36" customHeight="1" x14ac:dyDescent="0.25">
      <c r="B40" s="253">
        <v>1</v>
      </c>
      <c r="C40" s="341" t="s">
        <v>178</v>
      </c>
      <c r="D40" s="341"/>
      <c r="E40" s="341"/>
      <c r="F40" s="341"/>
      <c r="G40" s="341"/>
      <c r="H40" s="341"/>
      <c r="I40" s="341"/>
      <c r="J40" s="341"/>
      <c r="K40" s="341"/>
    </row>
    <row r="41" spans="2:11" ht="39" customHeight="1" x14ac:dyDescent="0.25">
      <c r="B41" s="253">
        <v>2</v>
      </c>
      <c r="C41" s="341" t="s">
        <v>168</v>
      </c>
      <c r="D41" s="341"/>
      <c r="E41" s="341"/>
      <c r="F41" s="341"/>
      <c r="G41" s="341"/>
      <c r="H41" s="341"/>
      <c r="I41" s="341"/>
      <c r="J41" s="341"/>
      <c r="K41" s="341"/>
    </row>
  </sheetData>
  <mergeCells count="7">
    <mergeCell ref="B1:K1"/>
    <mergeCell ref="B2:K2"/>
    <mergeCell ref="C40:K40"/>
    <mergeCell ref="C41:K41"/>
    <mergeCell ref="I3:K3"/>
    <mergeCell ref="B7:K7"/>
    <mergeCell ref="B27:K27"/>
  </mergeCells>
  <printOptions horizontalCentered="1"/>
  <pageMargins left="0.7" right="0.7" top="0.75" bottom="0.75" header="0.3" footer="0.3"/>
  <pageSetup scale="51" firstPageNumber="95" orientation="portrait" useFirstPageNumber="1" r:id="rId1"/>
  <headerFooter>
    <oddFooter>&amp;L&amp;"Arial,Regular"&amp;8GVEA North Pole Facility
PM&amp;Y2.5&amp;Y Serious NAA BACT Analysis&amp;C&amp;"Arial,Regular"&amp;8Page 104&amp;R&amp;"Arial,Regular"&amp;8August 2017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37"/>
  <sheetViews>
    <sheetView showWhiteSpace="0" zoomScale="80" zoomScaleNormal="80" zoomScalePageLayoutView="70" workbookViewId="0">
      <selection activeCell="N32" sqref="N32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4.285156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39" t="s">
        <v>106</v>
      </c>
      <c r="C1" s="339"/>
      <c r="D1" s="339"/>
      <c r="E1" s="339"/>
      <c r="F1" s="339"/>
      <c r="G1" s="339"/>
      <c r="H1" s="339"/>
      <c r="I1" s="339"/>
      <c r="J1" s="339"/>
      <c r="K1" s="339"/>
    </row>
    <row r="2" spans="2:11" x14ac:dyDescent="0.25">
      <c r="B2" s="351" t="s">
        <v>132</v>
      </c>
      <c r="C2" s="351"/>
      <c r="D2" s="351"/>
      <c r="E2" s="351"/>
      <c r="F2" s="351"/>
      <c r="G2" s="351"/>
      <c r="H2" s="351"/>
      <c r="I2" s="351"/>
      <c r="J2" s="351"/>
      <c r="K2" s="351"/>
    </row>
    <row r="3" spans="2:11" x14ac:dyDescent="0.25"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2:11" ht="15.75" thickBot="1" x14ac:dyDescent="0.3">
      <c r="I4" s="342" t="s">
        <v>52</v>
      </c>
      <c r="J4" s="343"/>
      <c r="K4" s="344"/>
    </row>
    <row r="5" spans="2:11" ht="18.75" thickTop="1" x14ac:dyDescent="0.35">
      <c r="B5" s="256" t="s">
        <v>53</v>
      </c>
      <c r="C5" s="257"/>
      <c r="D5" s="258" t="s">
        <v>131</v>
      </c>
      <c r="E5" s="257"/>
      <c r="F5" s="257"/>
      <c r="G5" s="257"/>
      <c r="H5" s="257"/>
      <c r="I5" s="257"/>
      <c r="J5" s="259" t="s">
        <v>54</v>
      </c>
      <c r="K5" s="260"/>
    </row>
    <row r="6" spans="2:11" x14ac:dyDescent="0.25">
      <c r="B6" s="63"/>
      <c r="C6" s="64"/>
      <c r="D6" s="64"/>
      <c r="E6" s="64"/>
      <c r="F6" s="64"/>
      <c r="G6" s="64"/>
      <c r="H6" s="64"/>
      <c r="I6" s="64"/>
      <c r="J6" s="66" t="s">
        <v>55</v>
      </c>
      <c r="K6" s="67"/>
    </row>
    <row r="7" spans="2:11" ht="15.75" thickBot="1" x14ac:dyDescent="0.3">
      <c r="B7" s="68"/>
      <c r="C7" s="69"/>
      <c r="D7" s="69"/>
      <c r="E7" s="69"/>
      <c r="F7" s="69"/>
      <c r="G7" s="69"/>
      <c r="H7" s="69"/>
      <c r="I7" s="69"/>
      <c r="J7" s="70" t="s">
        <v>56</v>
      </c>
      <c r="K7" s="71"/>
    </row>
    <row r="8" spans="2:11" ht="16.5" thickBot="1" x14ac:dyDescent="0.3">
      <c r="B8" s="345" t="s">
        <v>57</v>
      </c>
      <c r="C8" s="346"/>
      <c r="D8" s="346"/>
      <c r="E8" s="346"/>
      <c r="F8" s="346"/>
      <c r="G8" s="346"/>
      <c r="H8" s="346"/>
      <c r="I8" s="346"/>
      <c r="J8" s="346"/>
      <c r="K8" s="347"/>
    </row>
    <row r="9" spans="2:11" ht="15.75" x14ac:dyDescent="0.25">
      <c r="B9" s="72" t="s">
        <v>58</v>
      </c>
      <c r="C9" s="73"/>
      <c r="D9" s="74"/>
      <c r="E9" s="75" t="s">
        <v>59</v>
      </c>
      <c r="F9" s="75" t="s">
        <v>60</v>
      </c>
      <c r="G9" s="76"/>
      <c r="H9" s="77" t="s">
        <v>61</v>
      </c>
      <c r="I9" s="77" t="s">
        <v>62</v>
      </c>
      <c r="J9" s="74"/>
      <c r="K9" s="78" t="s">
        <v>63</v>
      </c>
    </row>
    <row r="10" spans="2:11" x14ac:dyDescent="0.25">
      <c r="B10" s="79" t="s">
        <v>64</v>
      </c>
      <c r="C10" s="64" t="s">
        <v>65</v>
      </c>
      <c r="D10" s="64"/>
      <c r="E10" s="80"/>
      <c r="F10" s="81" t="s">
        <v>66</v>
      </c>
      <c r="G10" s="81"/>
      <c r="H10" s="82"/>
      <c r="I10" s="82">
        <f>'[2]Total Capital Investment'!K44*E10/E37</f>
        <v>0</v>
      </c>
      <c r="J10" s="83"/>
      <c r="K10" s="84">
        <f>I10</f>
        <v>0</v>
      </c>
    </row>
    <row r="11" spans="2:11" x14ac:dyDescent="0.25">
      <c r="B11" s="79" t="s">
        <v>67</v>
      </c>
      <c r="C11" s="64" t="s">
        <v>68</v>
      </c>
      <c r="D11" s="64"/>
      <c r="E11" s="80"/>
      <c r="F11" s="81" t="s">
        <v>66</v>
      </c>
      <c r="G11" s="81"/>
      <c r="H11" s="82"/>
      <c r="I11" s="82">
        <f>E11*'[2]Total Capital Investment'!K47/10</f>
        <v>0</v>
      </c>
      <c r="J11" s="83"/>
      <c r="K11" s="84">
        <f t="shared" ref="K11" si="0">I11</f>
        <v>0</v>
      </c>
    </row>
    <row r="12" spans="2:11" x14ac:dyDescent="0.25">
      <c r="B12" s="79" t="s">
        <v>69</v>
      </c>
      <c r="C12" s="64" t="s">
        <v>70</v>
      </c>
      <c r="D12" s="64"/>
      <c r="E12" s="85"/>
      <c r="F12" s="81" t="s">
        <v>71</v>
      </c>
      <c r="G12" s="85"/>
      <c r="H12" s="86" t="s">
        <v>72</v>
      </c>
      <c r="I12" s="82"/>
      <c r="J12" s="83"/>
      <c r="K12" s="84"/>
    </row>
    <row r="13" spans="2:11" x14ac:dyDescent="0.25">
      <c r="B13" s="79" t="s">
        <v>73</v>
      </c>
      <c r="C13" s="64" t="s">
        <v>74</v>
      </c>
      <c r="D13" s="64"/>
      <c r="E13" s="87"/>
      <c r="F13" s="87"/>
      <c r="G13" s="82"/>
      <c r="H13" s="82"/>
      <c r="I13" s="82"/>
      <c r="J13" s="83"/>
      <c r="K13" s="84"/>
    </row>
    <row r="14" spans="2:11" x14ac:dyDescent="0.25">
      <c r="B14" s="63"/>
      <c r="C14" s="88" t="s">
        <v>75</v>
      </c>
      <c r="D14" s="64" t="s">
        <v>76</v>
      </c>
      <c r="E14" s="141">
        <f>455*8760/0.13</f>
        <v>30660000</v>
      </c>
      <c r="F14" s="87" t="s">
        <v>77</v>
      </c>
      <c r="G14" s="158">
        <v>1.117</v>
      </c>
      <c r="H14" s="82">
        <f>E14*G14</f>
        <v>34247220</v>
      </c>
      <c r="I14" s="82"/>
      <c r="J14" s="83"/>
      <c r="K14" s="84">
        <f>H14</f>
        <v>34247220</v>
      </c>
    </row>
    <row r="15" spans="2:11" x14ac:dyDescent="0.25">
      <c r="B15" s="89"/>
      <c r="C15" s="90"/>
      <c r="D15" s="64"/>
      <c r="E15" s="91"/>
      <c r="F15" s="66"/>
      <c r="G15" s="83"/>
      <c r="H15" s="82"/>
      <c r="I15" s="92"/>
      <c r="J15" s="82"/>
      <c r="K15" s="84"/>
    </row>
    <row r="16" spans="2:11" x14ac:dyDescent="0.25">
      <c r="B16" s="93" t="s">
        <v>78</v>
      </c>
      <c r="C16" s="94"/>
      <c r="D16" s="95"/>
      <c r="E16" s="96"/>
      <c r="F16" s="97"/>
      <c r="G16" s="98"/>
      <c r="H16" s="99"/>
      <c r="I16" s="100"/>
      <c r="J16" s="101" t="s">
        <v>79</v>
      </c>
      <c r="K16" s="102">
        <f>SUM(K10:K14)</f>
        <v>34247220</v>
      </c>
    </row>
    <row r="17" spans="2:12" x14ac:dyDescent="0.25">
      <c r="B17" s="63"/>
      <c r="C17" s="90"/>
      <c r="D17" s="64"/>
      <c r="E17" s="87"/>
      <c r="F17" s="64"/>
      <c r="G17" s="82"/>
      <c r="H17" s="82"/>
      <c r="I17" s="92"/>
      <c r="J17" s="103"/>
      <c r="K17" s="84"/>
    </row>
    <row r="18" spans="2:12" ht="15.75" x14ac:dyDescent="0.25">
      <c r="B18" s="104" t="s">
        <v>80</v>
      </c>
      <c r="C18" s="105"/>
      <c r="D18" s="106"/>
      <c r="E18" s="87"/>
      <c r="F18" s="87"/>
      <c r="G18" s="82"/>
      <c r="H18" s="82"/>
      <c r="I18" s="82"/>
      <c r="J18" s="82"/>
      <c r="K18" s="84"/>
    </row>
    <row r="19" spans="2:12" x14ac:dyDescent="0.25">
      <c r="B19" s="79" t="s">
        <v>81</v>
      </c>
      <c r="C19" s="64" t="s">
        <v>82</v>
      </c>
      <c r="D19" s="64"/>
      <c r="E19" s="85"/>
      <c r="F19" s="87" t="s">
        <v>66</v>
      </c>
      <c r="G19" s="81"/>
      <c r="H19" s="86" t="s">
        <v>72</v>
      </c>
      <c r="I19" s="82">
        <f>E19*G19</f>
        <v>0</v>
      </c>
      <c r="J19" s="83"/>
      <c r="K19" s="84">
        <f>I19</f>
        <v>0</v>
      </c>
    </row>
    <row r="20" spans="2:12" x14ac:dyDescent="0.25">
      <c r="B20" s="79" t="s">
        <v>83</v>
      </c>
      <c r="C20" s="64" t="s">
        <v>84</v>
      </c>
      <c r="D20" s="64"/>
      <c r="E20" s="107"/>
      <c r="F20" s="87" t="s">
        <v>85</v>
      </c>
      <c r="G20" s="81"/>
      <c r="H20" s="86"/>
      <c r="I20" s="82">
        <f>E20*'[2]Total Capital Investment'!K62</f>
        <v>0</v>
      </c>
      <c r="J20" s="83"/>
      <c r="K20" s="84">
        <f>I20</f>
        <v>0</v>
      </c>
    </row>
    <row r="21" spans="2:12" x14ac:dyDescent="0.25">
      <c r="B21" s="79"/>
      <c r="C21" s="88" t="s">
        <v>86</v>
      </c>
      <c r="D21" s="64"/>
      <c r="E21" s="91">
        <f>($E$36/100*POWER((1+($E$36/100)),$E$37))/((POWER(((1+$E$36/100)),$E$37))-1)</f>
        <v>8.0242587190691314E-2</v>
      </c>
      <c r="F21" s="81"/>
      <c r="G21" s="82"/>
      <c r="H21" s="82"/>
      <c r="I21" s="82"/>
      <c r="J21" s="83"/>
      <c r="K21" s="108"/>
      <c r="L21" s="109"/>
    </row>
    <row r="22" spans="2:12" x14ac:dyDescent="0.25">
      <c r="B22" s="79" t="s">
        <v>87</v>
      </c>
      <c r="C22" s="64" t="s">
        <v>88</v>
      </c>
      <c r="D22" s="64"/>
      <c r="E22" s="64"/>
      <c r="F22" s="64"/>
      <c r="G22" s="82"/>
      <c r="H22" s="110"/>
      <c r="I22" s="82"/>
      <c r="J22" s="111" t="s">
        <v>89</v>
      </c>
      <c r="K22" s="84">
        <f>E21*'[2]Total Capital Investment'!K62</f>
        <v>0</v>
      </c>
      <c r="L22" s="109"/>
    </row>
    <row r="23" spans="2:12" x14ac:dyDescent="0.25">
      <c r="B23" s="63"/>
      <c r="C23" s="64"/>
      <c r="D23" s="64"/>
      <c r="E23" s="87"/>
      <c r="F23" s="64"/>
      <c r="G23" s="82"/>
      <c r="H23" s="82"/>
      <c r="I23" s="82"/>
      <c r="J23" s="82"/>
      <c r="K23" s="84"/>
    </row>
    <row r="24" spans="2:12" x14ac:dyDescent="0.25">
      <c r="B24" s="93" t="s">
        <v>90</v>
      </c>
      <c r="C24" s="94"/>
      <c r="D24" s="112"/>
      <c r="E24" s="113"/>
      <c r="F24" s="97"/>
      <c r="G24" s="100"/>
      <c r="H24" s="114"/>
      <c r="I24" s="100"/>
      <c r="J24" s="101" t="s">
        <v>91</v>
      </c>
      <c r="K24" s="102">
        <f>SUM(K19:K22)</f>
        <v>0</v>
      </c>
    </row>
    <row r="25" spans="2:12" x14ac:dyDescent="0.25">
      <c r="B25" s="115"/>
      <c r="C25" s="116"/>
      <c r="D25" s="64"/>
      <c r="E25" s="87"/>
      <c r="F25" s="64"/>
      <c r="G25" s="82"/>
      <c r="H25" s="82"/>
      <c r="I25" s="82"/>
      <c r="J25" s="82"/>
      <c r="K25" s="84"/>
    </row>
    <row r="26" spans="2:12" ht="15.75" x14ac:dyDescent="0.25">
      <c r="B26" s="117" t="s">
        <v>92</v>
      </c>
      <c r="C26" s="118"/>
      <c r="D26" s="119"/>
      <c r="E26" s="120"/>
      <c r="F26" s="119"/>
      <c r="G26" s="99"/>
      <c r="H26" s="121"/>
      <c r="I26" s="99"/>
      <c r="J26" s="101" t="s">
        <v>93</v>
      </c>
      <c r="K26" s="102">
        <f>K16+K24</f>
        <v>34247220</v>
      </c>
    </row>
    <row r="27" spans="2:12" ht="15.75" thickBot="1" x14ac:dyDescent="0.3">
      <c r="B27" s="63"/>
      <c r="C27" s="64"/>
      <c r="D27" s="64"/>
      <c r="E27" s="87"/>
      <c r="F27" s="64"/>
      <c r="G27" s="64"/>
      <c r="H27" s="64"/>
      <c r="I27" s="64"/>
      <c r="J27" s="64"/>
      <c r="K27" s="122"/>
    </row>
    <row r="28" spans="2:12" ht="16.5" thickBot="1" x14ac:dyDescent="0.3">
      <c r="B28" s="348" t="s">
        <v>94</v>
      </c>
      <c r="C28" s="349"/>
      <c r="D28" s="349"/>
      <c r="E28" s="349"/>
      <c r="F28" s="349"/>
      <c r="G28" s="349"/>
      <c r="H28" s="349"/>
      <c r="I28" s="349"/>
      <c r="J28" s="349"/>
      <c r="K28" s="350"/>
    </row>
    <row r="29" spans="2:12" x14ac:dyDescent="0.25">
      <c r="B29" s="63"/>
      <c r="C29" s="64"/>
      <c r="D29" s="64"/>
      <c r="E29" s="64"/>
      <c r="F29" s="64"/>
      <c r="G29" s="64"/>
      <c r="H29" s="64"/>
      <c r="I29" s="64"/>
      <c r="J29" s="64"/>
      <c r="K29" s="122"/>
    </row>
    <row r="30" spans="2:12" ht="18.75" x14ac:dyDescent="0.35">
      <c r="B30" s="123" t="s">
        <v>135</v>
      </c>
      <c r="C30" s="105"/>
      <c r="D30" s="64"/>
      <c r="E30" s="64"/>
      <c r="F30" s="64"/>
      <c r="G30" s="64"/>
      <c r="H30" s="64"/>
      <c r="I30" s="64"/>
      <c r="J30" s="124" t="s">
        <v>95</v>
      </c>
      <c r="K30" s="180">
        <f>'5-3 Ranking-SO2'!F11-'5-3 Ranking-SO2'!F12</f>
        <v>32.904000000000003</v>
      </c>
    </row>
    <row r="31" spans="2:12" x14ac:dyDescent="0.25">
      <c r="B31" s="63"/>
      <c r="C31" s="64"/>
      <c r="D31" s="64"/>
      <c r="E31" s="64"/>
      <c r="F31" s="64"/>
      <c r="G31" s="64"/>
      <c r="H31" s="64"/>
      <c r="I31" s="64"/>
      <c r="J31" s="64"/>
      <c r="K31" s="122"/>
    </row>
    <row r="32" spans="2:12" ht="16.5" thickBot="1" x14ac:dyDescent="0.3">
      <c r="B32" s="126" t="s">
        <v>96</v>
      </c>
      <c r="C32" s="127"/>
      <c r="D32" s="128"/>
      <c r="E32" s="128"/>
      <c r="F32" s="128"/>
      <c r="G32" s="128"/>
      <c r="H32" s="129"/>
      <c r="I32" s="128"/>
      <c r="J32" s="130" t="s">
        <v>97</v>
      </c>
      <c r="K32" s="175">
        <f>K26/K30</f>
        <v>1040822.392414296</v>
      </c>
    </row>
    <row r="33" spans="4:7" ht="15.75" thickTop="1" x14ac:dyDescent="0.25"/>
    <row r="34" spans="4:7" ht="15.75" thickBot="1" x14ac:dyDescent="0.3"/>
    <row r="35" spans="4:7" x14ac:dyDescent="0.25">
      <c r="D35" s="132" t="s">
        <v>98</v>
      </c>
      <c r="E35" s="74"/>
      <c r="F35" s="133"/>
      <c r="G35" s="134"/>
    </row>
    <row r="36" spans="4:7" x14ac:dyDescent="0.25">
      <c r="D36" s="135" t="s">
        <v>99</v>
      </c>
      <c r="E36" s="136">
        <v>5</v>
      </c>
      <c r="F36" s="137" t="s">
        <v>66</v>
      </c>
    </row>
    <row r="37" spans="4:7" ht="15.75" thickBot="1" x14ac:dyDescent="0.3">
      <c r="D37" s="138" t="s">
        <v>100</v>
      </c>
      <c r="E37" s="139">
        <v>20</v>
      </c>
      <c r="F37" s="140" t="s">
        <v>101</v>
      </c>
    </row>
  </sheetData>
  <mergeCells count="5">
    <mergeCell ref="B1:K1"/>
    <mergeCell ref="B2:K2"/>
    <mergeCell ref="I4:K4"/>
    <mergeCell ref="B8:K8"/>
    <mergeCell ref="B28:K28"/>
  </mergeCells>
  <pageMargins left="0.7" right="0.7" top="0.75" bottom="0.75" header="0.3" footer="0.3"/>
  <pageSetup scale="52" firstPageNumber="96" fitToHeight="0" orientation="portrait" useFirstPageNumber="1" r:id="rId1"/>
  <headerFooter>
    <oddFooter>&amp;LGVEA North Pole Facility
PM2.5 Serious NAA BACT Analysis&amp;CPage 105&amp;RAugust 2017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36"/>
  <sheetViews>
    <sheetView zoomScale="80" zoomScaleNormal="80" workbookViewId="0">
      <selection activeCell="E37" sqref="E37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1.57031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39" t="s">
        <v>128</v>
      </c>
      <c r="C1" s="339"/>
      <c r="D1" s="339"/>
      <c r="E1" s="339"/>
      <c r="F1" s="339"/>
      <c r="G1" s="339"/>
      <c r="H1" s="339"/>
      <c r="I1" s="339"/>
      <c r="J1" s="339"/>
      <c r="K1" s="339"/>
    </row>
    <row r="2" spans="2:11" x14ac:dyDescent="0.25">
      <c r="B2" s="351" t="s">
        <v>119</v>
      </c>
      <c r="C2" s="351"/>
      <c r="D2" s="351"/>
      <c r="E2" s="351"/>
      <c r="F2" s="351"/>
      <c r="G2" s="351"/>
      <c r="H2" s="351"/>
      <c r="I2" s="351"/>
      <c r="J2" s="351"/>
      <c r="K2" s="351"/>
    </row>
    <row r="3" spans="2:11" x14ac:dyDescent="0.25">
      <c r="I3" s="342" t="s">
        <v>52</v>
      </c>
      <c r="J3" s="343"/>
      <c r="K3" s="344"/>
    </row>
    <row r="4" spans="2:11" ht="18" x14ac:dyDescent="0.35">
      <c r="B4" s="63" t="s">
        <v>53</v>
      </c>
      <c r="C4" s="64"/>
      <c r="D4" s="65" t="s">
        <v>120</v>
      </c>
      <c r="E4" s="64"/>
      <c r="F4" s="64"/>
      <c r="G4" s="64"/>
      <c r="H4" s="64"/>
      <c r="I4" s="64"/>
      <c r="J4" s="66" t="s">
        <v>54</v>
      </c>
      <c r="K4" s="67"/>
    </row>
    <row r="5" spans="2:11" x14ac:dyDescent="0.25">
      <c r="B5" s="63"/>
      <c r="C5" s="64"/>
      <c r="D5" s="64"/>
      <c r="E5" s="64"/>
      <c r="F5" s="64"/>
      <c r="G5" s="64"/>
      <c r="H5" s="64"/>
      <c r="I5" s="64"/>
      <c r="J5" s="66" t="s">
        <v>55</v>
      </c>
      <c r="K5" s="67"/>
    </row>
    <row r="6" spans="2:11" ht="15.75" thickBot="1" x14ac:dyDescent="0.3">
      <c r="B6" s="68"/>
      <c r="C6" s="69"/>
      <c r="D6" s="69"/>
      <c r="E6" s="69"/>
      <c r="F6" s="69"/>
      <c r="G6" s="69"/>
      <c r="H6" s="69"/>
      <c r="I6" s="69"/>
      <c r="J6" s="70" t="s">
        <v>56</v>
      </c>
      <c r="K6" s="71"/>
    </row>
    <row r="7" spans="2:11" ht="16.5" thickBot="1" x14ac:dyDescent="0.3">
      <c r="B7" s="345" t="s">
        <v>57</v>
      </c>
      <c r="C7" s="346"/>
      <c r="D7" s="346"/>
      <c r="E7" s="346"/>
      <c r="F7" s="346"/>
      <c r="G7" s="346"/>
      <c r="H7" s="346"/>
      <c r="I7" s="346"/>
      <c r="J7" s="346"/>
      <c r="K7" s="347"/>
    </row>
    <row r="8" spans="2:11" ht="15.75" x14ac:dyDescent="0.25">
      <c r="B8" s="72" t="s">
        <v>58</v>
      </c>
      <c r="C8" s="73"/>
      <c r="D8" s="74"/>
      <c r="E8" s="75" t="s">
        <v>59</v>
      </c>
      <c r="F8" s="75" t="s">
        <v>60</v>
      </c>
      <c r="G8" s="76"/>
      <c r="H8" s="77" t="s">
        <v>61</v>
      </c>
      <c r="I8" s="77" t="s">
        <v>62</v>
      </c>
      <c r="J8" s="74"/>
      <c r="K8" s="78" t="s">
        <v>63</v>
      </c>
    </row>
    <row r="9" spans="2:11" x14ac:dyDescent="0.25">
      <c r="B9" s="79" t="s">
        <v>64</v>
      </c>
      <c r="C9" s="64" t="s">
        <v>65</v>
      </c>
      <c r="D9" s="64"/>
      <c r="E9" s="80"/>
      <c r="F9" s="81" t="s">
        <v>66</v>
      </c>
      <c r="G9" s="81"/>
      <c r="H9" s="82"/>
      <c r="I9" s="82">
        <f>'[3]Total Capital Investment'!K44*E9/E36</f>
        <v>0</v>
      </c>
      <c r="J9" s="83"/>
      <c r="K9" s="84">
        <f>I9</f>
        <v>0</v>
      </c>
    </row>
    <row r="10" spans="2:11" x14ac:dyDescent="0.25">
      <c r="B10" s="79" t="s">
        <v>67</v>
      </c>
      <c r="C10" s="64" t="s">
        <v>68</v>
      </c>
      <c r="D10" s="64"/>
      <c r="E10" s="80"/>
      <c r="F10" s="81" t="s">
        <v>66</v>
      </c>
      <c r="G10" s="81"/>
      <c r="H10" s="82"/>
      <c r="I10" s="82">
        <f>E10*'[3]Total Capital Investment'!K47/10</f>
        <v>0</v>
      </c>
      <c r="J10" s="83"/>
      <c r="K10" s="84">
        <f t="shared" ref="K10" si="0">I10</f>
        <v>0</v>
      </c>
    </row>
    <row r="11" spans="2:11" x14ac:dyDescent="0.25">
      <c r="B11" s="79" t="s">
        <v>69</v>
      </c>
      <c r="C11" s="64" t="s">
        <v>70</v>
      </c>
      <c r="D11" s="64"/>
      <c r="E11" s="85"/>
      <c r="F11" s="81" t="s">
        <v>71</v>
      </c>
      <c r="G11" s="85"/>
      <c r="H11" s="86" t="s">
        <v>72</v>
      </c>
      <c r="I11" s="82"/>
      <c r="J11" s="83"/>
      <c r="K11" s="84"/>
    </row>
    <row r="12" spans="2:11" x14ac:dyDescent="0.25">
      <c r="B12" s="79" t="s">
        <v>73</v>
      </c>
      <c r="C12" s="64" t="s">
        <v>74</v>
      </c>
      <c r="D12" s="64"/>
      <c r="E12" s="87"/>
      <c r="F12" s="87"/>
      <c r="G12" s="82"/>
      <c r="H12" s="82"/>
      <c r="I12" s="82"/>
      <c r="J12" s="83"/>
      <c r="K12" s="84"/>
    </row>
    <row r="13" spans="2:11" x14ac:dyDescent="0.25">
      <c r="B13" s="63"/>
      <c r="C13" s="88" t="s">
        <v>75</v>
      </c>
      <c r="D13" s="64" t="s">
        <v>76</v>
      </c>
      <c r="E13" s="172">
        <f>32*52</f>
        <v>1664</v>
      </c>
      <c r="F13" s="87" t="s">
        <v>77</v>
      </c>
      <c r="G13" s="85">
        <v>0.26679999999999998</v>
      </c>
      <c r="H13" s="82">
        <f>E13*G13</f>
        <v>443.95519999999999</v>
      </c>
      <c r="I13" s="82"/>
      <c r="J13" s="83"/>
      <c r="K13" s="84">
        <f>H13</f>
        <v>443.95519999999999</v>
      </c>
    </row>
    <row r="14" spans="2:11" x14ac:dyDescent="0.25">
      <c r="B14" s="89"/>
      <c r="C14" s="90"/>
      <c r="D14" s="64"/>
      <c r="E14" s="91"/>
      <c r="F14" s="66"/>
      <c r="G14" s="83"/>
      <c r="H14" s="82"/>
      <c r="I14" s="92"/>
      <c r="J14" s="82"/>
      <c r="K14" s="84"/>
    </row>
    <row r="15" spans="2:11" x14ac:dyDescent="0.25">
      <c r="B15" s="93" t="s">
        <v>78</v>
      </c>
      <c r="C15" s="94"/>
      <c r="D15" s="95"/>
      <c r="E15" s="96"/>
      <c r="F15" s="97"/>
      <c r="G15" s="98"/>
      <c r="H15" s="99"/>
      <c r="I15" s="100"/>
      <c r="J15" s="101" t="s">
        <v>79</v>
      </c>
      <c r="K15" s="102">
        <f>SUM(K9:K13)</f>
        <v>443.95519999999999</v>
      </c>
    </row>
    <row r="16" spans="2:11" x14ac:dyDescent="0.25">
      <c r="B16" s="63"/>
      <c r="C16" s="90"/>
      <c r="D16" s="64"/>
      <c r="E16" s="87"/>
      <c r="F16" s="64"/>
      <c r="G16" s="82"/>
      <c r="H16" s="82"/>
      <c r="I16" s="92"/>
      <c r="J16" s="103"/>
      <c r="K16" s="84"/>
    </row>
    <row r="17" spans="2:12" ht="15.75" x14ac:dyDescent="0.25">
      <c r="B17" s="104" t="s">
        <v>80</v>
      </c>
      <c r="C17" s="105"/>
      <c r="D17" s="106"/>
      <c r="E17" s="87"/>
      <c r="F17" s="87"/>
      <c r="G17" s="82"/>
      <c r="H17" s="82"/>
      <c r="I17" s="82"/>
      <c r="J17" s="82"/>
      <c r="K17" s="84"/>
    </row>
    <row r="18" spans="2:12" x14ac:dyDescent="0.25">
      <c r="B18" s="79" t="s">
        <v>81</v>
      </c>
      <c r="C18" s="64" t="s">
        <v>82</v>
      </c>
      <c r="D18" s="64"/>
      <c r="E18" s="85"/>
      <c r="F18" s="87" t="s">
        <v>66</v>
      </c>
      <c r="G18" s="81"/>
      <c r="H18" s="86" t="s">
        <v>72</v>
      </c>
      <c r="I18" s="82">
        <f>E18*G18</f>
        <v>0</v>
      </c>
      <c r="J18" s="83"/>
      <c r="K18" s="84">
        <f>I18</f>
        <v>0</v>
      </c>
    </row>
    <row r="19" spans="2:12" x14ac:dyDescent="0.25">
      <c r="B19" s="79" t="s">
        <v>83</v>
      </c>
      <c r="C19" s="64" t="s">
        <v>84</v>
      </c>
      <c r="D19" s="64"/>
      <c r="E19" s="107"/>
      <c r="F19" s="87" t="s">
        <v>85</v>
      </c>
      <c r="G19" s="81"/>
      <c r="H19" s="86"/>
      <c r="I19" s="82">
        <f>E19*'[3]Total Capital Investment'!K62</f>
        <v>0</v>
      </c>
      <c r="J19" s="83"/>
      <c r="K19" s="84">
        <f>I19</f>
        <v>0</v>
      </c>
    </row>
    <row r="20" spans="2:12" x14ac:dyDescent="0.25">
      <c r="B20" s="79"/>
      <c r="C20" s="88" t="s">
        <v>86</v>
      </c>
      <c r="D20" s="64"/>
      <c r="E20" s="91">
        <f>($E$35/100*POWER((1+($E$35/100)),$E$36))/((POWER(((1+$E$35/100)),$E$36))-1)</f>
        <v>9.4392925743255696E-2</v>
      </c>
      <c r="F20" s="81"/>
      <c r="G20" s="82"/>
      <c r="H20" s="82"/>
      <c r="I20" s="82"/>
      <c r="J20" s="83"/>
      <c r="K20" s="108"/>
      <c r="L20" s="109"/>
    </row>
    <row r="21" spans="2:12" x14ac:dyDescent="0.25">
      <c r="B21" s="79" t="s">
        <v>87</v>
      </c>
      <c r="C21" s="64" t="s">
        <v>88</v>
      </c>
      <c r="D21" s="64"/>
      <c r="E21" s="64"/>
      <c r="F21" s="64"/>
      <c r="G21" s="82"/>
      <c r="H21" s="110"/>
      <c r="I21" s="82"/>
      <c r="J21" s="111" t="s">
        <v>89</v>
      </c>
      <c r="K21" s="84">
        <f>E20*'[3]Total Capital Investment'!K62</f>
        <v>0</v>
      </c>
      <c r="L21" s="109"/>
    </row>
    <row r="22" spans="2:12" x14ac:dyDescent="0.25">
      <c r="B22" s="63"/>
      <c r="C22" s="64"/>
      <c r="D22" s="64"/>
      <c r="E22" s="87"/>
      <c r="F22" s="64"/>
      <c r="G22" s="82"/>
      <c r="H22" s="82"/>
      <c r="I22" s="82"/>
      <c r="J22" s="82"/>
      <c r="K22" s="84"/>
    </row>
    <row r="23" spans="2:12" x14ac:dyDescent="0.25">
      <c r="B23" s="93" t="s">
        <v>90</v>
      </c>
      <c r="C23" s="94"/>
      <c r="D23" s="112"/>
      <c r="E23" s="113"/>
      <c r="F23" s="97"/>
      <c r="G23" s="100"/>
      <c r="H23" s="114"/>
      <c r="I23" s="100"/>
      <c r="J23" s="101" t="s">
        <v>91</v>
      </c>
      <c r="K23" s="102">
        <f>SUM(K18:K21)</f>
        <v>0</v>
      </c>
    </row>
    <row r="24" spans="2:12" x14ac:dyDescent="0.25">
      <c r="B24" s="115"/>
      <c r="C24" s="116"/>
      <c r="D24" s="64"/>
      <c r="E24" s="87"/>
      <c r="F24" s="64"/>
      <c r="G24" s="82"/>
      <c r="H24" s="82"/>
      <c r="I24" s="82"/>
      <c r="J24" s="82"/>
      <c r="K24" s="84"/>
    </row>
    <row r="25" spans="2:12" ht="15.75" x14ac:dyDescent="0.25">
      <c r="B25" s="117" t="s">
        <v>92</v>
      </c>
      <c r="C25" s="118"/>
      <c r="D25" s="119"/>
      <c r="E25" s="120"/>
      <c r="F25" s="119"/>
      <c r="G25" s="99"/>
      <c r="H25" s="121"/>
      <c r="I25" s="99"/>
      <c r="J25" s="101" t="s">
        <v>93</v>
      </c>
      <c r="K25" s="102">
        <f>K15+K23</f>
        <v>443.95519999999999</v>
      </c>
    </row>
    <row r="26" spans="2:12" ht="15.75" thickBot="1" x14ac:dyDescent="0.3">
      <c r="B26" s="63"/>
      <c r="C26" s="64"/>
      <c r="D26" s="64"/>
      <c r="E26" s="87"/>
      <c r="F26" s="64"/>
      <c r="G26" s="64"/>
      <c r="H26" s="64"/>
      <c r="I26" s="64"/>
      <c r="J26" s="64"/>
      <c r="K26" s="122"/>
    </row>
    <row r="27" spans="2:12" ht="16.5" thickBot="1" x14ac:dyDescent="0.3">
      <c r="B27" s="348" t="s">
        <v>94</v>
      </c>
      <c r="C27" s="349"/>
      <c r="D27" s="349"/>
      <c r="E27" s="349"/>
      <c r="F27" s="349"/>
      <c r="G27" s="349"/>
      <c r="H27" s="349"/>
      <c r="I27" s="349"/>
      <c r="J27" s="349"/>
      <c r="K27" s="350"/>
    </row>
    <row r="28" spans="2:12" x14ac:dyDescent="0.25">
      <c r="B28" s="63"/>
      <c r="C28" s="64"/>
      <c r="D28" s="64"/>
      <c r="E28" s="64"/>
      <c r="F28" s="64"/>
      <c r="G28" s="64"/>
      <c r="H28" s="64"/>
      <c r="I28" s="64"/>
      <c r="J28" s="64"/>
      <c r="K28" s="122"/>
    </row>
    <row r="29" spans="2:12" ht="18.75" x14ac:dyDescent="0.35">
      <c r="B29" s="123" t="s">
        <v>135</v>
      </c>
      <c r="C29" s="105"/>
      <c r="D29" s="64"/>
      <c r="E29" s="64"/>
      <c r="F29" s="64"/>
      <c r="G29" s="64"/>
      <c r="H29" s="64"/>
      <c r="I29" s="64"/>
      <c r="J29" s="124" t="s">
        <v>95</v>
      </c>
      <c r="K29" s="125">
        <f>'5-3 Ranking-SO2'!F13</f>
        <v>9.8499999999999994E-3</v>
      </c>
    </row>
    <row r="30" spans="2:12" x14ac:dyDescent="0.25">
      <c r="B30" s="63"/>
      <c r="C30" s="64"/>
      <c r="D30" s="64"/>
      <c r="E30" s="64"/>
      <c r="F30" s="64"/>
      <c r="G30" s="64"/>
      <c r="H30" s="64"/>
      <c r="I30" s="64"/>
      <c r="J30" s="64"/>
      <c r="K30" s="122"/>
    </row>
    <row r="31" spans="2:12" ht="16.5" thickBot="1" x14ac:dyDescent="0.3">
      <c r="B31" s="126" t="s">
        <v>96</v>
      </c>
      <c r="C31" s="127"/>
      <c r="D31" s="128"/>
      <c r="E31" s="128"/>
      <c r="F31" s="128"/>
      <c r="G31" s="128"/>
      <c r="H31" s="129"/>
      <c r="I31" s="128"/>
      <c r="J31" s="130" t="s">
        <v>97</v>
      </c>
      <c r="K31" s="131">
        <f>K25/K29</f>
        <v>45071.593908629446</v>
      </c>
    </row>
    <row r="32" spans="2:12" ht="15.75" thickTop="1" x14ac:dyDescent="0.25"/>
    <row r="33" spans="4:7" ht="15.75" thickBot="1" x14ac:dyDescent="0.3"/>
    <row r="34" spans="4:7" x14ac:dyDescent="0.25">
      <c r="D34" s="132" t="s">
        <v>98</v>
      </c>
      <c r="E34" s="74"/>
      <c r="F34" s="133"/>
      <c r="G34" s="134"/>
    </row>
    <row r="35" spans="4:7" x14ac:dyDescent="0.25">
      <c r="D35" s="135" t="s">
        <v>99</v>
      </c>
      <c r="E35" s="136">
        <v>7</v>
      </c>
      <c r="F35" s="137" t="s">
        <v>66</v>
      </c>
    </row>
    <row r="36" spans="4:7" ht="15.75" thickBot="1" x14ac:dyDescent="0.3">
      <c r="D36" s="138" t="s">
        <v>100</v>
      </c>
      <c r="E36" s="139">
        <v>20</v>
      </c>
      <c r="F36" s="140" t="s">
        <v>101</v>
      </c>
    </row>
  </sheetData>
  <mergeCells count="5">
    <mergeCell ref="I3:K3"/>
    <mergeCell ref="B7:K7"/>
    <mergeCell ref="B27:K27"/>
    <mergeCell ref="B1:K1"/>
    <mergeCell ref="B2:K2"/>
  </mergeCells>
  <printOptions horizontalCentered="1"/>
  <pageMargins left="0.7" right="0.7" top="0.75" bottom="0.75" header="0.3" footer="0.3"/>
  <pageSetup scale="52" firstPageNumber="97" orientation="portrait" useFirstPageNumber="1" r:id="rId1"/>
  <headerFooter>
    <oddFooter>&amp;L&amp;"Arial,Regular"&amp;8GVEA North Pole Facility
PM&amp;Y2.5&amp;Y Serious NAA BACT Analysis&amp;C&amp;"Arial,Regular"&amp;8Page 106&amp;R&amp;"Arial,Regular"&amp;8August 2017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Normal="100" workbookViewId="0">
      <selection activeCell="H24" sqref="H24"/>
    </sheetView>
  </sheetViews>
  <sheetFormatPr defaultRowHeight="14.25" x14ac:dyDescent="0.2"/>
  <cols>
    <col min="1" max="1" width="45.140625" style="29" customWidth="1"/>
    <col min="2" max="2" width="14.85546875" style="29" customWidth="1"/>
    <col min="3" max="5" width="17.7109375" style="29" customWidth="1"/>
    <col min="6" max="6" width="17.85546875" style="29" customWidth="1"/>
    <col min="7" max="246" width="8.85546875" style="29"/>
    <col min="247" max="247" width="35.7109375" style="29" customWidth="1"/>
    <col min="248" max="248" width="10.7109375" style="29" customWidth="1"/>
    <col min="249" max="249" width="11" style="29" customWidth="1"/>
    <col min="250" max="250" width="10.7109375" style="29" customWidth="1"/>
    <col min="251" max="251" width="13.28515625" style="29" customWidth="1"/>
    <col min="252" max="252" width="9.28515625" style="29" bestFit="1" customWidth="1"/>
    <col min="253" max="259" width="9.140625" style="29" customWidth="1"/>
    <col min="260" max="260" width="9.28515625" style="29" bestFit="1" customWidth="1"/>
    <col min="261" max="502" width="8.85546875" style="29"/>
    <col min="503" max="503" width="35.7109375" style="29" customWidth="1"/>
    <col min="504" max="504" width="10.7109375" style="29" customWidth="1"/>
    <col min="505" max="505" width="11" style="29" customWidth="1"/>
    <col min="506" max="506" width="10.7109375" style="29" customWidth="1"/>
    <col min="507" max="507" width="13.28515625" style="29" customWidth="1"/>
    <col min="508" max="508" width="9.28515625" style="29" bestFit="1" customWidth="1"/>
    <col min="509" max="515" width="9.140625" style="29" customWidth="1"/>
    <col min="516" max="516" width="9.28515625" style="29" bestFit="1" customWidth="1"/>
    <col min="517" max="758" width="8.85546875" style="29"/>
    <col min="759" max="759" width="35.7109375" style="29" customWidth="1"/>
    <col min="760" max="760" width="10.7109375" style="29" customWidth="1"/>
    <col min="761" max="761" width="11" style="29" customWidth="1"/>
    <col min="762" max="762" width="10.7109375" style="29" customWidth="1"/>
    <col min="763" max="763" width="13.28515625" style="29" customWidth="1"/>
    <col min="764" max="764" width="9.28515625" style="29" bestFit="1" customWidth="1"/>
    <col min="765" max="771" width="9.140625" style="29" customWidth="1"/>
    <col min="772" max="772" width="9.28515625" style="29" bestFit="1" customWidth="1"/>
    <col min="773" max="1014" width="8.85546875" style="29"/>
    <col min="1015" max="1015" width="35.7109375" style="29" customWidth="1"/>
    <col min="1016" max="1016" width="10.7109375" style="29" customWidth="1"/>
    <col min="1017" max="1017" width="11" style="29" customWidth="1"/>
    <col min="1018" max="1018" width="10.7109375" style="29" customWidth="1"/>
    <col min="1019" max="1019" width="13.28515625" style="29" customWidth="1"/>
    <col min="1020" max="1020" width="9.28515625" style="29" bestFit="1" customWidth="1"/>
    <col min="1021" max="1027" width="9.140625" style="29" customWidth="1"/>
    <col min="1028" max="1028" width="9.28515625" style="29" bestFit="1" customWidth="1"/>
    <col min="1029" max="1270" width="8.85546875" style="29"/>
    <col min="1271" max="1271" width="35.7109375" style="29" customWidth="1"/>
    <col min="1272" max="1272" width="10.7109375" style="29" customWidth="1"/>
    <col min="1273" max="1273" width="11" style="29" customWidth="1"/>
    <col min="1274" max="1274" width="10.7109375" style="29" customWidth="1"/>
    <col min="1275" max="1275" width="13.28515625" style="29" customWidth="1"/>
    <col min="1276" max="1276" width="9.28515625" style="29" bestFit="1" customWidth="1"/>
    <col min="1277" max="1283" width="9.140625" style="29" customWidth="1"/>
    <col min="1284" max="1284" width="9.28515625" style="29" bestFit="1" customWidth="1"/>
    <col min="1285" max="1526" width="8.85546875" style="29"/>
    <col min="1527" max="1527" width="35.7109375" style="29" customWidth="1"/>
    <col min="1528" max="1528" width="10.7109375" style="29" customWidth="1"/>
    <col min="1529" max="1529" width="11" style="29" customWidth="1"/>
    <col min="1530" max="1530" width="10.7109375" style="29" customWidth="1"/>
    <col min="1531" max="1531" width="13.28515625" style="29" customWidth="1"/>
    <col min="1532" max="1532" width="9.28515625" style="29" bestFit="1" customWidth="1"/>
    <col min="1533" max="1539" width="9.140625" style="29" customWidth="1"/>
    <col min="1540" max="1540" width="9.28515625" style="29" bestFit="1" customWidth="1"/>
    <col min="1541" max="1782" width="8.85546875" style="29"/>
    <col min="1783" max="1783" width="35.7109375" style="29" customWidth="1"/>
    <col min="1784" max="1784" width="10.7109375" style="29" customWidth="1"/>
    <col min="1785" max="1785" width="11" style="29" customWidth="1"/>
    <col min="1786" max="1786" width="10.7109375" style="29" customWidth="1"/>
    <col min="1787" max="1787" width="13.28515625" style="29" customWidth="1"/>
    <col min="1788" max="1788" width="9.28515625" style="29" bestFit="1" customWidth="1"/>
    <col min="1789" max="1795" width="9.140625" style="29" customWidth="1"/>
    <col min="1796" max="1796" width="9.28515625" style="29" bestFit="1" customWidth="1"/>
    <col min="1797" max="2038" width="8.85546875" style="29"/>
    <col min="2039" max="2039" width="35.7109375" style="29" customWidth="1"/>
    <col min="2040" max="2040" width="10.7109375" style="29" customWidth="1"/>
    <col min="2041" max="2041" width="11" style="29" customWidth="1"/>
    <col min="2042" max="2042" width="10.7109375" style="29" customWidth="1"/>
    <col min="2043" max="2043" width="13.28515625" style="29" customWidth="1"/>
    <col min="2044" max="2044" width="9.28515625" style="29" bestFit="1" customWidth="1"/>
    <col min="2045" max="2051" width="9.140625" style="29" customWidth="1"/>
    <col min="2052" max="2052" width="9.28515625" style="29" bestFit="1" customWidth="1"/>
    <col min="2053" max="2294" width="8.85546875" style="29"/>
    <col min="2295" max="2295" width="35.7109375" style="29" customWidth="1"/>
    <col min="2296" max="2296" width="10.7109375" style="29" customWidth="1"/>
    <col min="2297" max="2297" width="11" style="29" customWidth="1"/>
    <col min="2298" max="2298" width="10.7109375" style="29" customWidth="1"/>
    <col min="2299" max="2299" width="13.28515625" style="29" customWidth="1"/>
    <col min="2300" max="2300" width="9.28515625" style="29" bestFit="1" customWidth="1"/>
    <col min="2301" max="2307" width="9.140625" style="29" customWidth="1"/>
    <col min="2308" max="2308" width="9.28515625" style="29" bestFit="1" customWidth="1"/>
    <col min="2309" max="2550" width="8.85546875" style="29"/>
    <col min="2551" max="2551" width="35.7109375" style="29" customWidth="1"/>
    <col min="2552" max="2552" width="10.7109375" style="29" customWidth="1"/>
    <col min="2553" max="2553" width="11" style="29" customWidth="1"/>
    <col min="2554" max="2554" width="10.7109375" style="29" customWidth="1"/>
    <col min="2555" max="2555" width="13.28515625" style="29" customWidth="1"/>
    <col min="2556" max="2556" width="9.28515625" style="29" bestFit="1" customWidth="1"/>
    <col min="2557" max="2563" width="9.140625" style="29" customWidth="1"/>
    <col min="2564" max="2564" width="9.28515625" style="29" bestFit="1" customWidth="1"/>
    <col min="2565" max="2806" width="8.85546875" style="29"/>
    <col min="2807" max="2807" width="35.7109375" style="29" customWidth="1"/>
    <col min="2808" max="2808" width="10.7109375" style="29" customWidth="1"/>
    <col min="2809" max="2809" width="11" style="29" customWidth="1"/>
    <col min="2810" max="2810" width="10.7109375" style="29" customWidth="1"/>
    <col min="2811" max="2811" width="13.28515625" style="29" customWidth="1"/>
    <col min="2812" max="2812" width="9.28515625" style="29" bestFit="1" customWidth="1"/>
    <col min="2813" max="2819" width="9.140625" style="29" customWidth="1"/>
    <col min="2820" max="2820" width="9.28515625" style="29" bestFit="1" customWidth="1"/>
    <col min="2821" max="3062" width="8.85546875" style="29"/>
    <col min="3063" max="3063" width="35.7109375" style="29" customWidth="1"/>
    <col min="3064" max="3064" width="10.7109375" style="29" customWidth="1"/>
    <col min="3065" max="3065" width="11" style="29" customWidth="1"/>
    <col min="3066" max="3066" width="10.7109375" style="29" customWidth="1"/>
    <col min="3067" max="3067" width="13.28515625" style="29" customWidth="1"/>
    <col min="3068" max="3068" width="9.28515625" style="29" bestFit="1" customWidth="1"/>
    <col min="3069" max="3075" width="9.140625" style="29" customWidth="1"/>
    <col min="3076" max="3076" width="9.28515625" style="29" bestFit="1" customWidth="1"/>
    <col min="3077" max="3318" width="8.85546875" style="29"/>
    <col min="3319" max="3319" width="35.7109375" style="29" customWidth="1"/>
    <col min="3320" max="3320" width="10.7109375" style="29" customWidth="1"/>
    <col min="3321" max="3321" width="11" style="29" customWidth="1"/>
    <col min="3322" max="3322" width="10.7109375" style="29" customWidth="1"/>
    <col min="3323" max="3323" width="13.28515625" style="29" customWidth="1"/>
    <col min="3324" max="3324" width="9.28515625" style="29" bestFit="1" customWidth="1"/>
    <col min="3325" max="3331" width="9.140625" style="29" customWidth="1"/>
    <col min="3332" max="3332" width="9.28515625" style="29" bestFit="1" customWidth="1"/>
    <col min="3333" max="3574" width="8.85546875" style="29"/>
    <col min="3575" max="3575" width="35.7109375" style="29" customWidth="1"/>
    <col min="3576" max="3576" width="10.7109375" style="29" customWidth="1"/>
    <col min="3577" max="3577" width="11" style="29" customWidth="1"/>
    <col min="3578" max="3578" width="10.7109375" style="29" customWidth="1"/>
    <col min="3579" max="3579" width="13.28515625" style="29" customWidth="1"/>
    <col min="3580" max="3580" width="9.28515625" style="29" bestFit="1" customWidth="1"/>
    <col min="3581" max="3587" width="9.140625" style="29" customWidth="1"/>
    <col min="3588" max="3588" width="9.28515625" style="29" bestFit="1" customWidth="1"/>
    <col min="3589" max="3830" width="8.85546875" style="29"/>
    <col min="3831" max="3831" width="35.7109375" style="29" customWidth="1"/>
    <col min="3832" max="3832" width="10.7109375" style="29" customWidth="1"/>
    <col min="3833" max="3833" width="11" style="29" customWidth="1"/>
    <col min="3834" max="3834" width="10.7109375" style="29" customWidth="1"/>
    <col min="3835" max="3835" width="13.28515625" style="29" customWidth="1"/>
    <col min="3836" max="3836" width="9.28515625" style="29" bestFit="1" customWidth="1"/>
    <col min="3837" max="3843" width="9.140625" style="29" customWidth="1"/>
    <col min="3844" max="3844" width="9.28515625" style="29" bestFit="1" customWidth="1"/>
    <col min="3845" max="4086" width="8.85546875" style="29"/>
    <col min="4087" max="4087" width="35.7109375" style="29" customWidth="1"/>
    <col min="4088" max="4088" width="10.7109375" style="29" customWidth="1"/>
    <col min="4089" max="4089" width="11" style="29" customWidth="1"/>
    <col min="4090" max="4090" width="10.7109375" style="29" customWidth="1"/>
    <col min="4091" max="4091" width="13.28515625" style="29" customWidth="1"/>
    <col min="4092" max="4092" width="9.28515625" style="29" bestFit="1" customWidth="1"/>
    <col min="4093" max="4099" width="9.140625" style="29" customWidth="1"/>
    <col min="4100" max="4100" width="9.28515625" style="29" bestFit="1" customWidth="1"/>
    <col min="4101" max="4342" width="8.85546875" style="29"/>
    <col min="4343" max="4343" width="35.7109375" style="29" customWidth="1"/>
    <col min="4344" max="4344" width="10.7109375" style="29" customWidth="1"/>
    <col min="4345" max="4345" width="11" style="29" customWidth="1"/>
    <col min="4346" max="4346" width="10.7109375" style="29" customWidth="1"/>
    <col min="4347" max="4347" width="13.28515625" style="29" customWidth="1"/>
    <col min="4348" max="4348" width="9.28515625" style="29" bestFit="1" customWidth="1"/>
    <col min="4349" max="4355" width="9.140625" style="29" customWidth="1"/>
    <col min="4356" max="4356" width="9.28515625" style="29" bestFit="1" customWidth="1"/>
    <col min="4357" max="4598" width="8.85546875" style="29"/>
    <col min="4599" max="4599" width="35.7109375" style="29" customWidth="1"/>
    <col min="4600" max="4600" width="10.7109375" style="29" customWidth="1"/>
    <col min="4601" max="4601" width="11" style="29" customWidth="1"/>
    <col min="4602" max="4602" width="10.7109375" style="29" customWidth="1"/>
    <col min="4603" max="4603" width="13.28515625" style="29" customWidth="1"/>
    <col min="4604" max="4604" width="9.28515625" style="29" bestFit="1" customWidth="1"/>
    <col min="4605" max="4611" width="9.140625" style="29" customWidth="1"/>
    <col min="4612" max="4612" width="9.28515625" style="29" bestFit="1" customWidth="1"/>
    <col min="4613" max="4854" width="8.85546875" style="29"/>
    <col min="4855" max="4855" width="35.7109375" style="29" customWidth="1"/>
    <col min="4856" max="4856" width="10.7109375" style="29" customWidth="1"/>
    <col min="4857" max="4857" width="11" style="29" customWidth="1"/>
    <col min="4858" max="4858" width="10.7109375" style="29" customWidth="1"/>
    <col min="4859" max="4859" width="13.28515625" style="29" customWidth="1"/>
    <col min="4860" max="4860" width="9.28515625" style="29" bestFit="1" customWidth="1"/>
    <col min="4861" max="4867" width="9.140625" style="29" customWidth="1"/>
    <col min="4868" max="4868" width="9.28515625" style="29" bestFit="1" customWidth="1"/>
    <col min="4869" max="5110" width="8.85546875" style="29"/>
    <col min="5111" max="5111" width="35.7109375" style="29" customWidth="1"/>
    <col min="5112" max="5112" width="10.7109375" style="29" customWidth="1"/>
    <col min="5113" max="5113" width="11" style="29" customWidth="1"/>
    <col min="5114" max="5114" width="10.7109375" style="29" customWidth="1"/>
    <col min="5115" max="5115" width="13.28515625" style="29" customWidth="1"/>
    <col min="5116" max="5116" width="9.28515625" style="29" bestFit="1" customWidth="1"/>
    <col min="5117" max="5123" width="9.140625" style="29" customWidth="1"/>
    <col min="5124" max="5124" width="9.28515625" style="29" bestFit="1" customWidth="1"/>
    <col min="5125" max="5366" width="8.85546875" style="29"/>
    <col min="5367" max="5367" width="35.7109375" style="29" customWidth="1"/>
    <col min="5368" max="5368" width="10.7109375" style="29" customWidth="1"/>
    <col min="5369" max="5369" width="11" style="29" customWidth="1"/>
    <col min="5370" max="5370" width="10.7109375" style="29" customWidth="1"/>
    <col min="5371" max="5371" width="13.28515625" style="29" customWidth="1"/>
    <col min="5372" max="5372" width="9.28515625" style="29" bestFit="1" customWidth="1"/>
    <col min="5373" max="5379" width="9.140625" style="29" customWidth="1"/>
    <col min="5380" max="5380" width="9.28515625" style="29" bestFit="1" customWidth="1"/>
    <col min="5381" max="5622" width="8.85546875" style="29"/>
    <col min="5623" max="5623" width="35.7109375" style="29" customWidth="1"/>
    <col min="5624" max="5624" width="10.7109375" style="29" customWidth="1"/>
    <col min="5625" max="5625" width="11" style="29" customWidth="1"/>
    <col min="5626" max="5626" width="10.7109375" style="29" customWidth="1"/>
    <col min="5627" max="5627" width="13.28515625" style="29" customWidth="1"/>
    <col min="5628" max="5628" width="9.28515625" style="29" bestFit="1" customWidth="1"/>
    <col min="5629" max="5635" width="9.140625" style="29" customWidth="1"/>
    <col min="5636" max="5636" width="9.28515625" style="29" bestFit="1" customWidth="1"/>
    <col min="5637" max="5878" width="8.85546875" style="29"/>
    <col min="5879" max="5879" width="35.7109375" style="29" customWidth="1"/>
    <col min="5880" max="5880" width="10.7109375" style="29" customWidth="1"/>
    <col min="5881" max="5881" width="11" style="29" customWidth="1"/>
    <col min="5882" max="5882" width="10.7109375" style="29" customWidth="1"/>
    <col min="5883" max="5883" width="13.28515625" style="29" customWidth="1"/>
    <col min="5884" max="5884" width="9.28515625" style="29" bestFit="1" customWidth="1"/>
    <col min="5885" max="5891" width="9.140625" style="29" customWidth="1"/>
    <col min="5892" max="5892" width="9.28515625" style="29" bestFit="1" customWidth="1"/>
    <col min="5893" max="6134" width="8.85546875" style="29"/>
    <col min="6135" max="6135" width="35.7109375" style="29" customWidth="1"/>
    <col min="6136" max="6136" width="10.7109375" style="29" customWidth="1"/>
    <col min="6137" max="6137" width="11" style="29" customWidth="1"/>
    <col min="6138" max="6138" width="10.7109375" style="29" customWidth="1"/>
    <col min="6139" max="6139" width="13.28515625" style="29" customWidth="1"/>
    <col min="6140" max="6140" width="9.28515625" style="29" bestFit="1" customWidth="1"/>
    <col min="6141" max="6147" width="9.140625" style="29" customWidth="1"/>
    <col min="6148" max="6148" width="9.28515625" style="29" bestFit="1" customWidth="1"/>
    <col min="6149" max="6390" width="8.85546875" style="29"/>
    <col min="6391" max="6391" width="35.7109375" style="29" customWidth="1"/>
    <col min="6392" max="6392" width="10.7109375" style="29" customWidth="1"/>
    <col min="6393" max="6393" width="11" style="29" customWidth="1"/>
    <col min="6394" max="6394" width="10.7109375" style="29" customWidth="1"/>
    <col min="6395" max="6395" width="13.28515625" style="29" customWidth="1"/>
    <col min="6396" max="6396" width="9.28515625" style="29" bestFit="1" customWidth="1"/>
    <col min="6397" max="6403" width="9.140625" style="29" customWidth="1"/>
    <col min="6404" max="6404" width="9.28515625" style="29" bestFit="1" customWidth="1"/>
    <col min="6405" max="6646" width="8.85546875" style="29"/>
    <col min="6647" max="6647" width="35.7109375" style="29" customWidth="1"/>
    <col min="6648" max="6648" width="10.7109375" style="29" customWidth="1"/>
    <col min="6649" max="6649" width="11" style="29" customWidth="1"/>
    <col min="6650" max="6650" width="10.7109375" style="29" customWidth="1"/>
    <col min="6651" max="6651" width="13.28515625" style="29" customWidth="1"/>
    <col min="6652" max="6652" width="9.28515625" style="29" bestFit="1" customWidth="1"/>
    <col min="6653" max="6659" width="9.140625" style="29" customWidth="1"/>
    <col min="6660" max="6660" width="9.28515625" style="29" bestFit="1" customWidth="1"/>
    <col min="6661" max="6902" width="8.85546875" style="29"/>
    <col min="6903" max="6903" width="35.7109375" style="29" customWidth="1"/>
    <col min="6904" max="6904" width="10.7109375" style="29" customWidth="1"/>
    <col min="6905" max="6905" width="11" style="29" customWidth="1"/>
    <col min="6906" max="6906" width="10.7109375" style="29" customWidth="1"/>
    <col min="6907" max="6907" width="13.28515625" style="29" customWidth="1"/>
    <col min="6908" max="6908" width="9.28515625" style="29" bestFit="1" customWidth="1"/>
    <col min="6909" max="6915" width="9.140625" style="29" customWidth="1"/>
    <col min="6916" max="6916" width="9.28515625" style="29" bestFit="1" customWidth="1"/>
    <col min="6917" max="7158" width="8.85546875" style="29"/>
    <col min="7159" max="7159" width="35.7109375" style="29" customWidth="1"/>
    <col min="7160" max="7160" width="10.7109375" style="29" customWidth="1"/>
    <col min="7161" max="7161" width="11" style="29" customWidth="1"/>
    <col min="7162" max="7162" width="10.7109375" style="29" customWidth="1"/>
    <col min="7163" max="7163" width="13.28515625" style="29" customWidth="1"/>
    <col min="7164" max="7164" width="9.28515625" style="29" bestFit="1" customWidth="1"/>
    <col min="7165" max="7171" width="9.140625" style="29" customWidth="1"/>
    <col min="7172" max="7172" width="9.28515625" style="29" bestFit="1" customWidth="1"/>
    <col min="7173" max="7414" width="8.85546875" style="29"/>
    <col min="7415" max="7415" width="35.7109375" style="29" customWidth="1"/>
    <col min="7416" max="7416" width="10.7109375" style="29" customWidth="1"/>
    <col min="7417" max="7417" width="11" style="29" customWidth="1"/>
    <col min="7418" max="7418" width="10.7109375" style="29" customWidth="1"/>
    <col min="7419" max="7419" width="13.28515625" style="29" customWidth="1"/>
    <col min="7420" max="7420" width="9.28515625" style="29" bestFit="1" customWidth="1"/>
    <col min="7421" max="7427" width="9.140625" style="29" customWidth="1"/>
    <col min="7428" max="7428" width="9.28515625" style="29" bestFit="1" customWidth="1"/>
    <col min="7429" max="7670" width="8.85546875" style="29"/>
    <col min="7671" max="7671" width="35.7109375" style="29" customWidth="1"/>
    <col min="7672" max="7672" width="10.7109375" style="29" customWidth="1"/>
    <col min="7673" max="7673" width="11" style="29" customWidth="1"/>
    <col min="7674" max="7674" width="10.7109375" style="29" customWidth="1"/>
    <col min="7675" max="7675" width="13.28515625" style="29" customWidth="1"/>
    <col min="7676" max="7676" width="9.28515625" style="29" bestFit="1" customWidth="1"/>
    <col min="7677" max="7683" width="9.140625" style="29" customWidth="1"/>
    <col min="7684" max="7684" width="9.28515625" style="29" bestFit="1" customWidth="1"/>
    <col min="7685" max="7926" width="8.85546875" style="29"/>
    <col min="7927" max="7927" width="35.7109375" style="29" customWidth="1"/>
    <col min="7928" max="7928" width="10.7109375" style="29" customWidth="1"/>
    <col min="7929" max="7929" width="11" style="29" customWidth="1"/>
    <col min="7930" max="7930" width="10.7109375" style="29" customWidth="1"/>
    <col min="7931" max="7931" width="13.28515625" style="29" customWidth="1"/>
    <col min="7932" max="7932" width="9.28515625" style="29" bestFit="1" customWidth="1"/>
    <col min="7933" max="7939" width="9.140625" style="29" customWidth="1"/>
    <col min="7940" max="7940" width="9.28515625" style="29" bestFit="1" customWidth="1"/>
    <col min="7941" max="8182" width="8.85546875" style="29"/>
    <col min="8183" max="8183" width="35.7109375" style="29" customWidth="1"/>
    <col min="8184" max="8184" width="10.7109375" style="29" customWidth="1"/>
    <col min="8185" max="8185" width="11" style="29" customWidth="1"/>
    <col min="8186" max="8186" width="10.7109375" style="29" customWidth="1"/>
    <col min="8187" max="8187" width="13.28515625" style="29" customWidth="1"/>
    <col min="8188" max="8188" width="9.28515625" style="29" bestFit="1" customWidth="1"/>
    <col min="8189" max="8195" width="9.140625" style="29" customWidth="1"/>
    <col min="8196" max="8196" width="9.28515625" style="29" bestFit="1" customWidth="1"/>
    <col min="8197" max="8438" width="8.85546875" style="29"/>
    <col min="8439" max="8439" width="35.7109375" style="29" customWidth="1"/>
    <col min="8440" max="8440" width="10.7109375" style="29" customWidth="1"/>
    <col min="8441" max="8441" width="11" style="29" customWidth="1"/>
    <col min="8442" max="8442" width="10.7109375" style="29" customWidth="1"/>
    <col min="8443" max="8443" width="13.28515625" style="29" customWidth="1"/>
    <col min="8444" max="8444" width="9.28515625" style="29" bestFit="1" customWidth="1"/>
    <col min="8445" max="8451" width="9.140625" style="29" customWidth="1"/>
    <col min="8452" max="8452" width="9.28515625" style="29" bestFit="1" customWidth="1"/>
    <col min="8453" max="8694" width="8.85546875" style="29"/>
    <col min="8695" max="8695" width="35.7109375" style="29" customWidth="1"/>
    <col min="8696" max="8696" width="10.7109375" style="29" customWidth="1"/>
    <col min="8697" max="8697" width="11" style="29" customWidth="1"/>
    <col min="8698" max="8698" width="10.7109375" style="29" customWidth="1"/>
    <col min="8699" max="8699" width="13.28515625" style="29" customWidth="1"/>
    <col min="8700" max="8700" width="9.28515625" style="29" bestFit="1" customWidth="1"/>
    <col min="8701" max="8707" width="9.140625" style="29" customWidth="1"/>
    <col min="8708" max="8708" width="9.28515625" style="29" bestFit="1" customWidth="1"/>
    <col min="8709" max="8950" width="8.85546875" style="29"/>
    <col min="8951" max="8951" width="35.7109375" style="29" customWidth="1"/>
    <col min="8952" max="8952" width="10.7109375" style="29" customWidth="1"/>
    <col min="8953" max="8953" width="11" style="29" customWidth="1"/>
    <col min="8954" max="8954" width="10.7109375" style="29" customWidth="1"/>
    <col min="8955" max="8955" width="13.28515625" style="29" customWidth="1"/>
    <col min="8956" max="8956" width="9.28515625" style="29" bestFit="1" customWidth="1"/>
    <col min="8957" max="8963" width="9.140625" style="29" customWidth="1"/>
    <col min="8964" max="8964" width="9.28515625" style="29" bestFit="1" customWidth="1"/>
    <col min="8965" max="9206" width="8.85546875" style="29"/>
    <col min="9207" max="9207" width="35.7109375" style="29" customWidth="1"/>
    <col min="9208" max="9208" width="10.7109375" style="29" customWidth="1"/>
    <col min="9209" max="9209" width="11" style="29" customWidth="1"/>
    <col min="9210" max="9210" width="10.7109375" style="29" customWidth="1"/>
    <col min="9211" max="9211" width="13.28515625" style="29" customWidth="1"/>
    <col min="9212" max="9212" width="9.28515625" style="29" bestFit="1" customWidth="1"/>
    <col min="9213" max="9219" width="9.140625" style="29" customWidth="1"/>
    <col min="9220" max="9220" width="9.28515625" style="29" bestFit="1" customWidth="1"/>
    <col min="9221" max="9462" width="8.85546875" style="29"/>
    <col min="9463" max="9463" width="35.7109375" style="29" customWidth="1"/>
    <col min="9464" max="9464" width="10.7109375" style="29" customWidth="1"/>
    <col min="9465" max="9465" width="11" style="29" customWidth="1"/>
    <col min="9466" max="9466" width="10.7109375" style="29" customWidth="1"/>
    <col min="9467" max="9467" width="13.28515625" style="29" customWidth="1"/>
    <col min="9468" max="9468" width="9.28515625" style="29" bestFit="1" customWidth="1"/>
    <col min="9469" max="9475" width="9.140625" style="29" customWidth="1"/>
    <col min="9476" max="9476" width="9.28515625" style="29" bestFit="1" customWidth="1"/>
    <col min="9477" max="9718" width="8.85546875" style="29"/>
    <col min="9719" max="9719" width="35.7109375" style="29" customWidth="1"/>
    <col min="9720" max="9720" width="10.7109375" style="29" customWidth="1"/>
    <col min="9721" max="9721" width="11" style="29" customWidth="1"/>
    <col min="9722" max="9722" width="10.7109375" style="29" customWidth="1"/>
    <col min="9723" max="9723" width="13.28515625" style="29" customWidth="1"/>
    <col min="9724" max="9724" width="9.28515625" style="29" bestFit="1" customWidth="1"/>
    <col min="9725" max="9731" width="9.140625" style="29" customWidth="1"/>
    <col min="9732" max="9732" width="9.28515625" style="29" bestFit="1" customWidth="1"/>
    <col min="9733" max="9974" width="8.85546875" style="29"/>
    <col min="9975" max="9975" width="35.7109375" style="29" customWidth="1"/>
    <col min="9976" max="9976" width="10.7109375" style="29" customWidth="1"/>
    <col min="9977" max="9977" width="11" style="29" customWidth="1"/>
    <col min="9978" max="9978" width="10.7109375" style="29" customWidth="1"/>
    <col min="9979" max="9979" width="13.28515625" style="29" customWidth="1"/>
    <col min="9980" max="9980" width="9.28515625" style="29" bestFit="1" customWidth="1"/>
    <col min="9981" max="9987" width="9.140625" style="29" customWidth="1"/>
    <col min="9988" max="9988" width="9.28515625" style="29" bestFit="1" customWidth="1"/>
    <col min="9989" max="10230" width="8.85546875" style="29"/>
    <col min="10231" max="10231" width="35.7109375" style="29" customWidth="1"/>
    <col min="10232" max="10232" width="10.7109375" style="29" customWidth="1"/>
    <col min="10233" max="10233" width="11" style="29" customWidth="1"/>
    <col min="10234" max="10234" width="10.7109375" style="29" customWidth="1"/>
    <col min="10235" max="10235" width="13.28515625" style="29" customWidth="1"/>
    <col min="10236" max="10236" width="9.28515625" style="29" bestFit="1" customWidth="1"/>
    <col min="10237" max="10243" width="9.140625" style="29" customWidth="1"/>
    <col min="10244" max="10244" width="9.28515625" style="29" bestFit="1" customWidth="1"/>
    <col min="10245" max="10486" width="8.85546875" style="29"/>
    <col min="10487" max="10487" width="35.7109375" style="29" customWidth="1"/>
    <col min="10488" max="10488" width="10.7109375" style="29" customWidth="1"/>
    <col min="10489" max="10489" width="11" style="29" customWidth="1"/>
    <col min="10490" max="10490" width="10.7109375" style="29" customWidth="1"/>
    <col min="10491" max="10491" width="13.28515625" style="29" customWidth="1"/>
    <col min="10492" max="10492" width="9.28515625" style="29" bestFit="1" customWidth="1"/>
    <col min="10493" max="10499" width="9.140625" style="29" customWidth="1"/>
    <col min="10500" max="10500" width="9.28515625" style="29" bestFit="1" customWidth="1"/>
    <col min="10501" max="10742" width="8.85546875" style="29"/>
    <col min="10743" max="10743" width="35.7109375" style="29" customWidth="1"/>
    <col min="10744" max="10744" width="10.7109375" style="29" customWidth="1"/>
    <col min="10745" max="10745" width="11" style="29" customWidth="1"/>
    <col min="10746" max="10746" width="10.7109375" style="29" customWidth="1"/>
    <col min="10747" max="10747" width="13.28515625" style="29" customWidth="1"/>
    <col min="10748" max="10748" width="9.28515625" style="29" bestFit="1" customWidth="1"/>
    <col min="10749" max="10755" width="9.140625" style="29" customWidth="1"/>
    <col min="10756" max="10756" width="9.28515625" style="29" bestFit="1" customWidth="1"/>
    <col min="10757" max="10998" width="8.85546875" style="29"/>
    <col min="10999" max="10999" width="35.7109375" style="29" customWidth="1"/>
    <col min="11000" max="11000" width="10.7109375" style="29" customWidth="1"/>
    <col min="11001" max="11001" width="11" style="29" customWidth="1"/>
    <col min="11002" max="11002" width="10.7109375" style="29" customWidth="1"/>
    <col min="11003" max="11003" width="13.28515625" style="29" customWidth="1"/>
    <col min="11004" max="11004" width="9.28515625" style="29" bestFit="1" customWidth="1"/>
    <col min="11005" max="11011" width="9.140625" style="29" customWidth="1"/>
    <col min="11012" max="11012" width="9.28515625" style="29" bestFit="1" customWidth="1"/>
    <col min="11013" max="11254" width="8.85546875" style="29"/>
    <col min="11255" max="11255" width="35.7109375" style="29" customWidth="1"/>
    <col min="11256" max="11256" width="10.7109375" style="29" customWidth="1"/>
    <col min="11257" max="11257" width="11" style="29" customWidth="1"/>
    <col min="11258" max="11258" width="10.7109375" style="29" customWidth="1"/>
    <col min="11259" max="11259" width="13.28515625" style="29" customWidth="1"/>
    <col min="11260" max="11260" width="9.28515625" style="29" bestFit="1" customWidth="1"/>
    <col min="11261" max="11267" width="9.140625" style="29" customWidth="1"/>
    <col min="11268" max="11268" width="9.28515625" style="29" bestFit="1" customWidth="1"/>
    <col min="11269" max="11510" width="8.85546875" style="29"/>
    <col min="11511" max="11511" width="35.7109375" style="29" customWidth="1"/>
    <col min="11512" max="11512" width="10.7109375" style="29" customWidth="1"/>
    <col min="11513" max="11513" width="11" style="29" customWidth="1"/>
    <col min="11514" max="11514" width="10.7109375" style="29" customWidth="1"/>
    <col min="11515" max="11515" width="13.28515625" style="29" customWidth="1"/>
    <col min="11516" max="11516" width="9.28515625" style="29" bestFit="1" customWidth="1"/>
    <col min="11517" max="11523" width="9.140625" style="29" customWidth="1"/>
    <col min="11524" max="11524" width="9.28515625" style="29" bestFit="1" customWidth="1"/>
    <col min="11525" max="11766" width="8.85546875" style="29"/>
    <col min="11767" max="11767" width="35.7109375" style="29" customWidth="1"/>
    <col min="11768" max="11768" width="10.7109375" style="29" customWidth="1"/>
    <col min="11769" max="11769" width="11" style="29" customWidth="1"/>
    <col min="11770" max="11770" width="10.7109375" style="29" customWidth="1"/>
    <col min="11771" max="11771" width="13.28515625" style="29" customWidth="1"/>
    <col min="11772" max="11772" width="9.28515625" style="29" bestFit="1" customWidth="1"/>
    <col min="11773" max="11779" width="9.140625" style="29" customWidth="1"/>
    <col min="11780" max="11780" width="9.28515625" style="29" bestFit="1" customWidth="1"/>
    <col min="11781" max="12022" width="8.85546875" style="29"/>
    <col min="12023" max="12023" width="35.7109375" style="29" customWidth="1"/>
    <col min="12024" max="12024" width="10.7109375" style="29" customWidth="1"/>
    <col min="12025" max="12025" width="11" style="29" customWidth="1"/>
    <col min="12026" max="12026" width="10.7109375" style="29" customWidth="1"/>
    <col min="12027" max="12027" width="13.28515625" style="29" customWidth="1"/>
    <col min="12028" max="12028" width="9.28515625" style="29" bestFit="1" customWidth="1"/>
    <col min="12029" max="12035" width="9.140625" style="29" customWidth="1"/>
    <col min="12036" max="12036" width="9.28515625" style="29" bestFit="1" customWidth="1"/>
    <col min="12037" max="12278" width="8.85546875" style="29"/>
    <col min="12279" max="12279" width="35.7109375" style="29" customWidth="1"/>
    <col min="12280" max="12280" width="10.7109375" style="29" customWidth="1"/>
    <col min="12281" max="12281" width="11" style="29" customWidth="1"/>
    <col min="12282" max="12282" width="10.7109375" style="29" customWidth="1"/>
    <col min="12283" max="12283" width="13.28515625" style="29" customWidth="1"/>
    <col min="12284" max="12284" width="9.28515625" style="29" bestFit="1" customWidth="1"/>
    <col min="12285" max="12291" width="9.140625" style="29" customWidth="1"/>
    <col min="12292" max="12292" width="9.28515625" style="29" bestFit="1" customWidth="1"/>
    <col min="12293" max="12534" width="8.85546875" style="29"/>
    <col min="12535" max="12535" width="35.7109375" style="29" customWidth="1"/>
    <col min="12536" max="12536" width="10.7109375" style="29" customWidth="1"/>
    <col min="12537" max="12537" width="11" style="29" customWidth="1"/>
    <col min="12538" max="12538" width="10.7109375" style="29" customWidth="1"/>
    <col min="12539" max="12539" width="13.28515625" style="29" customWidth="1"/>
    <col min="12540" max="12540" width="9.28515625" style="29" bestFit="1" customWidth="1"/>
    <col min="12541" max="12547" width="9.140625" style="29" customWidth="1"/>
    <col min="12548" max="12548" width="9.28515625" style="29" bestFit="1" customWidth="1"/>
    <col min="12549" max="12790" width="8.85546875" style="29"/>
    <col min="12791" max="12791" width="35.7109375" style="29" customWidth="1"/>
    <col min="12792" max="12792" width="10.7109375" style="29" customWidth="1"/>
    <col min="12793" max="12793" width="11" style="29" customWidth="1"/>
    <col min="12794" max="12794" width="10.7109375" style="29" customWidth="1"/>
    <col min="12795" max="12795" width="13.28515625" style="29" customWidth="1"/>
    <col min="12796" max="12796" width="9.28515625" style="29" bestFit="1" customWidth="1"/>
    <col min="12797" max="12803" width="9.140625" style="29" customWidth="1"/>
    <col min="12804" max="12804" width="9.28515625" style="29" bestFit="1" customWidth="1"/>
    <col min="12805" max="13046" width="8.85546875" style="29"/>
    <col min="13047" max="13047" width="35.7109375" style="29" customWidth="1"/>
    <col min="13048" max="13048" width="10.7109375" style="29" customWidth="1"/>
    <col min="13049" max="13049" width="11" style="29" customWidth="1"/>
    <col min="13050" max="13050" width="10.7109375" style="29" customWidth="1"/>
    <col min="13051" max="13051" width="13.28515625" style="29" customWidth="1"/>
    <col min="13052" max="13052" width="9.28515625" style="29" bestFit="1" customWidth="1"/>
    <col min="13053" max="13059" width="9.140625" style="29" customWidth="1"/>
    <col min="13060" max="13060" width="9.28515625" style="29" bestFit="1" customWidth="1"/>
    <col min="13061" max="13302" width="8.85546875" style="29"/>
    <col min="13303" max="13303" width="35.7109375" style="29" customWidth="1"/>
    <col min="13304" max="13304" width="10.7109375" style="29" customWidth="1"/>
    <col min="13305" max="13305" width="11" style="29" customWidth="1"/>
    <col min="13306" max="13306" width="10.7109375" style="29" customWidth="1"/>
    <col min="13307" max="13307" width="13.28515625" style="29" customWidth="1"/>
    <col min="13308" max="13308" width="9.28515625" style="29" bestFit="1" customWidth="1"/>
    <col min="13309" max="13315" width="9.140625" style="29" customWidth="1"/>
    <col min="13316" max="13316" width="9.28515625" style="29" bestFit="1" customWidth="1"/>
    <col min="13317" max="13558" width="8.85546875" style="29"/>
    <col min="13559" max="13559" width="35.7109375" style="29" customWidth="1"/>
    <col min="13560" max="13560" width="10.7109375" style="29" customWidth="1"/>
    <col min="13561" max="13561" width="11" style="29" customWidth="1"/>
    <col min="13562" max="13562" width="10.7109375" style="29" customWidth="1"/>
    <col min="13563" max="13563" width="13.28515625" style="29" customWidth="1"/>
    <col min="13564" max="13564" width="9.28515625" style="29" bestFit="1" customWidth="1"/>
    <col min="13565" max="13571" width="9.140625" style="29" customWidth="1"/>
    <col min="13572" max="13572" width="9.28515625" style="29" bestFit="1" customWidth="1"/>
    <col min="13573" max="13814" width="8.85546875" style="29"/>
    <col min="13815" max="13815" width="35.7109375" style="29" customWidth="1"/>
    <col min="13816" max="13816" width="10.7109375" style="29" customWidth="1"/>
    <col min="13817" max="13817" width="11" style="29" customWidth="1"/>
    <col min="13818" max="13818" width="10.7109375" style="29" customWidth="1"/>
    <col min="13819" max="13819" width="13.28515625" style="29" customWidth="1"/>
    <col min="13820" max="13820" width="9.28515625" style="29" bestFit="1" customWidth="1"/>
    <col min="13821" max="13827" width="9.140625" style="29" customWidth="1"/>
    <col min="13828" max="13828" width="9.28515625" style="29" bestFit="1" customWidth="1"/>
    <col min="13829" max="14070" width="8.85546875" style="29"/>
    <col min="14071" max="14071" width="35.7109375" style="29" customWidth="1"/>
    <col min="14072" max="14072" width="10.7109375" style="29" customWidth="1"/>
    <col min="14073" max="14073" width="11" style="29" customWidth="1"/>
    <col min="14074" max="14074" width="10.7109375" style="29" customWidth="1"/>
    <col min="14075" max="14075" width="13.28515625" style="29" customWidth="1"/>
    <col min="14076" max="14076" width="9.28515625" style="29" bestFit="1" customWidth="1"/>
    <col min="14077" max="14083" width="9.140625" style="29" customWidth="1"/>
    <col min="14084" max="14084" width="9.28515625" style="29" bestFit="1" customWidth="1"/>
    <col min="14085" max="14326" width="8.85546875" style="29"/>
    <col min="14327" max="14327" width="35.7109375" style="29" customWidth="1"/>
    <col min="14328" max="14328" width="10.7109375" style="29" customWidth="1"/>
    <col min="14329" max="14329" width="11" style="29" customWidth="1"/>
    <col min="14330" max="14330" width="10.7109375" style="29" customWidth="1"/>
    <col min="14331" max="14331" width="13.28515625" style="29" customWidth="1"/>
    <col min="14332" max="14332" width="9.28515625" style="29" bestFit="1" customWidth="1"/>
    <col min="14333" max="14339" width="9.140625" style="29" customWidth="1"/>
    <col min="14340" max="14340" width="9.28515625" style="29" bestFit="1" customWidth="1"/>
    <col min="14341" max="14582" width="8.85546875" style="29"/>
    <col min="14583" max="14583" width="35.7109375" style="29" customWidth="1"/>
    <col min="14584" max="14584" width="10.7109375" style="29" customWidth="1"/>
    <col min="14585" max="14585" width="11" style="29" customWidth="1"/>
    <col min="14586" max="14586" width="10.7109375" style="29" customWidth="1"/>
    <col min="14587" max="14587" width="13.28515625" style="29" customWidth="1"/>
    <col min="14588" max="14588" width="9.28515625" style="29" bestFit="1" customWidth="1"/>
    <col min="14589" max="14595" width="9.140625" style="29" customWidth="1"/>
    <col min="14596" max="14596" width="9.28515625" style="29" bestFit="1" customWidth="1"/>
    <col min="14597" max="14838" width="8.85546875" style="29"/>
    <col min="14839" max="14839" width="35.7109375" style="29" customWidth="1"/>
    <col min="14840" max="14840" width="10.7109375" style="29" customWidth="1"/>
    <col min="14841" max="14841" width="11" style="29" customWidth="1"/>
    <col min="14842" max="14842" width="10.7109375" style="29" customWidth="1"/>
    <col min="14843" max="14843" width="13.28515625" style="29" customWidth="1"/>
    <col min="14844" max="14844" width="9.28515625" style="29" bestFit="1" customWidth="1"/>
    <col min="14845" max="14851" width="9.140625" style="29" customWidth="1"/>
    <col min="14852" max="14852" width="9.28515625" style="29" bestFit="1" customWidth="1"/>
    <col min="14853" max="15094" width="8.85546875" style="29"/>
    <col min="15095" max="15095" width="35.7109375" style="29" customWidth="1"/>
    <col min="15096" max="15096" width="10.7109375" style="29" customWidth="1"/>
    <col min="15097" max="15097" width="11" style="29" customWidth="1"/>
    <col min="15098" max="15098" width="10.7109375" style="29" customWidth="1"/>
    <col min="15099" max="15099" width="13.28515625" style="29" customWidth="1"/>
    <col min="15100" max="15100" width="9.28515625" style="29" bestFit="1" customWidth="1"/>
    <col min="15101" max="15107" width="9.140625" style="29" customWidth="1"/>
    <col min="15108" max="15108" width="9.28515625" style="29" bestFit="1" customWidth="1"/>
    <col min="15109" max="15350" width="8.85546875" style="29"/>
    <col min="15351" max="15351" width="35.7109375" style="29" customWidth="1"/>
    <col min="15352" max="15352" width="10.7109375" style="29" customWidth="1"/>
    <col min="15353" max="15353" width="11" style="29" customWidth="1"/>
    <col min="15354" max="15354" width="10.7109375" style="29" customWidth="1"/>
    <col min="15355" max="15355" width="13.28515625" style="29" customWidth="1"/>
    <col min="15356" max="15356" width="9.28515625" style="29" bestFit="1" customWidth="1"/>
    <col min="15357" max="15363" width="9.140625" style="29" customWidth="1"/>
    <col min="15364" max="15364" width="9.28515625" style="29" bestFit="1" customWidth="1"/>
    <col min="15365" max="15606" width="8.85546875" style="29"/>
    <col min="15607" max="15607" width="35.7109375" style="29" customWidth="1"/>
    <col min="15608" max="15608" width="10.7109375" style="29" customWidth="1"/>
    <col min="15609" max="15609" width="11" style="29" customWidth="1"/>
    <col min="15610" max="15610" width="10.7109375" style="29" customWidth="1"/>
    <col min="15611" max="15611" width="13.28515625" style="29" customWidth="1"/>
    <col min="15612" max="15612" width="9.28515625" style="29" bestFit="1" customWidth="1"/>
    <col min="15613" max="15619" width="9.140625" style="29" customWidth="1"/>
    <col min="15620" max="15620" width="9.28515625" style="29" bestFit="1" customWidth="1"/>
    <col min="15621" max="15862" width="8.85546875" style="29"/>
    <col min="15863" max="15863" width="35.7109375" style="29" customWidth="1"/>
    <col min="15864" max="15864" width="10.7109375" style="29" customWidth="1"/>
    <col min="15865" max="15865" width="11" style="29" customWidth="1"/>
    <col min="15866" max="15866" width="10.7109375" style="29" customWidth="1"/>
    <col min="15867" max="15867" width="13.28515625" style="29" customWidth="1"/>
    <col min="15868" max="15868" width="9.28515625" style="29" bestFit="1" customWidth="1"/>
    <col min="15869" max="15875" width="9.140625" style="29" customWidth="1"/>
    <col min="15876" max="15876" width="9.28515625" style="29" bestFit="1" customWidth="1"/>
    <col min="15877" max="16118" width="8.85546875" style="29"/>
    <col min="16119" max="16119" width="35.7109375" style="29" customWidth="1"/>
    <col min="16120" max="16120" width="10.7109375" style="29" customWidth="1"/>
    <col min="16121" max="16121" width="11" style="29" customWidth="1"/>
    <col min="16122" max="16122" width="10.7109375" style="29" customWidth="1"/>
    <col min="16123" max="16123" width="13.28515625" style="29" customWidth="1"/>
    <col min="16124" max="16124" width="9.28515625" style="29" bestFit="1" customWidth="1"/>
    <col min="16125" max="16131" width="9.140625" style="29" customWidth="1"/>
    <col min="16132" max="16132" width="9.28515625" style="29" bestFit="1" customWidth="1"/>
    <col min="16133" max="16384" width="8.85546875" style="29"/>
  </cols>
  <sheetData>
    <row r="1" spans="1:8" ht="16.5" x14ac:dyDescent="0.3">
      <c r="A1" s="355" t="s">
        <v>129</v>
      </c>
      <c r="B1" s="355"/>
      <c r="C1" s="355"/>
      <c r="D1" s="355"/>
      <c r="E1" s="355"/>
      <c r="F1" s="355"/>
    </row>
    <row r="2" spans="1:8" ht="8.25" customHeight="1" x14ac:dyDescent="0.25">
      <c r="A2" s="195"/>
      <c r="B2" s="195"/>
      <c r="C2" s="195"/>
      <c r="D2" s="195"/>
      <c r="E2" s="195"/>
      <c r="F2" s="195"/>
    </row>
    <row r="3" spans="1:8" ht="18" thickBot="1" x14ac:dyDescent="0.3">
      <c r="A3" s="356" t="s">
        <v>166</v>
      </c>
      <c r="B3" s="356"/>
      <c r="C3" s="356"/>
      <c r="D3" s="356"/>
      <c r="E3" s="356"/>
      <c r="F3" s="356"/>
    </row>
    <row r="4" spans="1:8" s="55" customFormat="1" ht="15.75" thickTop="1" x14ac:dyDescent="0.2">
      <c r="A4" s="51"/>
      <c r="B4" s="52"/>
      <c r="C4" s="52"/>
      <c r="D4" s="52"/>
      <c r="E4" s="53"/>
      <c r="F4" s="54"/>
    </row>
    <row r="5" spans="1:8" s="56" customFormat="1" ht="15" x14ac:dyDescent="0.2">
      <c r="A5" s="352" t="s">
        <v>138</v>
      </c>
      <c r="B5" s="353"/>
      <c r="C5" s="353"/>
      <c r="D5" s="353"/>
      <c r="E5" s="353"/>
      <c r="F5" s="354"/>
    </row>
    <row r="6" spans="1:8" s="56" customFormat="1" x14ac:dyDescent="0.2">
      <c r="A6" s="183" t="str">
        <f>'5-3 Ranking-SO2'!C5</f>
        <v>ULSD (0.0015 wt. pct. S)</v>
      </c>
      <c r="B6" s="154">
        <f>'5-3 Ranking-SO2'!E5</f>
        <v>4.4591999999999574</v>
      </c>
      <c r="C6" s="143">
        <f>+'5-10 TCI ULSD EU1-2'!B10</f>
        <v>10875319.148936171</v>
      </c>
      <c r="D6" s="143">
        <f>'5-4 EU ID 1 ULSD CE'!K25</f>
        <v>20507440.203952551</v>
      </c>
      <c r="E6" s="143">
        <f>'5-4 EU ID 1 ULSD CE'!K15</f>
        <v>19199763.692959998</v>
      </c>
      <c r="F6" s="145">
        <f>D6/'5-4 EU ID 1 ULSD CE'!K29</f>
        <v>13838.231732301689</v>
      </c>
    </row>
    <row r="7" spans="1:8" s="55" customFormat="1" ht="33" customHeight="1" x14ac:dyDescent="0.2">
      <c r="A7" s="58" t="str">
        <f>'5-3 Ranking-SO2'!C7</f>
        <v>Good Combustion Practices (0.50 wt. pct. S) (existing)</v>
      </c>
      <c r="B7" s="163">
        <f>'5-3 Ranking-SO2'!E7</f>
        <v>1486.4</v>
      </c>
      <c r="C7" s="43" t="s">
        <v>45</v>
      </c>
      <c r="D7" s="43" t="s">
        <v>45</v>
      </c>
      <c r="E7" s="43" t="s">
        <v>45</v>
      </c>
      <c r="F7" s="149" t="s">
        <v>45</v>
      </c>
    </row>
    <row r="8" spans="1:8" s="55" customFormat="1" ht="12.6" customHeight="1" x14ac:dyDescent="0.2">
      <c r="A8" s="58"/>
      <c r="B8" s="59"/>
      <c r="C8" s="57"/>
      <c r="D8" s="57"/>
      <c r="E8" s="57"/>
      <c r="F8" s="164"/>
    </row>
    <row r="9" spans="1:8" s="56" customFormat="1" ht="15" x14ac:dyDescent="0.2">
      <c r="A9" s="352" t="s">
        <v>139</v>
      </c>
      <c r="B9" s="353"/>
      <c r="C9" s="353"/>
      <c r="D9" s="353"/>
      <c r="E9" s="353"/>
      <c r="F9" s="354"/>
    </row>
    <row r="10" spans="1:8" s="56" customFormat="1" x14ac:dyDescent="0.2">
      <c r="A10" s="165" t="str">
        <f>'5-3 Ranking-SO2'!C8</f>
        <v>Limited Operation + ULSD (0.0015 wt. pct. S)</v>
      </c>
      <c r="B10" s="154">
        <f>'5-3 Ranking-SO2'!E8</f>
        <v>4.0682999999999607</v>
      </c>
      <c r="C10" s="143">
        <f>+'5-10 TCI ULSD EU1-2'!B10</f>
        <v>10875319.148936171</v>
      </c>
      <c r="D10" s="143">
        <f>'5-5 EU ID 2 ULSD CE'!K25</f>
        <v>18824173.250432555</v>
      </c>
      <c r="E10" s="143">
        <f>'5-5 EU ID 2 ULSD CE'!K15</f>
        <v>17516496.739440002</v>
      </c>
      <c r="F10" s="145">
        <f>D10/'5-5 EU ID 2 ULSD CE'!K29</f>
        <v>13922.878620695472</v>
      </c>
    </row>
    <row r="11" spans="1:8" s="55" customFormat="1" ht="28.5" x14ac:dyDescent="0.2">
      <c r="A11" s="165" t="str">
        <f>'5-3 Ranking-SO2'!C10</f>
        <v>Good Combustion Practices (0.50 wt. pct. S) (existing)</v>
      </c>
      <c r="B11" s="163">
        <f>'5-3 Ranking-SO2'!E10</f>
        <v>1356.1</v>
      </c>
      <c r="C11" s="43" t="s">
        <v>45</v>
      </c>
      <c r="D11" s="43" t="s">
        <v>45</v>
      </c>
      <c r="E11" s="43" t="s">
        <v>45</v>
      </c>
      <c r="F11" s="149" t="s">
        <v>45</v>
      </c>
    </row>
    <row r="12" spans="1:8" s="55" customFormat="1" ht="12.6" customHeight="1" x14ac:dyDescent="0.2">
      <c r="A12" s="58" t="s">
        <v>38</v>
      </c>
      <c r="B12" s="59"/>
      <c r="C12" s="57"/>
      <c r="D12" s="57"/>
      <c r="E12" s="57"/>
      <c r="F12" s="164"/>
    </row>
    <row r="13" spans="1:8" s="55" customFormat="1" ht="15" customHeight="1" x14ac:dyDescent="0.2">
      <c r="A13" s="352" t="s">
        <v>110</v>
      </c>
      <c r="B13" s="353"/>
      <c r="C13" s="353"/>
      <c r="D13" s="353"/>
      <c r="E13" s="353"/>
      <c r="F13" s="354"/>
    </row>
    <row r="14" spans="1:8" s="55" customFormat="1" ht="17.25" customHeight="1" x14ac:dyDescent="0.2">
      <c r="A14" s="58" t="str">
        <f>'5-3 Ranking-SO2'!C11</f>
        <v>ULSD (0.0015 wt. pct. S)</v>
      </c>
      <c r="B14" s="173">
        <f>'5-3 Ranking-SO2'!E11</f>
        <v>3.0959999999999979</v>
      </c>
      <c r="C14" s="155" t="s">
        <v>45</v>
      </c>
      <c r="D14" s="143">
        <f>'5-6 EU ID 5&amp;6 ULSD CE'!K26</f>
        <v>34247220</v>
      </c>
      <c r="E14" s="155" t="s">
        <v>45</v>
      </c>
      <c r="F14" s="145">
        <f>'5-6 EU ID 5&amp;6 ULSD CE'!K32</f>
        <v>1040822.392414296</v>
      </c>
      <c r="G14" s="162"/>
      <c r="H14" s="162"/>
    </row>
    <row r="15" spans="1:8" s="55" customFormat="1" ht="30" customHeight="1" x14ac:dyDescent="0.2">
      <c r="A15" s="58" t="str">
        <f>'5-3 Ranking-SO2'!C12</f>
        <v>LSR (0.0050 wt. pct. S) + JetA/No. 1 Diesel (0.3 wt. pct. S, 1.5x10^6 gal/yr) Good Combustion Practices (existing)</v>
      </c>
      <c r="B15" s="173">
        <f>'5-3 Ranking-SO2'!E12</f>
        <v>36</v>
      </c>
      <c r="C15" s="155" t="s">
        <v>45</v>
      </c>
      <c r="D15" s="43" t="s">
        <v>45</v>
      </c>
      <c r="E15" s="155" t="s">
        <v>45</v>
      </c>
      <c r="F15" s="149" t="s">
        <v>45</v>
      </c>
    </row>
    <row r="16" spans="1:8" s="55" customFormat="1" ht="12.6" customHeight="1" x14ac:dyDescent="0.2">
      <c r="A16" s="58"/>
      <c r="B16" s="150"/>
      <c r="C16" s="156"/>
      <c r="D16" s="156"/>
      <c r="E16" s="156"/>
      <c r="F16" s="164"/>
    </row>
    <row r="17" spans="1:6" s="56" customFormat="1" ht="15" x14ac:dyDescent="0.2">
      <c r="A17" s="352" t="s">
        <v>46</v>
      </c>
      <c r="B17" s="353"/>
      <c r="C17" s="353"/>
      <c r="D17" s="353"/>
      <c r="E17" s="353"/>
      <c r="F17" s="354"/>
    </row>
    <row r="18" spans="1:6" s="62" customFormat="1" ht="30" customHeight="1" x14ac:dyDescent="0.25">
      <c r="A18" s="60" t="str">
        <f>'5-3 Ranking-SO2'!C13</f>
        <v>ULSD (0.0015 wt. pct. S) + Limited Operation</v>
      </c>
      <c r="B18" s="61">
        <f>'5-3 Ranking-SO2'!E13</f>
        <v>1.4999999999999999E-4</v>
      </c>
      <c r="C18" s="43" t="s">
        <v>45</v>
      </c>
      <c r="D18" s="143">
        <f>'5-7 EU ID 7 ULSD CE'!K25</f>
        <v>443.95519999999999</v>
      </c>
      <c r="E18" s="43" t="s">
        <v>45</v>
      </c>
      <c r="F18" s="145">
        <f>'5-7 EU ID 7 ULSD CE'!K31</f>
        <v>45071.593908629446</v>
      </c>
    </row>
    <row r="19" spans="1:6" s="62" customFormat="1" x14ac:dyDescent="0.25">
      <c r="A19" s="60" t="str">
        <f>'5-3 Ranking-SO2'!C15</f>
        <v>Limited Operation (0.1 wt. pct. S) (existing)</v>
      </c>
      <c r="B19" s="148">
        <f>'5-3 Ranking-SO2'!E15</f>
        <v>0.01</v>
      </c>
      <c r="C19" s="43" t="s">
        <v>45</v>
      </c>
      <c r="D19" s="43" t="s">
        <v>45</v>
      </c>
      <c r="E19" s="150" t="s">
        <v>45</v>
      </c>
      <c r="F19" s="149" t="s">
        <v>45</v>
      </c>
    </row>
    <row r="20" spans="1:6" x14ac:dyDescent="0.2">
      <c r="A20" s="166"/>
      <c r="B20" s="167"/>
      <c r="C20" s="167"/>
      <c r="D20" s="167"/>
      <c r="E20" s="167"/>
      <c r="F20" s="168"/>
    </row>
    <row r="21" spans="1:6" s="55" customFormat="1" ht="15" customHeight="1" x14ac:dyDescent="0.2">
      <c r="A21" s="352" t="s">
        <v>111</v>
      </c>
      <c r="B21" s="353"/>
      <c r="C21" s="353"/>
      <c r="D21" s="353"/>
      <c r="E21" s="353"/>
      <c r="F21" s="354"/>
    </row>
    <row r="22" spans="1:6" s="55" customFormat="1" ht="15" customHeight="1" thickBot="1" x14ac:dyDescent="0.25">
      <c r="A22" s="151" t="s">
        <v>137</v>
      </c>
      <c r="B22" s="159">
        <f>'5-3 Ranking-SO2'!F16</f>
        <v>0</v>
      </c>
      <c r="C22" s="160" t="s">
        <v>45</v>
      </c>
      <c r="D22" s="160" t="s">
        <v>45</v>
      </c>
      <c r="E22" s="160" t="s">
        <v>45</v>
      </c>
      <c r="F22" s="169" t="s">
        <v>45</v>
      </c>
    </row>
    <row r="24" spans="1:6" ht="18" thickBot="1" x14ac:dyDescent="0.3">
      <c r="A24" s="356" t="s">
        <v>167</v>
      </c>
      <c r="B24" s="356"/>
      <c r="C24" s="356"/>
      <c r="D24" s="356"/>
      <c r="E24" s="356"/>
      <c r="F24" s="356"/>
    </row>
    <row r="25" spans="1:6" ht="62.25" thickBot="1" x14ac:dyDescent="0.25">
      <c r="A25" s="250" t="s">
        <v>42</v>
      </c>
      <c r="B25" s="251" t="s">
        <v>50</v>
      </c>
      <c r="C25" s="251" t="s">
        <v>43</v>
      </c>
      <c r="D25" s="251" t="s">
        <v>140</v>
      </c>
      <c r="E25" s="251" t="s">
        <v>44</v>
      </c>
      <c r="F25" s="252" t="s">
        <v>51</v>
      </c>
    </row>
    <row r="26" spans="1:6" ht="15.75" thickTop="1" x14ac:dyDescent="0.2">
      <c r="A26" s="51"/>
      <c r="B26" s="52"/>
      <c r="C26" s="52"/>
      <c r="D26" s="52"/>
      <c r="E26" s="53"/>
      <c r="F26" s="54"/>
    </row>
    <row r="27" spans="1:6" ht="15" x14ac:dyDescent="0.2">
      <c r="A27" s="352" t="s">
        <v>138</v>
      </c>
      <c r="B27" s="353"/>
      <c r="C27" s="353"/>
      <c r="D27" s="353"/>
      <c r="E27" s="353"/>
      <c r="F27" s="354"/>
    </row>
    <row r="28" spans="1:6" x14ac:dyDescent="0.2">
      <c r="A28" s="183" t="str">
        <f>'5-3 Ranking-SO2'!C5</f>
        <v>ULSD (0.0015 wt. pct. S)</v>
      </c>
      <c r="B28" s="154">
        <f>'5-3 Ranking-SO2'!E5</f>
        <v>4.4591999999999574</v>
      </c>
      <c r="C28" s="143">
        <f>+'5-10 TCI ULSD EU1-2'!B10</f>
        <v>10875319.148936171</v>
      </c>
      <c r="D28" s="143">
        <v>3068356</v>
      </c>
      <c r="E28" s="143">
        <v>1148832</v>
      </c>
      <c r="F28" s="145">
        <f>D28/142.3</f>
        <v>21562.586085734361</v>
      </c>
    </row>
    <row r="29" spans="1:6" ht="28.5" x14ac:dyDescent="0.2">
      <c r="A29" s="58" t="str">
        <f>'5-3 Ranking-SO2'!C7</f>
        <v>Good Combustion Practices (0.50 wt. pct. S) (existing)</v>
      </c>
      <c r="B29" s="163">
        <f>'5-3 Ranking-SO2'!E7</f>
        <v>1486.4</v>
      </c>
      <c r="C29" s="43" t="s">
        <v>45</v>
      </c>
      <c r="D29" s="43" t="s">
        <v>45</v>
      </c>
      <c r="E29" s="43" t="s">
        <v>45</v>
      </c>
      <c r="F29" s="149" t="s">
        <v>45</v>
      </c>
    </row>
    <row r="30" spans="1:6" x14ac:dyDescent="0.2">
      <c r="A30" s="58"/>
      <c r="B30" s="59"/>
      <c r="C30" s="57"/>
      <c r="D30" s="57"/>
      <c r="E30" s="57"/>
      <c r="F30" s="164"/>
    </row>
    <row r="31" spans="1:6" ht="15" x14ac:dyDescent="0.2">
      <c r="A31" s="352" t="s">
        <v>139</v>
      </c>
      <c r="B31" s="353"/>
      <c r="C31" s="353"/>
      <c r="D31" s="353"/>
      <c r="E31" s="353"/>
      <c r="F31" s="354"/>
    </row>
    <row r="32" spans="1:6" x14ac:dyDescent="0.2">
      <c r="A32" s="165" t="str">
        <f>'5-3 Ranking-SO2'!C8</f>
        <v>Limited Operation + ULSD (0.0015 wt. pct. S)</v>
      </c>
      <c r="B32" s="154">
        <f>'5-3 Ranking-SO2'!E8</f>
        <v>4.0682999999999607</v>
      </c>
      <c r="C32" s="143">
        <f>+'5-10 TCI ULSD EU1-2'!B10</f>
        <v>10875319.148936171</v>
      </c>
      <c r="D32" s="143">
        <v>5328784</v>
      </c>
      <c r="E32" s="143">
        <v>3409261</v>
      </c>
      <c r="F32" s="145">
        <f>D32/422.3</f>
        <v>12618.479753729576</v>
      </c>
    </row>
    <row r="33" spans="1:6" ht="28.5" x14ac:dyDescent="0.2">
      <c r="A33" s="165" t="str">
        <f>'5-3 Ranking-SO2'!C10</f>
        <v>Good Combustion Practices (0.50 wt. pct. S) (existing)</v>
      </c>
      <c r="B33" s="163">
        <f>'5-3 Ranking-SO2'!E10</f>
        <v>1356.1</v>
      </c>
      <c r="C33" s="43" t="s">
        <v>45</v>
      </c>
      <c r="D33" s="43" t="s">
        <v>45</v>
      </c>
      <c r="E33" s="43" t="s">
        <v>45</v>
      </c>
      <c r="F33" s="149" t="s">
        <v>45</v>
      </c>
    </row>
    <row r="34" spans="1:6" x14ac:dyDescent="0.2">
      <c r="A34" s="58" t="s">
        <v>38</v>
      </c>
      <c r="B34" s="59"/>
      <c r="C34" s="57"/>
      <c r="D34" s="57"/>
      <c r="E34" s="57"/>
      <c r="F34" s="164"/>
    </row>
    <row r="35" spans="1:6" ht="15" x14ac:dyDescent="0.2">
      <c r="A35" s="352" t="s">
        <v>110</v>
      </c>
      <c r="B35" s="353"/>
      <c r="C35" s="353"/>
      <c r="D35" s="353"/>
      <c r="E35" s="353"/>
      <c r="F35" s="354"/>
    </row>
    <row r="36" spans="1:6" x14ac:dyDescent="0.2">
      <c r="A36" s="58" t="str">
        <f>'5-3 Ranking-SO2'!C11</f>
        <v>ULSD (0.0015 wt. pct. S)</v>
      </c>
      <c r="B36" s="173">
        <f>'5-3 Ranking-SO2'!E11</f>
        <v>3.0959999999999979</v>
      </c>
      <c r="C36" s="155" t="s">
        <v>45</v>
      </c>
      <c r="D36" s="143">
        <f>'5-6 EU ID 5&amp;6 ULSD CE'!K26</f>
        <v>34247220</v>
      </c>
      <c r="E36" s="155" t="s">
        <v>45</v>
      </c>
      <c r="F36" s="145">
        <f>'5-6 EU ID 5&amp;6 ULSD CE'!K32</f>
        <v>1040822.392414296</v>
      </c>
    </row>
    <row r="37" spans="1:6" ht="42.75" x14ac:dyDescent="0.2">
      <c r="A37" s="58" t="str">
        <f>'5-3 Ranking-SO2'!C12</f>
        <v>LSR (0.0050 wt. pct. S) + JetA/No. 1 Diesel (0.3 wt. pct. S, 1.5x10^6 gal/yr) Good Combustion Practices (existing)</v>
      </c>
      <c r="B37" s="173">
        <f>'5-3 Ranking-SO2'!E12</f>
        <v>36</v>
      </c>
      <c r="C37" s="155" t="s">
        <v>45</v>
      </c>
      <c r="D37" s="43" t="s">
        <v>45</v>
      </c>
      <c r="E37" s="155" t="s">
        <v>45</v>
      </c>
      <c r="F37" s="149" t="s">
        <v>45</v>
      </c>
    </row>
    <row r="38" spans="1:6" x14ac:dyDescent="0.2">
      <c r="A38" s="58"/>
      <c r="B38" s="150"/>
      <c r="C38" s="156"/>
      <c r="D38" s="156"/>
      <c r="E38" s="156"/>
      <c r="F38" s="164"/>
    </row>
    <row r="39" spans="1:6" ht="15" x14ac:dyDescent="0.2">
      <c r="A39" s="352" t="s">
        <v>46</v>
      </c>
      <c r="B39" s="353"/>
      <c r="C39" s="353"/>
      <c r="D39" s="353"/>
      <c r="E39" s="353"/>
      <c r="F39" s="354"/>
    </row>
    <row r="40" spans="1:6" x14ac:dyDescent="0.2">
      <c r="A40" s="60" t="str">
        <f>'5-3 Ranking-SO2'!C13</f>
        <v>ULSD (0.0015 wt. pct. S) + Limited Operation</v>
      </c>
      <c r="B40" s="61">
        <f>'5-3 Ranking-SO2'!E13</f>
        <v>1.4999999999999999E-4</v>
      </c>
      <c r="C40" s="43" t="s">
        <v>45</v>
      </c>
      <c r="D40" s="143">
        <f>'5-7 EU ID 7 ULSD CE'!K25</f>
        <v>443.95519999999999</v>
      </c>
      <c r="E40" s="43" t="s">
        <v>45</v>
      </c>
      <c r="F40" s="145">
        <f>'5-7 EU ID 7 ULSD CE'!K31</f>
        <v>45071.593908629446</v>
      </c>
    </row>
    <row r="41" spans="1:6" x14ac:dyDescent="0.2">
      <c r="A41" s="60" t="str">
        <f>'5-3 Ranking-SO2'!C15</f>
        <v>Limited Operation (0.1 wt. pct. S) (existing)</v>
      </c>
      <c r="B41" s="148">
        <f>'5-3 Ranking-SO2'!E15</f>
        <v>0.01</v>
      </c>
      <c r="C41" s="43" t="s">
        <v>45</v>
      </c>
      <c r="D41" s="43" t="s">
        <v>45</v>
      </c>
      <c r="E41" s="150" t="s">
        <v>45</v>
      </c>
      <c r="F41" s="149" t="s">
        <v>45</v>
      </c>
    </row>
    <row r="42" spans="1:6" x14ac:dyDescent="0.2">
      <c r="A42" s="166"/>
      <c r="B42" s="167"/>
      <c r="C42" s="167"/>
      <c r="D42" s="167"/>
      <c r="E42" s="167"/>
      <c r="F42" s="168"/>
    </row>
    <row r="43" spans="1:6" ht="15" x14ac:dyDescent="0.2">
      <c r="A43" s="352" t="s">
        <v>111</v>
      </c>
      <c r="B43" s="353"/>
      <c r="C43" s="353"/>
      <c r="D43" s="353"/>
      <c r="E43" s="353"/>
      <c r="F43" s="354"/>
    </row>
    <row r="44" spans="1:6" ht="15" thickBot="1" x14ac:dyDescent="0.25">
      <c r="A44" s="151" t="s">
        <v>137</v>
      </c>
      <c r="B44" s="159">
        <f>'5-3 Ranking-SO2'!F16</f>
        <v>0</v>
      </c>
      <c r="C44" s="160" t="s">
        <v>45</v>
      </c>
      <c r="D44" s="160" t="s">
        <v>45</v>
      </c>
      <c r="E44" s="160" t="s">
        <v>45</v>
      </c>
      <c r="F44" s="169" t="s">
        <v>45</v>
      </c>
    </row>
    <row r="46" spans="1:6" x14ac:dyDescent="0.2">
      <c r="A46" s="152" t="s">
        <v>121</v>
      </c>
    </row>
    <row r="47" spans="1:6" x14ac:dyDescent="0.2">
      <c r="A47" s="152" t="s">
        <v>38</v>
      </c>
    </row>
  </sheetData>
  <mergeCells count="13">
    <mergeCell ref="A43:F43"/>
    <mergeCell ref="A24:F24"/>
    <mergeCell ref="A27:F27"/>
    <mergeCell ref="A31:F31"/>
    <mergeCell ref="A35:F35"/>
    <mergeCell ref="A39:F39"/>
    <mergeCell ref="A21:F21"/>
    <mergeCell ref="A1:F1"/>
    <mergeCell ref="A3:F3"/>
    <mergeCell ref="A5:F5"/>
    <mergeCell ref="A9:F9"/>
    <mergeCell ref="A17:F17"/>
    <mergeCell ref="A13:F13"/>
  </mergeCells>
  <printOptions horizontalCentered="1"/>
  <pageMargins left="0.7" right="0.7" top="0.75" bottom="0.75" header="0.3" footer="0.3"/>
  <pageSetup scale="69" firstPageNumber="98" orientation="portrait" useFirstPageNumber="1" horizontalDpi="4294967293" r:id="rId1"/>
  <headerFooter>
    <oddFooter>&amp;L&amp;"Arial,Regular"&amp;8GVEA North Pole Facility
PM&amp;Y2.5&amp;Y Serious NAA BACT Analysis&amp;C&amp;"Arial,Regular"&amp;8Page 107&amp;R&amp;"Arial,Regular"&amp;8August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zoomScaleNormal="100" workbookViewId="0">
      <selection activeCell="A5" sqref="A5:F5"/>
    </sheetView>
  </sheetViews>
  <sheetFormatPr defaultColWidth="13.5703125" defaultRowHeight="14.25" x14ac:dyDescent="0.2"/>
  <cols>
    <col min="1" max="1" width="13.5703125" style="31"/>
    <col min="2" max="2" width="20" style="31" customWidth="1"/>
    <col min="3" max="3" width="19.42578125" style="31" customWidth="1"/>
    <col min="4" max="4" width="27.28515625" style="31" customWidth="1"/>
    <col min="5" max="16384" width="13.5703125" style="31"/>
  </cols>
  <sheetData>
    <row r="1" spans="1:6" ht="15" x14ac:dyDescent="0.25">
      <c r="A1" s="357" t="s">
        <v>130</v>
      </c>
      <c r="B1" s="357"/>
      <c r="C1" s="357"/>
      <c r="D1" s="357"/>
      <c r="E1" s="357"/>
    </row>
    <row r="2" spans="1:6" ht="15" x14ac:dyDescent="0.25">
      <c r="A2" s="358" t="s">
        <v>122</v>
      </c>
      <c r="B2" s="358"/>
      <c r="C2" s="358"/>
      <c r="D2" s="358"/>
      <c r="E2" s="358"/>
    </row>
    <row r="3" spans="1:6" ht="15.75" thickBot="1" x14ac:dyDescent="0.3">
      <c r="A3" s="32" t="s">
        <v>38</v>
      </c>
      <c r="B3" s="32"/>
      <c r="C3" s="33"/>
      <c r="D3" s="33"/>
      <c r="E3" s="33"/>
    </row>
    <row r="4" spans="1:6" s="34" customFormat="1" ht="33" thickBot="1" x14ac:dyDescent="0.25">
      <c r="A4" s="35" t="s">
        <v>13</v>
      </c>
      <c r="B4" s="36" t="s">
        <v>26</v>
      </c>
      <c r="C4" s="196"/>
      <c r="D4" s="36" t="s">
        <v>26</v>
      </c>
      <c r="E4" s="37" t="s">
        <v>49</v>
      </c>
    </row>
    <row r="5" spans="1:6" ht="15.75" thickTop="1" x14ac:dyDescent="0.2">
      <c r="A5" s="38"/>
      <c r="B5" s="39"/>
      <c r="C5" s="40"/>
      <c r="D5" s="41"/>
      <c r="E5" s="42"/>
    </row>
    <row r="6" spans="1:6" s="44" customFormat="1" ht="28.5" x14ac:dyDescent="0.25">
      <c r="A6" s="181" t="s">
        <v>28</v>
      </c>
      <c r="B6" s="182" t="s">
        <v>27</v>
      </c>
      <c r="C6" s="43" t="s">
        <v>39</v>
      </c>
      <c r="D6" s="146" t="s">
        <v>170</v>
      </c>
      <c r="E6" s="45" t="s">
        <v>169</v>
      </c>
    </row>
    <row r="7" spans="1:6" ht="28.5" customHeight="1" x14ac:dyDescent="0.2">
      <c r="A7" s="183" t="s">
        <v>29</v>
      </c>
      <c r="B7" s="43" t="s">
        <v>14</v>
      </c>
      <c r="C7" s="43" t="s">
        <v>127</v>
      </c>
      <c r="D7" s="43" t="s">
        <v>172</v>
      </c>
      <c r="E7" s="45" t="s">
        <v>107</v>
      </c>
      <c r="F7" s="161"/>
    </row>
    <row r="8" spans="1:6" ht="28.5" x14ac:dyDescent="0.2">
      <c r="A8" s="184">
        <v>7</v>
      </c>
      <c r="B8" s="59" t="s">
        <v>37</v>
      </c>
      <c r="C8" s="43" t="s">
        <v>39</v>
      </c>
      <c r="D8" s="146" t="s">
        <v>170</v>
      </c>
      <c r="E8" s="45" t="s">
        <v>169</v>
      </c>
    </row>
    <row r="9" spans="1:6" ht="41.45" customHeight="1" thickBot="1" x14ac:dyDescent="0.25">
      <c r="A9" s="46" t="s">
        <v>30</v>
      </c>
      <c r="B9" s="47" t="s">
        <v>40</v>
      </c>
      <c r="C9" s="48" t="s">
        <v>41</v>
      </c>
      <c r="D9" s="185" t="s">
        <v>171</v>
      </c>
      <c r="E9" s="147" t="s">
        <v>109</v>
      </c>
    </row>
    <row r="10" spans="1:6" x14ac:dyDescent="0.2">
      <c r="A10" s="34"/>
      <c r="B10" s="34"/>
      <c r="C10" s="34"/>
      <c r="D10" s="34"/>
    </row>
    <row r="11" spans="1:6" ht="16.5" x14ac:dyDescent="0.2">
      <c r="A11" s="157" t="s">
        <v>123</v>
      </c>
      <c r="B11" s="157"/>
      <c r="C11" s="186"/>
      <c r="D11" s="187"/>
      <c r="E11" s="49"/>
    </row>
    <row r="12" spans="1:6" ht="16.5" x14ac:dyDescent="0.2">
      <c r="A12" s="157"/>
      <c r="B12" s="188"/>
      <c r="C12" s="186"/>
      <c r="D12" s="187"/>
      <c r="E12" s="50"/>
    </row>
    <row r="13" spans="1:6" ht="16.5" x14ac:dyDescent="0.2">
      <c r="A13" s="189"/>
      <c r="B13" s="34"/>
      <c r="C13" s="34"/>
      <c r="D13" s="34"/>
    </row>
    <row r="14" spans="1:6" x14ac:dyDescent="0.2">
      <c r="A14" s="34"/>
      <c r="B14" s="34"/>
      <c r="C14" s="34"/>
      <c r="D14" s="34"/>
    </row>
    <row r="15" spans="1:6" x14ac:dyDescent="0.2">
      <c r="A15" s="34"/>
      <c r="B15" s="34"/>
      <c r="C15" s="34"/>
      <c r="D15" s="34"/>
    </row>
    <row r="16" spans="1:6" x14ac:dyDescent="0.2">
      <c r="A16" s="34"/>
      <c r="B16" s="34"/>
      <c r="C16" s="34"/>
      <c r="D16" s="34"/>
    </row>
    <row r="17" spans="1:4" x14ac:dyDescent="0.2">
      <c r="A17" s="34"/>
      <c r="B17" s="34"/>
      <c r="C17" s="34"/>
      <c r="D17" s="34"/>
    </row>
    <row r="18" spans="1:4" x14ac:dyDescent="0.2">
      <c r="A18" s="34"/>
      <c r="B18" s="34"/>
      <c r="C18" s="34"/>
      <c r="D18" s="34"/>
    </row>
    <row r="19" spans="1:4" x14ac:dyDescent="0.2">
      <c r="A19" s="34"/>
      <c r="B19" s="34"/>
      <c r="C19" s="34"/>
      <c r="D19" s="34"/>
    </row>
    <row r="20" spans="1:4" x14ac:dyDescent="0.2">
      <c r="A20" s="34"/>
      <c r="B20" s="34"/>
      <c r="C20" s="34"/>
      <c r="D20" s="34"/>
    </row>
  </sheetData>
  <mergeCells count="2">
    <mergeCell ref="A1:E1"/>
    <mergeCell ref="A2:E2"/>
  </mergeCells>
  <printOptions horizontalCentered="1"/>
  <pageMargins left="0.7" right="0.7" top="0.75" bottom="0.75" header="0.3" footer="0.3"/>
  <pageSetup scale="96" firstPageNumber="99" orientation="portrait" useFirstPageNumber="1" horizontalDpi="4294967294" r:id="rId1"/>
  <headerFooter>
    <oddFooter>&amp;L&amp;"Arial,Regular"&amp;8GVEA North Pole Facility
PM&amp;Y2.5&amp;Y Serious NAA BACT Analysis&amp;C&amp;"Arial,Regular"&amp;8Page 108&amp;R&amp;"Arial,Regular"&amp;8August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5A6FC-CADD-4242-A42F-9E1C4B6281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A56E9-97D1-4D3B-8A6E-CE1D771BFAE0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9EC1B9-6102-4549-8094-873554EA0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5-1 Available-SO2</vt:lpstr>
      <vt:lpstr>5-2 Feasible-SO2</vt:lpstr>
      <vt:lpstr>5-3 Ranking-SO2</vt:lpstr>
      <vt:lpstr>5-4 EU ID 1 ULSD CE</vt:lpstr>
      <vt:lpstr>5-5 EU ID 2 ULSD CE</vt:lpstr>
      <vt:lpstr>5-6 EU ID 5&amp;6 ULSD CE</vt:lpstr>
      <vt:lpstr>5-7 EU ID 7 ULSD CE</vt:lpstr>
      <vt:lpstr>Table 5-8</vt:lpstr>
      <vt:lpstr>Table - 5-9</vt:lpstr>
      <vt:lpstr>5-10 TCI ULSD EU1-2</vt:lpstr>
      <vt:lpstr>DO NOT INCLUDE - Identified-SO2</vt:lpstr>
      <vt:lpstr>'5-3 Ranking-SO2'!Print_Area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2019-10-29T19:36:47Z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ffbd0ccf-7e8a-48ac-953e-03a18e98db69</vt:lpwstr>
  </property>
  <property fmtid="{D5CDD505-2E9C-101B-9397-08002B2CF9AE}" pid="3" name="ContentTypeId">
    <vt:lpwstr>0x010100C8DFFD117A687F4BBEEF3206719FB718</vt:lpwstr>
  </property>
  <property fmtid="{D5CDD505-2E9C-101B-9397-08002B2CF9AE}" pid="4" name="ESRI_WORKBOOK_ID">
    <vt:lpwstr>2b8eb248d88a4e52a66bfea9062a3837</vt:lpwstr>
  </property>
</Properties>
</file>