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6650" yWindow="3510" windowWidth="20730" windowHeight="9570" tabRatio="898" firstSheet="17" activeTab="20"/>
  </bookViews>
  <sheets>
    <sheet name="3-1 Available-NOx" sheetId="14" r:id="rId1"/>
    <sheet name="3-2 Feasible-NOx" sheetId="8" r:id="rId2"/>
    <sheet name="3-3 Ranking-NOx" sheetId="11" r:id="rId3"/>
    <sheet name="3-4 EU 1 SCR_WI TCI" sheetId="74" r:id="rId4"/>
    <sheet name="3-5 EU 1 SCR_WI CE" sheetId="75" r:id="rId5"/>
    <sheet name="3-6 EU 2 SCR_WI TCI" sheetId="77" r:id="rId6"/>
    <sheet name="3-7 EU 2 SCR_WI CE" sheetId="78" r:id="rId7"/>
    <sheet name="3-8 EU1 SCR TCI" sheetId="80" r:id="rId8"/>
    <sheet name="3-9 EU1 SCR CE" sheetId="81" r:id="rId9"/>
    <sheet name="3-10 EU 2 SCR TCI" sheetId="83" r:id="rId10"/>
    <sheet name="3-11 EU2 SCR CE" sheetId="84" r:id="rId11"/>
    <sheet name="3-12 EU1 WI TCI" sheetId="86" r:id="rId12"/>
    <sheet name="3-13 EU1 WI CE" sheetId="87" r:id="rId13"/>
    <sheet name="3-14 EU2 WI TCI" sheetId="89" r:id="rId14"/>
    <sheet name="3-15 EU2 WI CE" sheetId="90" r:id="rId15"/>
    <sheet name="3-16 EU5-6 SCR_WI TCI" sheetId="92" r:id="rId16"/>
    <sheet name="3-17 EU5-6 SCR_WI CE" sheetId="93" r:id="rId17"/>
    <sheet name="3-18 EU ID 7 SCR TCI" sheetId="50" r:id="rId18"/>
    <sheet name="3-19 EU ID 7 SCR CE" sheetId="51" r:id="rId19"/>
    <sheet name="3-20 EU ID 11 &amp; 12 LNB TCI" sheetId="72" r:id="rId20"/>
    <sheet name="3-21 EU ID 11 &amp; 12 LNB CE" sheetId="73" r:id="rId21"/>
    <sheet name="Table 3-22" sheetId="17" r:id="rId22"/>
    <sheet name="Table - 3-23" sheetId="18" r:id="rId23"/>
    <sheet name="DO NOT INCLUDE - Identified-NOx" sheetId="1" r:id="rId24"/>
    <sheet name="Sheet1" sheetId="95" r:id="rId25"/>
    <sheet name="ESRI_MAPINFO_SHEET" sheetId="94" state="veryHidden" r:id="rId26"/>
  </sheets>
  <definedNames>
    <definedName name="_Toc456769220" localSheetId="14">'3-15 EU2 WI CE'!$B$48</definedName>
    <definedName name="_xlnm.Print_Area" localSheetId="16">'3-17 EU5-6 SCR_WI CE'!$B$1:$L$63</definedName>
  </definedNames>
  <calcPr calcId="152511"/>
</workbook>
</file>

<file path=xl/calcChain.xml><?xml version="1.0" encoding="utf-8"?>
<calcChain xmlns="http://schemas.openxmlformats.org/spreadsheetml/2006/main">
  <c r="K23" i="73" l="1"/>
  <c r="K39" i="78"/>
  <c r="I37" i="78"/>
  <c r="K49" i="75"/>
  <c r="I37" i="75"/>
  <c r="K41" i="84"/>
  <c r="K31" i="84"/>
  <c r="K47" i="75"/>
  <c r="K39" i="75"/>
  <c r="E38" i="75"/>
  <c r="K47" i="78"/>
  <c r="E22" i="73" l="1"/>
  <c r="K25" i="73" s="1"/>
  <c r="K27" i="73" s="1"/>
  <c r="K39" i="93"/>
  <c r="E30" i="93"/>
  <c r="K31" i="93" s="1"/>
  <c r="I29" i="93"/>
  <c r="K28" i="90"/>
  <c r="I26" i="90"/>
  <c r="E27" i="90"/>
  <c r="E27" i="87"/>
  <c r="I29" i="84"/>
  <c r="K29" i="84" s="1"/>
  <c r="K33" i="84" s="1"/>
  <c r="E30" i="84"/>
  <c r="K31" i="81"/>
  <c r="I29" i="81" l="1"/>
  <c r="K29" i="81" s="1"/>
  <c r="E30" i="81"/>
  <c r="K14" i="75"/>
  <c r="K13" i="75"/>
  <c r="K12" i="75"/>
  <c r="K11" i="75"/>
  <c r="E38" i="78"/>
  <c r="E13" i="11" l="1"/>
  <c r="E14" i="11"/>
  <c r="E15" i="11" l="1"/>
  <c r="F15" i="11"/>
  <c r="E17" i="11"/>
  <c r="E20" i="11" l="1"/>
  <c r="E12" i="11"/>
  <c r="E11" i="11"/>
  <c r="F11" i="11" s="1"/>
  <c r="E8" i="11"/>
  <c r="E7" i="11"/>
  <c r="E6" i="11"/>
  <c r="F6" i="11" s="1"/>
  <c r="H14" i="92" l="1"/>
  <c r="K15" i="92" s="1"/>
  <c r="H14" i="83"/>
  <c r="H14" i="80"/>
  <c r="K15" i="77"/>
  <c r="H15" i="77"/>
  <c r="G15" i="77"/>
  <c r="G15" i="74" l="1"/>
  <c r="H15" i="74" s="1"/>
  <c r="K15" i="74" s="1"/>
  <c r="I28" i="93" l="1"/>
  <c r="K28" i="93" s="1"/>
  <c r="E23" i="93"/>
  <c r="I19" i="93"/>
  <c r="E12" i="93"/>
  <c r="E10" i="93" s="1"/>
  <c r="I10" i="93" s="1"/>
  <c r="K10" i="93" s="1"/>
  <c r="I55" i="92"/>
  <c r="K42" i="92"/>
  <c r="H42" i="92"/>
  <c r="H41" i="92"/>
  <c r="K41" i="92" s="1"/>
  <c r="H40" i="92"/>
  <c r="K40" i="92" s="1"/>
  <c r="H39" i="92"/>
  <c r="K39" i="92" s="1"/>
  <c r="H38" i="92"/>
  <c r="K38" i="92" s="1"/>
  <c r="H37" i="92"/>
  <c r="K37" i="92" s="1"/>
  <c r="H36" i="92"/>
  <c r="K36" i="92" s="1"/>
  <c r="I31" i="92"/>
  <c r="I30" i="92"/>
  <c r="H27" i="92"/>
  <c r="K28" i="92" s="1"/>
  <c r="G27" i="92"/>
  <c r="I24" i="92"/>
  <c r="I45" i="92" s="1"/>
  <c r="K45" i="92" s="1"/>
  <c r="I23" i="92"/>
  <c r="K25" i="92" s="1"/>
  <c r="G20" i="92"/>
  <c r="H20" i="92" s="1"/>
  <c r="K21" i="92" s="1"/>
  <c r="K18" i="92"/>
  <c r="H13" i="92"/>
  <c r="K47" i="92" s="1"/>
  <c r="K32" i="92" l="1"/>
  <c r="K19" i="93"/>
  <c r="I44" i="92"/>
  <c r="K44" i="92" s="1"/>
  <c r="E11" i="93"/>
  <c r="I11" i="93" s="1"/>
  <c r="K11" i="93" s="1"/>
  <c r="I12" i="93"/>
  <c r="K12" i="93" s="1"/>
  <c r="I46" i="92"/>
  <c r="K46" i="92" s="1"/>
  <c r="K33" i="92"/>
  <c r="G18" i="93" l="1"/>
  <c r="H18" i="93" s="1"/>
  <c r="I61" i="92"/>
  <c r="K62" i="92" s="1"/>
  <c r="K50" i="92"/>
  <c r="I54" i="92" l="1"/>
  <c r="K56" i="92" s="1"/>
  <c r="K65" i="92" s="1"/>
  <c r="C19" i="17" s="1"/>
  <c r="K18" i="93"/>
  <c r="I21" i="93"/>
  <c r="K21" i="93" s="1"/>
  <c r="I20" i="93"/>
  <c r="K20" i="93" s="1"/>
  <c r="K29" i="93" l="1"/>
  <c r="K33" i="93" l="1"/>
  <c r="G20" i="90"/>
  <c r="G19" i="90"/>
  <c r="E17" i="90"/>
  <c r="E18" i="90" s="1"/>
  <c r="H18" i="90" s="1"/>
  <c r="K18" i="90" s="1"/>
  <c r="E16" i="90"/>
  <c r="H16" i="90" s="1"/>
  <c r="K16" i="90" s="1"/>
  <c r="G15" i="90"/>
  <c r="K13" i="90"/>
  <c r="H13" i="90"/>
  <c r="G12" i="90"/>
  <c r="I11" i="90"/>
  <c r="K11" i="90" s="1"/>
  <c r="I10" i="90"/>
  <c r="K10" i="90" s="1"/>
  <c r="I53" i="89"/>
  <c r="H40" i="89"/>
  <c r="K40" i="89" s="1"/>
  <c r="H39" i="89"/>
  <c r="K39" i="89" s="1"/>
  <c r="H38" i="89"/>
  <c r="K38" i="89" s="1"/>
  <c r="H37" i="89"/>
  <c r="K37" i="89" s="1"/>
  <c r="K36" i="89"/>
  <c r="H36" i="89"/>
  <c r="H35" i="89"/>
  <c r="K35" i="89" s="1"/>
  <c r="H34" i="89"/>
  <c r="K34" i="89" s="1"/>
  <c r="I29" i="89"/>
  <c r="K30" i="89" s="1"/>
  <c r="I28" i="89"/>
  <c r="H25" i="89"/>
  <c r="K26" i="89" s="1"/>
  <c r="I23" i="89"/>
  <c r="I43" i="89" s="1"/>
  <c r="K43" i="89" s="1"/>
  <c r="I22" i="89"/>
  <c r="I42" i="89" s="1"/>
  <c r="K42" i="89" s="1"/>
  <c r="H16" i="89"/>
  <c r="K17" i="89" s="1"/>
  <c r="H14" i="89"/>
  <c r="H13" i="89"/>
  <c r="K14" i="89" s="1"/>
  <c r="I44" i="89" l="1"/>
  <c r="K44" i="89" s="1"/>
  <c r="K45" i="89"/>
  <c r="E15" i="90"/>
  <c r="I19" i="89"/>
  <c r="K20" i="89" s="1"/>
  <c r="K31" i="89" s="1"/>
  <c r="I59" i="89" l="1"/>
  <c r="K60" i="89" s="1"/>
  <c r="K48" i="89"/>
  <c r="H15" i="90"/>
  <c r="K15" i="90" s="1"/>
  <c r="E12" i="90"/>
  <c r="I12" i="90" s="1"/>
  <c r="E19" i="90"/>
  <c r="K12" i="90" l="1"/>
  <c r="I25" i="90"/>
  <c r="K25" i="90" s="1"/>
  <c r="I52" i="89"/>
  <c r="K54" i="89" s="1"/>
  <c r="K63" i="89" s="1"/>
  <c r="C15" i="17" s="1"/>
  <c r="H19" i="90"/>
  <c r="K19" i="90" s="1"/>
  <c r="E20" i="90"/>
  <c r="H20" i="90" s="1"/>
  <c r="K20" i="90" s="1"/>
  <c r="K26" i="90" l="1"/>
  <c r="K22" i="90"/>
  <c r="E15" i="17" s="1"/>
  <c r="K30" i="90" l="1"/>
  <c r="K32" i="90" s="1"/>
  <c r="G20" i="87"/>
  <c r="G19" i="87"/>
  <c r="E17" i="87"/>
  <c r="E18" i="87" s="1"/>
  <c r="H18" i="87" s="1"/>
  <c r="K18" i="87" s="1"/>
  <c r="E16" i="87"/>
  <c r="H16" i="87" s="1"/>
  <c r="K16" i="87" s="1"/>
  <c r="G15" i="87"/>
  <c r="K13" i="87"/>
  <c r="H13" i="87"/>
  <c r="G12" i="87"/>
  <c r="I11" i="87"/>
  <c r="K11" i="87" s="1"/>
  <c r="I10" i="87"/>
  <c r="K10" i="87" s="1"/>
  <c r="I53" i="86"/>
  <c r="H40" i="86"/>
  <c r="K40" i="86" s="1"/>
  <c r="H39" i="86"/>
  <c r="K39" i="86" s="1"/>
  <c r="H38" i="86"/>
  <c r="K38" i="86" s="1"/>
  <c r="H37" i="86"/>
  <c r="K37" i="86" s="1"/>
  <c r="K36" i="86"/>
  <c r="H36" i="86"/>
  <c r="H35" i="86"/>
  <c r="K35" i="86" s="1"/>
  <c r="H34" i="86"/>
  <c r="K34" i="86" s="1"/>
  <c r="I29" i="86"/>
  <c r="I28" i="86"/>
  <c r="K30" i="86" s="1"/>
  <c r="H25" i="86"/>
  <c r="K26" i="86" s="1"/>
  <c r="I23" i="86"/>
  <c r="I43" i="86" s="1"/>
  <c r="K43" i="86" s="1"/>
  <c r="I22" i="86"/>
  <c r="I42" i="86" s="1"/>
  <c r="K42" i="86" s="1"/>
  <c r="H16" i="86"/>
  <c r="K17" i="86" s="1"/>
  <c r="H14" i="86"/>
  <c r="H13" i="86"/>
  <c r="K14" i="86" s="1"/>
  <c r="D15" i="17" l="1"/>
  <c r="I44" i="86"/>
  <c r="K44" i="86" s="1"/>
  <c r="K45" i="86"/>
  <c r="I19" i="86"/>
  <c r="K20" i="86" s="1"/>
  <c r="K31" i="86" s="1"/>
  <c r="E15" i="87"/>
  <c r="I59" i="86" l="1"/>
  <c r="K60" i="86" s="1"/>
  <c r="K48" i="86"/>
  <c r="E19" i="87"/>
  <c r="H15" i="87"/>
  <c r="K15" i="87" s="1"/>
  <c r="E12" i="87"/>
  <c r="I12" i="87" s="1"/>
  <c r="H19" i="87" l="1"/>
  <c r="K19" i="87" s="1"/>
  <c r="E20" i="87"/>
  <c r="H20" i="87" s="1"/>
  <c r="K20" i="87" s="1"/>
  <c r="I52" i="86"/>
  <c r="K54" i="86" s="1"/>
  <c r="K63" i="86" s="1"/>
  <c r="C9" i="17" s="1"/>
  <c r="K12" i="87"/>
  <c r="I25" i="87"/>
  <c r="K25" i="87" s="1"/>
  <c r="K22" i="87" l="1"/>
  <c r="E9" i="17" s="1"/>
  <c r="I26" i="87"/>
  <c r="K26" i="87" s="1"/>
  <c r="K28" i="87"/>
  <c r="K30" i="87" l="1"/>
  <c r="K32" i="87" s="1"/>
  <c r="K28" i="84"/>
  <c r="E23" i="84"/>
  <c r="I19" i="84"/>
  <c r="K16" i="84"/>
  <c r="H13" i="84"/>
  <c r="K13" i="84" s="1"/>
  <c r="I12" i="84"/>
  <c r="K12" i="84" s="1"/>
  <c r="E12" i="84"/>
  <c r="E11" i="84"/>
  <c r="I11" i="84" s="1"/>
  <c r="K11" i="84" s="1"/>
  <c r="E10" i="84"/>
  <c r="I10" i="84" s="1"/>
  <c r="K10" i="84" s="1"/>
  <c r="I54" i="83"/>
  <c r="H41" i="83"/>
  <c r="K41" i="83" s="1"/>
  <c r="H40" i="83"/>
  <c r="K40" i="83" s="1"/>
  <c r="H39" i="83"/>
  <c r="K39" i="83" s="1"/>
  <c r="H38" i="83"/>
  <c r="K38" i="83" s="1"/>
  <c r="H37" i="83"/>
  <c r="K37" i="83" s="1"/>
  <c r="H36" i="83"/>
  <c r="K36" i="83" s="1"/>
  <c r="H35" i="83"/>
  <c r="K35" i="83" s="1"/>
  <c r="I30" i="83"/>
  <c r="I29" i="83"/>
  <c r="K31" i="83" s="1"/>
  <c r="K27" i="83"/>
  <c r="H26" i="83"/>
  <c r="I24" i="83"/>
  <c r="I44" i="83" s="1"/>
  <c r="K44" i="83" s="1"/>
  <c r="I23" i="83"/>
  <c r="I43" i="83" s="1"/>
  <c r="K43" i="83" s="1"/>
  <c r="K21" i="83"/>
  <c r="H17" i="83"/>
  <c r="K18" i="83" s="1"/>
  <c r="H13" i="83"/>
  <c r="G18" i="84" l="1"/>
  <c r="H18" i="84" s="1"/>
  <c r="I21" i="84" s="1"/>
  <c r="K21" i="84" s="1"/>
  <c r="K14" i="83"/>
  <c r="K19" i="84"/>
  <c r="I45" i="83"/>
  <c r="K45" i="83" s="1"/>
  <c r="K46" i="83"/>
  <c r="D9" i="17"/>
  <c r="K32" i="83"/>
  <c r="I20" i="84" l="1"/>
  <c r="K20" i="84" s="1"/>
  <c r="K18" i="84"/>
  <c r="I60" i="83"/>
  <c r="K61" i="83" s="1"/>
  <c r="K49" i="83"/>
  <c r="I53" i="83" l="1"/>
  <c r="K55" i="83" s="1"/>
  <c r="K64" i="83" s="1"/>
  <c r="C14" i="17" s="1"/>
  <c r="K28" i="81" l="1"/>
  <c r="E23" i="81"/>
  <c r="K19" i="81" s="1"/>
  <c r="I19" i="81"/>
  <c r="K16" i="81"/>
  <c r="H13" i="81"/>
  <c r="K13" i="81" s="1"/>
  <c r="E12" i="81"/>
  <c r="E10" i="81" s="1"/>
  <c r="I10" i="81" s="1"/>
  <c r="K10" i="81" s="1"/>
  <c r="E11" i="81"/>
  <c r="I11" i="81" s="1"/>
  <c r="K11" i="81" s="1"/>
  <c r="I54" i="80"/>
  <c r="H42" i="80"/>
  <c r="K42" i="80" s="1"/>
  <c r="H41" i="80"/>
  <c r="K41" i="80" s="1"/>
  <c r="H40" i="80"/>
  <c r="K40" i="80" s="1"/>
  <c r="H39" i="80"/>
  <c r="K39" i="80" s="1"/>
  <c r="H38" i="80"/>
  <c r="K38" i="80" s="1"/>
  <c r="H37" i="80"/>
  <c r="K37" i="80" s="1"/>
  <c r="H36" i="80"/>
  <c r="K36" i="80" s="1"/>
  <c r="I31" i="80"/>
  <c r="I30" i="80"/>
  <c r="H27" i="80"/>
  <c r="K28" i="80" s="1"/>
  <c r="I24" i="80"/>
  <c r="I45" i="80" s="1"/>
  <c r="K45" i="80" s="1"/>
  <c r="I23" i="80"/>
  <c r="I44" i="80" s="1"/>
  <c r="K44" i="80" s="1"/>
  <c r="K21" i="80"/>
  <c r="H17" i="80"/>
  <c r="K18" i="80" s="1"/>
  <c r="H13" i="80"/>
  <c r="K47" i="80" l="1"/>
  <c r="K14" i="80"/>
  <c r="K32" i="80"/>
  <c r="I12" i="81"/>
  <c r="K12" i="81" s="1"/>
  <c r="G18" i="81"/>
  <c r="H18" i="81" s="1"/>
  <c r="I46" i="80" l="1"/>
  <c r="K46" i="80" s="1"/>
  <c r="K33" i="80"/>
  <c r="I21" i="81"/>
  <c r="K21" i="81" s="1"/>
  <c r="K18" i="81"/>
  <c r="I20" i="81"/>
  <c r="K20" i="81" s="1"/>
  <c r="K50" i="80" l="1"/>
  <c r="I60" i="80"/>
  <c r="K61" i="80" s="1"/>
  <c r="I53" i="80" l="1"/>
  <c r="K55" i="80" s="1"/>
  <c r="K64" i="80"/>
  <c r="C8" i="17" s="1"/>
  <c r="K33" i="81" l="1"/>
  <c r="K35" i="81" s="1"/>
  <c r="K41" i="81" s="1"/>
  <c r="E31" i="78"/>
  <c r="I27" i="78"/>
  <c r="K23" i="78"/>
  <c r="E22" i="78"/>
  <c r="H22" i="78" s="1"/>
  <c r="K22" i="78" s="1"/>
  <c r="G21" i="78"/>
  <c r="G20" i="78"/>
  <c r="E18" i="78"/>
  <c r="E19" i="78" s="1"/>
  <c r="H19" i="78" s="1"/>
  <c r="K19" i="78" s="1"/>
  <c r="E17" i="78"/>
  <c r="H17" i="78" s="1"/>
  <c r="K17" i="78" s="1"/>
  <c r="G16" i="78"/>
  <c r="H14" i="78"/>
  <c r="K14" i="78" s="1"/>
  <c r="E13" i="78"/>
  <c r="I13" i="78" s="1"/>
  <c r="K13" i="78" s="1"/>
  <c r="G12" i="78"/>
  <c r="E11" i="78"/>
  <c r="I11" i="78" s="1"/>
  <c r="K11" i="78" s="1"/>
  <c r="E10" i="78"/>
  <c r="I10" i="78" s="1"/>
  <c r="K10" i="78" s="1"/>
  <c r="I56" i="77"/>
  <c r="H43" i="77"/>
  <c r="K43" i="77" s="1"/>
  <c r="H42" i="77"/>
  <c r="K42" i="77" s="1"/>
  <c r="H41" i="77"/>
  <c r="K41" i="77" s="1"/>
  <c r="H40" i="77"/>
  <c r="K40" i="77" s="1"/>
  <c r="H39" i="77"/>
  <c r="K39" i="77" s="1"/>
  <c r="H38" i="77"/>
  <c r="K38" i="77" s="1"/>
  <c r="H37" i="77"/>
  <c r="K37" i="77" s="1"/>
  <c r="I32" i="77"/>
  <c r="I31" i="77"/>
  <c r="K33" i="77" s="1"/>
  <c r="H28" i="77"/>
  <c r="K29" i="77" s="1"/>
  <c r="I25" i="77"/>
  <c r="I46" i="77" s="1"/>
  <c r="K46" i="77" s="1"/>
  <c r="I24" i="77"/>
  <c r="I45" i="77" s="1"/>
  <c r="K45" i="77" s="1"/>
  <c r="H18" i="77"/>
  <c r="K19" i="77" s="1"/>
  <c r="H14" i="77"/>
  <c r="G26" i="78" s="1"/>
  <c r="H26" i="78" s="1"/>
  <c r="H13" i="77"/>
  <c r="K48" i="77" s="1"/>
  <c r="E16" i="78" l="1"/>
  <c r="E20" i="78" s="1"/>
  <c r="K27" i="78"/>
  <c r="I47" i="77"/>
  <c r="K47" i="77" s="1"/>
  <c r="I21" i="77"/>
  <c r="K22" i="77" s="1"/>
  <c r="I28" i="78"/>
  <c r="K28" i="78" s="1"/>
  <c r="I29" i="78"/>
  <c r="K29" i="78" s="1"/>
  <c r="K26" i="78"/>
  <c r="E21" i="78"/>
  <c r="H21" i="78" s="1"/>
  <c r="K21" i="78" s="1"/>
  <c r="H20" i="78"/>
  <c r="K20" i="78" s="1"/>
  <c r="H16" i="78"/>
  <c r="K16" i="78" s="1"/>
  <c r="E12" i="78"/>
  <c r="I12" i="78" s="1"/>
  <c r="K34" i="77" l="1"/>
  <c r="I62" i="77" s="1"/>
  <c r="K63" i="77" s="1"/>
  <c r="I36" i="78"/>
  <c r="K36" i="78" s="1"/>
  <c r="K12" i="78"/>
  <c r="K33" i="78" s="1"/>
  <c r="K51" i="77"/>
  <c r="E13" i="17" l="1"/>
  <c r="I55" i="77"/>
  <c r="K57" i="77" s="1"/>
  <c r="K66" i="77" s="1"/>
  <c r="C13" i="17" s="1"/>
  <c r="K37" i="78" l="1"/>
  <c r="K41" i="78" s="1"/>
  <c r="K43" i="78" s="1"/>
  <c r="K50" i="78" s="1"/>
  <c r="K49" i="78" l="1"/>
  <c r="D13" i="17"/>
  <c r="E31" i="75"/>
  <c r="I27" i="75"/>
  <c r="K23" i="75"/>
  <c r="E22" i="75"/>
  <c r="H22" i="75" s="1"/>
  <c r="K22" i="75" s="1"/>
  <c r="G21" i="75"/>
  <c r="G20" i="75"/>
  <c r="E18" i="75"/>
  <c r="E19" i="75" s="1"/>
  <c r="H19" i="75" s="1"/>
  <c r="K19" i="75" s="1"/>
  <c r="E17" i="75"/>
  <c r="H17" i="75" s="1"/>
  <c r="K17" i="75" s="1"/>
  <c r="G16" i="75"/>
  <c r="H14" i="75"/>
  <c r="E13" i="75"/>
  <c r="E10" i="75" s="1"/>
  <c r="I10" i="75" s="1"/>
  <c r="K10" i="75" s="1"/>
  <c r="G12" i="75"/>
  <c r="I56" i="74"/>
  <c r="H43" i="74"/>
  <c r="K43" i="74" s="1"/>
  <c r="H42" i="74"/>
  <c r="K42" i="74" s="1"/>
  <c r="H41" i="74"/>
  <c r="K41" i="74" s="1"/>
  <c r="H40" i="74"/>
  <c r="K40" i="74" s="1"/>
  <c r="H39" i="74"/>
  <c r="K39" i="74" s="1"/>
  <c r="H38" i="74"/>
  <c r="K38" i="74" s="1"/>
  <c r="H37" i="74"/>
  <c r="K37" i="74" s="1"/>
  <c r="I32" i="74"/>
  <c r="I31" i="74"/>
  <c r="K33" i="74" s="1"/>
  <c r="H28" i="74"/>
  <c r="K29" i="74" s="1"/>
  <c r="I25" i="74"/>
  <c r="I46" i="74" s="1"/>
  <c r="K46" i="74" s="1"/>
  <c r="I24" i="74"/>
  <c r="I45" i="74" s="1"/>
  <c r="K45" i="74" s="1"/>
  <c r="H18" i="74"/>
  <c r="K19" i="74" s="1"/>
  <c r="H14" i="74"/>
  <c r="G26" i="75" s="1"/>
  <c r="H26" i="75" s="1"/>
  <c r="H13" i="74"/>
  <c r="K27" i="75" l="1"/>
  <c r="K48" i="74"/>
  <c r="I21" i="74"/>
  <c r="K22" i="74" s="1"/>
  <c r="I29" i="75"/>
  <c r="K29" i="75" s="1"/>
  <c r="K26" i="75"/>
  <c r="I28" i="75"/>
  <c r="K28" i="75" s="1"/>
  <c r="E11" i="75"/>
  <c r="I11" i="75" s="1"/>
  <c r="I13" i="75"/>
  <c r="E16" i="75"/>
  <c r="K33" i="75" l="1"/>
  <c r="K34" i="74"/>
  <c r="I47" i="74"/>
  <c r="K47" i="74" s="1"/>
  <c r="H16" i="75"/>
  <c r="K16" i="75" s="1"/>
  <c r="E20" i="75"/>
  <c r="E12" i="75"/>
  <c r="I12" i="75" s="1"/>
  <c r="H20" i="75" l="1"/>
  <c r="K20" i="75" s="1"/>
  <c r="E21" i="75"/>
  <c r="H21" i="75" s="1"/>
  <c r="K21" i="75" s="1"/>
  <c r="I36" i="75"/>
  <c r="K36" i="75" s="1"/>
  <c r="E7" i="17"/>
  <c r="I62" i="74"/>
  <c r="K63" i="74" s="1"/>
  <c r="K51" i="74"/>
  <c r="I55" i="74" l="1"/>
  <c r="K57" i="74" s="1"/>
  <c r="K66" i="74" s="1"/>
  <c r="C7" i="17" s="1"/>
  <c r="K37" i="75" l="1"/>
  <c r="K41" i="75"/>
  <c r="K43" i="75" s="1"/>
  <c r="K50" i="75" l="1"/>
  <c r="B28" i="17"/>
  <c r="B24" i="17"/>
  <c r="C23" i="17"/>
  <c r="A23" i="17"/>
  <c r="B20" i="17"/>
  <c r="B16" i="17"/>
  <c r="B14" i="17"/>
  <c r="B10" i="17"/>
  <c r="K19" i="73"/>
  <c r="I19" i="73"/>
  <c r="I18" i="73"/>
  <c r="K18" i="73" s="1"/>
  <c r="H13" i="73"/>
  <c r="K13" i="73" s="1"/>
  <c r="K12" i="73"/>
  <c r="I12" i="73"/>
  <c r="I11" i="73"/>
  <c r="K11" i="73" s="1"/>
  <c r="I10" i="73"/>
  <c r="K10" i="73" s="1"/>
  <c r="I39" i="72"/>
  <c r="K31" i="72"/>
  <c r="I27" i="72"/>
  <c r="I26" i="72"/>
  <c r="K28" i="72" s="1"/>
  <c r="I23" i="72"/>
  <c r="I22" i="72"/>
  <c r="K24" i="72" s="1"/>
  <c r="K17" i="72"/>
  <c r="K14" i="72"/>
  <c r="H13" i="72"/>
  <c r="I19" i="72" s="1"/>
  <c r="K20" i="72" s="1"/>
  <c r="E22" i="51"/>
  <c r="K19" i="51"/>
  <c r="I19" i="51"/>
  <c r="I18" i="51"/>
  <c r="K18" i="51" s="1"/>
  <c r="K13" i="51"/>
  <c r="H13" i="51"/>
  <c r="I12" i="51"/>
  <c r="K12" i="51" s="1"/>
  <c r="K11" i="51"/>
  <c r="I11" i="51"/>
  <c r="I10" i="51"/>
  <c r="K10" i="51" s="1"/>
  <c r="I60" i="50"/>
  <c r="K61" i="50" s="1"/>
  <c r="K64" i="50" s="1"/>
  <c r="K55" i="50"/>
  <c r="I54" i="50"/>
  <c r="I53" i="50"/>
  <c r="H41" i="50"/>
  <c r="K41" i="50" s="1"/>
  <c r="H40" i="50"/>
  <c r="K40" i="50" s="1"/>
  <c r="H39" i="50"/>
  <c r="K39" i="50" s="1"/>
  <c r="K38" i="50"/>
  <c r="H38" i="50"/>
  <c r="H37" i="50"/>
  <c r="K37" i="50" s="1"/>
  <c r="H36" i="50"/>
  <c r="K36" i="50" s="1"/>
  <c r="H35" i="50"/>
  <c r="K35" i="50" s="1"/>
  <c r="K31" i="50"/>
  <c r="I30" i="50"/>
  <c r="I29" i="50"/>
  <c r="H26" i="50"/>
  <c r="K27" i="50" s="1"/>
  <c r="I23" i="50"/>
  <c r="I44" i="50" s="1"/>
  <c r="K44" i="50" s="1"/>
  <c r="I22" i="50"/>
  <c r="K24" i="50" s="1"/>
  <c r="H16" i="50"/>
  <c r="K17" i="50" s="1"/>
  <c r="K14" i="50"/>
  <c r="H13" i="50"/>
  <c r="I19" i="50" s="1"/>
  <c r="K20" i="50" s="1"/>
  <c r="F20" i="11"/>
  <c r="K31" i="73" s="1"/>
  <c r="K33" i="73" s="1"/>
  <c r="E18" i="11"/>
  <c r="B23" i="17" s="1"/>
  <c r="F13" i="11"/>
  <c r="K36" i="90" s="1"/>
  <c r="K38" i="90" s="1"/>
  <c r="F15" i="17" s="1"/>
  <c r="F12" i="11"/>
  <c r="K39" i="84" s="1"/>
  <c r="E15" i="84" s="1"/>
  <c r="H15" i="84" s="1"/>
  <c r="K15" i="84" s="1"/>
  <c r="K25" i="84" s="1"/>
  <c r="K35" i="84" s="1"/>
  <c r="B13" i="17"/>
  <c r="F8" i="11"/>
  <c r="K36" i="87" s="1"/>
  <c r="K38" i="87" s="1"/>
  <c r="F9" i="17" s="1"/>
  <c r="B9" i="17"/>
  <c r="F7" i="11"/>
  <c r="K39" i="81" s="1"/>
  <c r="E15" i="81" s="1"/>
  <c r="H15" i="81" s="1"/>
  <c r="K15" i="81" s="1"/>
  <c r="K25" i="81" s="1"/>
  <c r="F7" i="17" l="1"/>
  <c r="D7" i="17"/>
  <c r="E14" i="17"/>
  <c r="K42" i="84"/>
  <c r="E15" i="93"/>
  <c r="H15" i="93" s="1"/>
  <c r="K15" i="93" s="1"/>
  <c r="K25" i="93" s="1"/>
  <c r="B19" i="17"/>
  <c r="K15" i="51"/>
  <c r="K23" i="51"/>
  <c r="K25" i="51" s="1"/>
  <c r="E8" i="17"/>
  <c r="K29" i="72"/>
  <c r="K34" i="72" s="1"/>
  <c r="K15" i="73"/>
  <c r="K32" i="50"/>
  <c r="B15" i="17"/>
  <c r="F13" i="17"/>
  <c r="B7" i="17"/>
  <c r="B27" i="17"/>
  <c r="I45" i="50"/>
  <c r="K45" i="50" s="1"/>
  <c r="F18" i="11"/>
  <c r="K31" i="51" s="1"/>
  <c r="I43" i="50"/>
  <c r="K43" i="50" s="1"/>
  <c r="K46" i="50" s="1"/>
  <c r="B8" i="17"/>
  <c r="I45" i="72"/>
  <c r="K46" i="72" s="1"/>
  <c r="K42" i="81" l="1"/>
  <c r="K27" i="51"/>
  <c r="E19" i="17"/>
  <c r="K35" i="93"/>
  <c r="K41" i="93" s="1"/>
  <c r="I38" i="72"/>
  <c r="K40" i="72" s="1"/>
  <c r="K49" i="72" s="1"/>
  <c r="F8" i="17"/>
  <c r="D8" i="17"/>
  <c r="G7" i="17" s="1"/>
  <c r="F14" i="17"/>
  <c r="D14" i="17"/>
  <c r="C27" i="17" l="1"/>
  <c r="F19" i="17"/>
  <c r="D19" i="17"/>
  <c r="G14" i="17"/>
  <c r="G13" i="17"/>
  <c r="K33" i="51"/>
  <c r="F23" i="17" s="1"/>
  <c r="G23" i="17" s="1"/>
  <c r="D23" i="17"/>
  <c r="G8" i="17"/>
  <c r="D27" i="17" l="1"/>
</calcChain>
</file>

<file path=xl/comments1.xml><?xml version="1.0" encoding="utf-8"?>
<comments xmlns="http://schemas.openxmlformats.org/spreadsheetml/2006/main">
  <authors>
    <author>Author</author>
  </authors>
  <commentList>
    <comment ref="G13" authorId="0" shapeId="0">
      <text>
        <r>
          <rPr>
            <b/>
            <sz val="9"/>
            <color indexed="81"/>
            <rFont val="Tahoma"/>
            <family val="2"/>
          </rPr>
          <t>Author:</t>
        </r>
        <r>
          <rPr>
            <sz val="9"/>
            <color indexed="81"/>
            <rFont val="Tahoma"/>
            <family val="2"/>
          </rPr>
          <t xml:space="preserve">
GE quote</t>
        </r>
      </text>
    </comment>
    <comment ref="G14" authorId="0" shapeId="0">
      <text>
        <r>
          <rPr>
            <b/>
            <sz val="9"/>
            <color indexed="81"/>
            <rFont val="Tahoma"/>
            <family val="2"/>
          </rPr>
          <t>Author:</t>
        </r>
        <r>
          <rPr>
            <sz val="9"/>
            <color indexed="81"/>
            <rFont val="Tahoma"/>
            <family val="2"/>
          </rPr>
          <t xml:space="preserve">
Vendor quote</t>
        </r>
      </text>
    </comment>
    <comment ref="E28" authorId="0" shapeId="0">
      <text>
        <r>
          <rPr>
            <b/>
            <sz val="9"/>
            <color indexed="81"/>
            <rFont val="Tahoma"/>
            <family val="2"/>
          </rPr>
          <t>Author:</t>
        </r>
        <r>
          <rPr>
            <sz val="9"/>
            <color indexed="81"/>
            <rFont val="Tahoma"/>
            <family val="2"/>
          </rPr>
          <t xml:space="preserve">
Cost of startup spares indicated as a percentage of equipment cost per similar project.</t>
        </r>
      </text>
    </comment>
    <comment ref="E31" authorId="0" shapeId="0">
      <text>
        <r>
          <rPr>
            <b/>
            <sz val="9"/>
            <color indexed="81"/>
            <rFont val="Tahoma"/>
            <family val="2"/>
          </rPr>
          <t>Author:</t>
        </r>
        <r>
          <rPr>
            <sz val="9"/>
            <color indexed="81"/>
            <rFont val="Tahoma"/>
            <family val="2"/>
          </rPr>
          <t xml:space="preserve">
days based on data from similar project</t>
        </r>
      </text>
    </comment>
    <comment ref="E32" authorId="0" shapeId="0">
      <text>
        <r>
          <rPr>
            <b/>
            <sz val="9"/>
            <color indexed="81"/>
            <rFont val="Tahoma"/>
            <family val="2"/>
          </rPr>
          <t>Author:</t>
        </r>
        <r>
          <rPr>
            <sz val="9"/>
            <color indexed="81"/>
            <rFont val="Tahoma"/>
            <family val="2"/>
          </rPr>
          <t xml:space="preserve">
days based on data from similar project</t>
        </r>
      </text>
    </comment>
    <comment ref="K48" authorId="0" shapeId="0">
      <text>
        <r>
          <rPr>
            <b/>
            <sz val="9"/>
            <color indexed="81"/>
            <rFont val="Tahoma"/>
            <family val="2"/>
          </rPr>
          <t>Author:</t>
        </r>
        <r>
          <rPr>
            <sz val="9"/>
            <color indexed="81"/>
            <rFont val="Tahoma"/>
            <family val="2"/>
          </rPr>
          <t xml:space="preserve">
It has been assumed that some modification of the existing water treatment system will be needed to accommodate mulitple turbines. Assume that SCR installation costs are 2x the SCR equipment costs.</t>
        </r>
      </text>
    </comment>
    <comment ref="E55" authorId="0" shapeId="0">
      <text>
        <r>
          <rPr>
            <b/>
            <sz val="9"/>
            <color indexed="81"/>
            <rFont val="Tahoma"/>
            <family val="2"/>
          </rPr>
          <t>Author:</t>
        </r>
        <r>
          <rPr>
            <sz val="9"/>
            <color indexed="81"/>
            <rFont val="Tahoma"/>
            <family val="2"/>
          </rPr>
          <t xml:space="preserve">
Blended rate based on18% of SCR TDC that was used in similar project and 33%  of water injection TDC based on Table 6-4 of EPA literature: Alternative Control Techniques Document - NOx emissions from stationary gas turbines (EPA-453/R-93-007)</t>
        </r>
      </text>
    </comment>
    <comment ref="E56" authorId="0" shapeId="0">
      <text>
        <r>
          <rPr>
            <b/>
            <sz val="9"/>
            <color indexed="81"/>
            <rFont val="Tahoma"/>
            <family val="2"/>
          </rPr>
          <t>Author:</t>
        </r>
        <r>
          <rPr>
            <sz val="9"/>
            <color indexed="81"/>
            <rFont val="Tahoma"/>
            <family val="2"/>
          </rPr>
          <t xml:space="preserve">
Performance test for SCR system.</t>
        </r>
      </text>
    </comment>
    <comment ref="E62" authorId="0" shapeId="0">
      <text>
        <r>
          <rPr>
            <b/>
            <sz val="9"/>
            <color indexed="81"/>
            <rFont val="Tahoma"/>
            <family val="2"/>
          </rPr>
          <t>Author:</t>
        </r>
        <r>
          <rPr>
            <sz val="9"/>
            <color indexed="81"/>
            <rFont val="Tahoma"/>
            <family val="2"/>
          </rPr>
          <t xml:space="preserve">
Based on OAQPS Control Cost Manual standard contingency estimate.</t>
        </r>
      </text>
    </comment>
  </commentList>
</comments>
</file>

<file path=xl/comments10.xml><?xml version="1.0" encoding="utf-8"?>
<comments xmlns="http://schemas.openxmlformats.org/spreadsheetml/2006/main">
  <authors>
    <author>Author</author>
  </authors>
  <commentList>
    <comment ref="E12" authorId="0" shapeId="0">
      <text>
        <r>
          <rPr>
            <b/>
            <sz val="9"/>
            <color indexed="81"/>
            <rFont val="Tahoma"/>
            <family val="2"/>
          </rPr>
          <t>Author:</t>
        </r>
        <r>
          <rPr>
            <sz val="9"/>
            <color indexed="81"/>
            <rFont val="Tahoma"/>
            <family val="2"/>
          </rPr>
          <t xml:space="preserve">
Water use x 1.29 to account for waste water labor as well. See table 6-5 of EPA literature: Alternative Control Techniques Document - NOx emissions from stationary gas turbines. </t>
        </r>
      </text>
    </comment>
    <comment ref="G12"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 Escalated cost by 5% a year for inflation. 1990 cost = 0.7 $/1000gal, Table 6-5, note g.</t>
        </r>
      </text>
    </comment>
    <comment ref="E15" authorId="0" shapeId="0">
      <text>
        <r>
          <rPr>
            <b/>
            <sz val="9"/>
            <color indexed="81"/>
            <rFont val="Tahoma"/>
            <family val="2"/>
          </rPr>
          <t>Author:</t>
        </r>
        <r>
          <rPr>
            <sz val="9"/>
            <color indexed="81"/>
            <rFont val="Tahoma"/>
            <family val="2"/>
          </rPr>
          <t xml:space="preserve">
used lb water/lb fuel ratio for similarly sized GE turbine in EPA literature: Alternative Control Techniques Document - NOx emissions from stationary gas turbines (Table 6-2)</t>
        </r>
      </text>
    </comment>
    <comment ref="G15"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 Escalated cost by 5% a year for inflation. 1990 cost = 0.384 $/1000gal, Table 6-3</t>
        </r>
      </text>
    </comment>
    <comment ref="E16"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 Use water flow of 64.8 gal/min and formula in Table 6-5.</t>
        </r>
      </text>
    </comment>
    <comment ref="G16" authorId="0" shapeId="0">
      <text>
        <r>
          <rPr>
            <b/>
            <sz val="9"/>
            <color indexed="81"/>
            <rFont val="Tahoma"/>
            <family val="2"/>
          </rPr>
          <t>Author:</t>
        </r>
        <r>
          <rPr>
            <sz val="9"/>
            <color indexed="81"/>
            <rFont val="Tahoma"/>
            <family val="2"/>
          </rPr>
          <t xml:space="preserve">
Current rate GVEA charges to industrial users.</t>
        </r>
      </text>
    </comment>
    <comment ref="E17" authorId="0" shapeId="0">
      <text>
        <r>
          <rPr>
            <b/>
            <sz val="9"/>
            <color indexed="81"/>
            <rFont val="Tahoma"/>
            <family val="2"/>
          </rPr>
          <t>Author:</t>
        </r>
        <r>
          <rPr>
            <sz val="9"/>
            <color indexed="81"/>
            <rFont val="Tahoma"/>
            <family val="2"/>
          </rPr>
          <t xml:space="preserve">
Based on 670 MMBtu/hr and fuel HHV of 137 MMBtu/1000 gals. @ 8760 hours per year.</t>
        </r>
      </text>
    </comment>
    <comment ref="E18"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 Use 3.5% of annual fuel use and water/fuel ratio of 0.81 (Table 6-2).</t>
        </r>
      </text>
    </comment>
    <comment ref="G18" authorId="0" shapeId="0">
      <text>
        <r>
          <rPr>
            <b/>
            <sz val="9"/>
            <color indexed="81"/>
            <rFont val="Tahoma"/>
            <family val="2"/>
          </rPr>
          <t>Author:</t>
        </r>
        <r>
          <rPr>
            <sz val="9"/>
            <color indexed="81"/>
            <rFont val="Tahoma"/>
            <family val="2"/>
          </rPr>
          <t xml:space="preserve">
EIA Monthly energy pricing report (Dec 2015).</t>
        </r>
      </text>
    </comment>
    <comment ref="E19"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 Water use plus 30% design factor and 29% waste factor.</t>
        </r>
      </text>
    </comment>
    <comment ref="G19"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 Escalated cost by 5% a year for inflation. 1990 cost = 1.97 $/1000gal, Table 6-3</t>
        </r>
      </text>
    </comment>
    <comment ref="E20"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 29% waste water from treatment capacity.</t>
        </r>
      </text>
    </comment>
    <comment ref="G20"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 Escalated cost by 5% a year for inflation. 1990 cost = 3.82 $/1000gal, Table 6-3</t>
        </r>
      </text>
    </comment>
    <comment ref="E25"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 Assumes 30% of water treatment labor above.</t>
        </r>
      </text>
    </comment>
    <comment ref="E26"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t>
        </r>
      </text>
    </comment>
  </commentList>
</comments>
</file>

<file path=xl/comments11.xml><?xml version="1.0" encoding="utf-8"?>
<comments xmlns="http://schemas.openxmlformats.org/spreadsheetml/2006/main">
  <authors>
    <author>Author</author>
  </authors>
  <commentList>
    <comment ref="G13" authorId="0" shapeId="0">
      <text>
        <r>
          <rPr>
            <b/>
            <sz val="9"/>
            <color indexed="81"/>
            <rFont val="Tahoma"/>
            <family val="2"/>
          </rPr>
          <t>Author:</t>
        </r>
        <r>
          <rPr>
            <sz val="9"/>
            <color indexed="81"/>
            <rFont val="Tahoma"/>
            <family val="2"/>
          </rPr>
          <t xml:space="preserve">
GE quote</t>
        </r>
      </text>
    </comment>
    <comment ref="K45" authorId="0" shapeId="0">
      <text>
        <r>
          <rPr>
            <b/>
            <sz val="9"/>
            <color indexed="81"/>
            <rFont val="Tahoma"/>
            <family val="2"/>
          </rPr>
          <t>Author:</t>
        </r>
        <r>
          <rPr>
            <sz val="9"/>
            <color indexed="81"/>
            <rFont val="Tahoma"/>
            <family val="2"/>
          </rPr>
          <t xml:space="preserve">
It has been assumed that some modification to existing water treatment system will be needed to accommodate capacity for multiple turbines.
</t>
        </r>
      </text>
    </comment>
    <comment ref="E52" authorId="0" shapeId="0">
      <text>
        <r>
          <rPr>
            <b/>
            <sz val="9"/>
            <color indexed="81"/>
            <rFont val="Tahoma"/>
            <family val="2"/>
          </rPr>
          <t>Author:</t>
        </r>
        <r>
          <rPr>
            <sz val="9"/>
            <color indexed="81"/>
            <rFont val="Tahoma"/>
            <family val="2"/>
          </rPr>
          <t xml:space="preserve">
Based on Table 6-4 of EPA literature: Alternative Control Techniques Document - NOx emissions from stationary gas turbines (EPA-453/R-93-007), where it indicates 33% of TDC.</t>
        </r>
      </text>
    </comment>
    <comment ref="K54" authorId="0" shapeId="0">
      <text>
        <r>
          <rPr>
            <b/>
            <sz val="9"/>
            <color indexed="81"/>
            <rFont val="Tahoma"/>
            <family val="2"/>
          </rPr>
          <t>Author:
It has been assumed that some modification to existing water treatment system will be needed to accommodate capacity for multiple turbines.</t>
        </r>
        <r>
          <rPr>
            <sz val="9"/>
            <color indexed="81"/>
            <rFont val="Tahoma"/>
            <family val="2"/>
          </rPr>
          <t xml:space="preserve">
</t>
        </r>
      </text>
    </comment>
    <comment ref="E59" authorId="0" shapeId="0">
      <text>
        <r>
          <rPr>
            <b/>
            <sz val="9"/>
            <color indexed="81"/>
            <rFont val="Tahoma"/>
            <family val="2"/>
          </rPr>
          <t>Author:</t>
        </r>
        <r>
          <rPr>
            <sz val="9"/>
            <color indexed="81"/>
            <rFont val="Tahoma"/>
            <family val="2"/>
          </rPr>
          <t xml:space="preserve">
Based on OAQPS Control Cost Manual standard contingency estimate.</t>
        </r>
      </text>
    </comment>
  </commentList>
</comments>
</file>

<file path=xl/comments12.xml><?xml version="1.0" encoding="utf-8"?>
<comments xmlns="http://schemas.openxmlformats.org/spreadsheetml/2006/main">
  <authors>
    <author>Author</author>
  </authors>
  <commentList>
    <comment ref="E12" authorId="0" shapeId="0">
      <text>
        <r>
          <rPr>
            <b/>
            <sz val="9"/>
            <color indexed="81"/>
            <rFont val="Tahoma"/>
            <family val="2"/>
          </rPr>
          <t>Author:</t>
        </r>
        <r>
          <rPr>
            <sz val="9"/>
            <color indexed="81"/>
            <rFont val="Tahoma"/>
            <family val="2"/>
          </rPr>
          <t xml:space="preserve">
Water use x 1.29 to account for waste water labor as well. See table 6-5 of EPA literature: Alternative Control Techniques Document - NOx emissions from stationary gas turbines. </t>
        </r>
      </text>
    </comment>
    <comment ref="G12"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 Escalated cost by 5% a year for inflation. 1990 cost = 0.7 $/1000gal, Table 6-5, note g.</t>
        </r>
      </text>
    </comment>
    <comment ref="E15" authorId="0" shapeId="0">
      <text>
        <r>
          <rPr>
            <b/>
            <sz val="9"/>
            <color indexed="81"/>
            <rFont val="Tahoma"/>
            <family val="2"/>
          </rPr>
          <t>Author:</t>
        </r>
        <r>
          <rPr>
            <sz val="9"/>
            <color indexed="81"/>
            <rFont val="Tahoma"/>
            <family val="2"/>
          </rPr>
          <t xml:space="preserve">
used fuel/water ratio for similarly sized GE turbine in EPA literature: Alternative Control Techniques Document - NOx emissions from stationary gas turbines (Table 6-2)</t>
        </r>
      </text>
    </comment>
    <comment ref="G15"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 Escalated cost by 5% a year for inflation. 1990 cost = 0.384 $/1000gal, Table 6-3</t>
        </r>
      </text>
    </comment>
    <comment ref="E16"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 Use water flow of 64.8 gal/min and formula in Table 6-5.</t>
        </r>
      </text>
    </comment>
    <comment ref="G16" authorId="0" shapeId="0">
      <text>
        <r>
          <rPr>
            <b/>
            <sz val="9"/>
            <color indexed="81"/>
            <rFont val="Tahoma"/>
            <family val="2"/>
          </rPr>
          <t>Author:</t>
        </r>
        <r>
          <rPr>
            <sz val="9"/>
            <color indexed="81"/>
            <rFont val="Tahoma"/>
            <family val="2"/>
          </rPr>
          <t xml:space="preserve">
Current rate GVEA charges to industrial users.</t>
        </r>
      </text>
    </comment>
    <comment ref="E17" authorId="0" shapeId="0">
      <text>
        <r>
          <rPr>
            <b/>
            <sz val="9"/>
            <color indexed="81"/>
            <rFont val="Tahoma"/>
            <family val="2"/>
          </rPr>
          <t>Author:</t>
        </r>
        <r>
          <rPr>
            <sz val="9"/>
            <color indexed="81"/>
            <rFont val="Tahoma"/>
            <family val="2"/>
          </rPr>
          <t xml:space="preserve">
Based on 670 MMBtu/hr and fuel HHV of 137 MMBtu/1000 gals. @ 7992 hours per year.</t>
        </r>
      </text>
    </comment>
    <comment ref="E18"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 Use 3.5% of annual fuel use and water/fuel ratio of 0.81 (Table 6-2).</t>
        </r>
      </text>
    </comment>
    <comment ref="G18" authorId="0" shapeId="0">
      <text>
        <r>
          <rPr>
            <b/>
            <sz val="9"/>
            <color indexed="81"/>
            <rFont val="Tahoma"/>
            <family val="2"/>
          </rPr>
          <t>Author:</t>
        </r>
        <r>
          <rPr>
            <sz val="9"/>
            <color indexed="81"/>
            <rFont val="Tahoma"/>
            <family val="2"/>
          </rPr>
          <t xml:space="preserve">
EIA Monthly energy pricing report (Dec 2015).</t>
        </r>
      </text>
    </comment>
    <comment ref="E19"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 Water use plus 30% design factor and 29% waste factor.</t>
        </r>
      </text>
    </comment>
    <comment ref="G19"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 Escalated cost by 5% a year for inflation. 1990 cost = 1.97 $/1000gal, Table 6-3</t>
        </r>
      </text>
    </comment>
    <comment ref="E20"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 29% waste water from treatment capacity.</t>
        </r>
      </text>
    </comment>
    <comment ref="G20"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 Escalated cost by 5% a year for inflation. 1990 cost = 3.82 $/1000gal, Table 6-3</t>
        </r>
      </text>
    </comment>
    <comment ref="E25"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 Assumes 30% of water treatment labor above.</t>
        </r>
      </text>
    </comment>
    <comment ref="E26"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t>
        </r>
      </text>
    </comment>
  </commentList>
</comments>
</file>

<file path=xl/comments13.xml><?xml version="1.0" encoding="utf-8"?>
<comments xmlns="http://schemas.openxmlformats.org/spreadsheetml/2006/main">
  <authors>
    <author>Author</author>
  </authors>
  <commentList>
    <comment ref="G13" authorId="0" shapeId="0">
      <text>
        <r>
          <rPr>
            <b/>
            <sz val="9"/>
            <color indexed="81"/>
            <rFont val="Tahoma"/>
            <family val="2"/>
          </rPr>
          <t>Author:</t>
        </r>
        <r>
          <rPr>
            <sz val="9"/>
            <color indexed="81"/>
            <rFont val="Tahoma"/>
            <family val="2"/>
          </rPr>
          <t xml:space="preserve">
Vendor quote</t>
        </r>
      </text>
    </comment>
    <comment ref="E20" authorId="0" shapeId="0">
      <text>
        <r>
          <rPr>
            <b/>
            <sz val="9"/>
            <color indexed="81"/>
            <rFont val="Tahoma"/>
            <family val="2"/>
          </rPr>
          <t>Author:</t>
        </r>
        <r>
          <rPr>
            <sz val="9"/>
            <color indexed="81"/>
            <rFont val="Tahoma"/>
            <family val="2"/>
          </rPr>
          <t xml:space="preserve">
Based on similar BACT analysis for SCR installation on CTs</t>
        </r>
      </text>
    </comment>
    <comment ref="E23" authorId="0" shapeId="0">
      <text>
        <r>
          <rPr>
            <b/>
            <sz val="9"/>
            <color indexed="81"/>
            <rFont val="Tahoma"/>
            <family val="2"/>
          </rPr>
          <t>Author:</t>
        </r>
        <r>
          <rPr>
            <sz val="9"/>
            <color indexed="81"/>
            <rFont val="Tahoma"/>
            <family val="2"/>
          </rPr>
          <t xml:space="preserve">
Hours based on similar project</t>
        </r>
      </text>
    </comment>
    <comment ref="E24" authorId="0" shapeId="0">
      <text>
        <r>
          <rPr>
            <b/>
            <sz val="9"/>
            <color indexed="81"/>
            <rFont val="Tahoma"/>
            <family val="2"/>
          </rPr>
          <t>Author:</t>
        </r>
        <r>
          <rPr>
            <sz val="9"/>
            <color indexed="81"/>
            <rFont val="Tahoma"/>
            <family val="2"/>
          </rPr>
          <t xml:space="preserve">
Hours based on similar project</t>
        </r>
      </text>
    </comment>
    <comment ref="E27" authorId="0" shapeId="0">
      <text>
        <r>
          <rPr>
            <b/>
            <sz val="9"/>
            <color indexed="81"/>
            <rFont val="Tahoma"/>
            <family val="2"/>
          </rPr>
          <t>Author:</t>
        </r>
        <r>
          <rPr>
            <sz val="9"/>
            <color indexed="81"/>
            <rFont val="Tahoma"/>
            <family val="2"/>
          </rPr>
          <t xml:space="preserve">
Cost of startup spares indicated as a percentage of equipment cost per data from other project.</t>
        </r>
      </text>
    </comment>
    <comment ref="E30" authorId="0" shapeId="0">
      <text>
        <r>
          <rPr>
            <b/>
            <sz val="9"/>
            <color indexed="81"/>
            <rFont val="Tahoma"/>
            <family val="2"/>
          </rPr>
          <t>Author:</t>
        </r>
        <r>
          <rPr>
            <sz val="9"/>
            <color indexed="81"/>
            <rFont val="Tahoma"/>
            <family val="2"/>
          </rPr>
          <t xml:space="preserve">
days based on similar project</t>
        </r>
      </text>
    </comment>
    <comment ref="E31" authorId="0" shapeId="0">
      <text>
        <r>
          <rPr>
            <b/>
            <sz val="9"/>
            <color indexed="81"/>
            <rFont val="Tahoma"/>
            <family val="2"/>
          </rPr>
          <t>Author:</t>
        </r>
        <r>
          <rPr>
            <sz val="9"/>
            <color indexed="81"/>
            <rFont val="Tahoma"/>
            <family val="2"/>
          </rPr>
          <t xml:space="preserve">
days based on similar project</t>
        </r>
      </text>
    </comment>
    <comment ref="K47" authorId="0" shapeId="0">
      <text>
        <r>
          <rPr>
            <b/>
            <sz val="9"/>
            <color indexed="81"/>
            <rFont val="Tahoma"/>
            <family val="2"/>
          </rPr>
          <t>Author:</t>
        </r>
        <r>
          <rPr>
            <sz val="9"/>
            <color indexed="81"/>
            <rFont val="Tahoma"/>
            <family val="2"/>
          </rPr>
          <t xml:space="preserve">
Assume installation of SCR requires 1 x the SCR equipment capital because SCR duct work already exists.</t>
        </r>
      </text>
    </comment>
    <comment ref="E54" authorId="0" shapeId="0">
      <text>
        <r>
          <rPr>
            <b/>
            <sz val="9"/>
            <color indexed="81"/>
            <rFont val="Tahoma"/>
            <family val="2"/>
          </rPr>
          <t>Author:</t>
        </r>
        <r>
          <rPr>
            <sz val="9"/>
            <color indexed="81"/>
            <rFont val="Tahoma"/>
            <family val="2"/>
          </rPr>
          <t xml:space="preserve">
18% was used in similar project for smaller CTs.</t>
        </r>
      </text>
    </comment>
    <comment ref="E61" authorId="0" shapeId="0">
      <text>
        <r>
          <rPr>
            <b/>
            <sz val="9"/>
            <color indexed="81"/>
            <rFont val="Tahoma"/>
            <family val="2"/>
          </rPr>
          <t>Author:</t>
        </r>
        <r>
          <rPr>
            <sz val="9"/>
            <color indexed="81"/>
            <rFont val="Tahoma"/>
            <family val="2"/>
          </rPr>
          <t xml:space="preserve">
Based on OAQPS Control Cost Manual standard contingency estimate.</t>
        </r>
      </text>
    </comment>
  </commentList>
</comments>
</file>

<file path=xl/comments14.xml><?xml version="1.0" encoding="utf-8"?>
<comments xmlns="http://schemas.openxmlformats.org/spreadsheetml/2006/main">
  <authors>
    <author>Author</author>
  </authors>
  <commentList>
    <comment ref="E10" authorId="0" shapeId="0">
      <text>
        <r>
          <rPr>
            <b/>
            <sz val="9"/>
            <color indexed="81"/>
            <rFont val="Tahoma"/>
            <family val="2"/>
          </rPr>
          <t>Author:</t>
        </r>
        <r>
          <rPr>
            <sz val="9"/>
            <color indexed="81"/>
            <rFont val="Tahoma"/>
            <family val="2"/>
          </rPr>
          <t xml:space="preserve">
Have historically used 2 hours per day for operating.</t>
        </r>
      </text>
    </comment>
    <comment ref="G10" authorId="0" shapeId="0">
      <text>
        <r>
          <rPr>
            <b/>
            <sz val="9"/>
            <color indexed="81"/>
            <rFont val="Tahoma"/>
            <family val="2"/>
          </rPr>
          <t>Author:</t>
        </r>
        <r>
          <rPr>
            <sz val="9"/>
            <color indexed="81"/>
            <rFont val="Tahoma"/>
            <family val="2"/>
          </rPr>
          <t xml:space="preserve">
Labor cost from similar project</t>
        </r>
      </text>
    </comment>
    <comment ref="E11" authorId="0" shapeId="0">
      <text>
        <r>
          <rPr>
            <b/>
            <sz val="9"/>
            <color indexed="81"/>
            <rFont val="Tahoma"/>
            <family val="2"/>
          </rPr>
          <t>Author:</t>
        </r>
        <r>
          <rPr>
            <sz val="9"/>
            <color indexed="81"/>
            <rFont val="Tahoma"/>
            <family val="2"/>
          </rPr>
          <t xml:space="preserve">
Assumed to be half of maintenance labor.</t>
        </r>
      </text>
    </comment>
    <comment ref="G11" authorId="0" shapeId="0">
      <text>
        <r>
          <rPr>
            <b/>
            <sz val="9"/>
            <color indexed="81"/>
            <rFont val="Tahoma"/>
            <family val="2"/>
          </rPr>
          <t>Author:</t>
        </r>
        <r>
          <rPr>
            <sz val="9"/>
            <color indexed="81"/>
            <rFont val="Tahoma"/>
            <family val="2"/>
          </rPr>
          <t xml:space="preserve">
Labor cost from similar project</t>
        </r>
      </text>
    </comment>
    <comment ref="E12" authorId="0" shapeId="0">
      <text>
        <r>
          <rPr>
            <b/>
            <sz val="9"/>
            <color indexed="81"/>
            <rFont val="Tahoma"/>
            <family val="2"/>
          </rPr>
          <t>Author:</t>
        </r>
        <r>
          <rPr>
            <sz val="9"/>
            <color indexed="81"/>
            <rFont val="Tahoma"/>
            <family val="2"/>
          </rPr>
          <t xml:space="preserve">
Have historically used 1 hours per day for maintenance</t>
        </r>
      </text>
    </comment>
    <comment ref="G12" authorId="0" shapeId="0">
      <text>
        <r>
          <rPr>
            <b/>
            <sz val="9"/>
            <color indexed="81"/>
            <rFont val="Tahoma"/>
            <family val="2"/>
          </rPr>
          <t>Author:</t>
        </r>
        <r>
          <rPr>
            <sz val="9"/>
            <color indexed="81"/>
            <rFont val="Tahoma"/>
            <family val="2"/>
          </rPr>
          <t xml:space="preserve">
Labor cost from similar project</t>
        </r>
      </text>
    </comment>
    <comment ref="E15" authorId="0" shapeId="0">
      <text>
        <r>
          <rPr>
            <b/>
            <sz val="9"/>
            <color indexed="81"/>
            <rFont val="Tahoma"/>
            <family val="2"/>
          </rPr>
          <t>Author:</t>
        </r>
        <r>
          <rPr>
            <sz val="9"/>
            <color indexed="81"/>
            <rFont val="Tahoma"/>
            <family val="2"/>
          </rPr>
          <t xml:space="preserve">
50% urea solution and 2.2 moles needed per ton NOx controlled.</t>
        </r>
      </text>
    </comment>
    <comment ref="G15" authorId="0" shapeId="0">
      <text>
        <r>
          <rPr>
            <b/>
            <sz val="9"/>
            <color indexed="81"/>
            <rFont val="Tahoma"/>
            <family val="2"/>
          </rPr>
          <t>Author:</t>
        </r>
        <r>
          <rPr>
            <sz val="9"/>
            <color indexed="81"/>
            <rFont val="Tahoma"/>
            <family val="2"/>
          </rPr>
          <t xml:space="preserve">
December 2015 price according to Farmer's Coop Association. </t>
        </r>
      </text>
    </comment>
    <comment ref="E18" authorId="0" shapeId="0">
      <text>
        <r>
          <rPr>
            <b/>
            <sz val="9"/>
            <color indexed="81"/>
            <rFont val="Tahoma"/>
            <family val="2"/>
          </rPr>
          <t>Author:</t>
        </r>
        <r>
          <rPr>
            <sz val="9"/>
            <color indexed="81"/>
            <rFont val="Tahoma"/>
            <family val="2"/>
          </rPr>
          <t xml:space="preserve">
Miratech indicated that catalyst makes up 30% of the SCR system cost</t>
        </r>
      </text>
    </comment>
    <comment ref="E19" authorId="0" shapeId="0">
      <text>
        <r>
          <rPr>
            <b/>
            <sz val="9"/>
            <color indexed="81"/>
            <rFont val="Tahoma"/>
            <family val="2"/>
          </rPr>
          <t>Author:</t>
        </r>
        <r>
          <rPr>
            <sz val="9"/>
            <color indexed="81"/>
            <rFont val="Tahoma"/>
            <family val="2"/>
          </rPr>
          <t xml:space="preserve">
Replacement labor from similar project</t>
        </r>
      </text>
    </comment>
    <comment ref="E29" authorId="0" shapeId="0">
      <text>
        <r>
          <rPr>
            <b/>
            <sz val="9"/>
            <color indexed="81"/>
            <rFont val="Tahoma"/>
            <family val="2"/>
          </rPr>
          <t>Author:</t>
        </r>
        <r>
          <rPr>
            <sz val="9"/>
            <color indexed="81"/>
            <rFont val="Tahoma"/>
            <family val="2"/>
          </rPr>
          <t xml:space="preserve">
Percentage of total capital investment</t>
        </r>
      </text>
    </comment>
    <comment ref="E47" authorId="0" shapeId="0">
      <text>
        <r>
          <rPr>
            <b/>
            <sz val="9"/>
            <color indexed="81"/>
            <rFont val="Tahoma"/>
            <family val="2"/>
          </rPr>
          <t>Author:</t>
        </r>
        <r>
          <rPr>
            <sz val="9"/>
            <color indexed="81"/>
            <rFont val="Tahoma"/>
            <family val="2"/>
          </rPr>
          <t xml:space="preserve">
Common time frame</t>
        </r>
      </text>
    </comment>
  </commentList>
</comments>
</file>

<file path=xl/comments15.xml><?xml version="1.0" encoding="utf-8"?>
<comments xmlns="http://schemas.openxmlformats.org/spreadsheetml/2006/main">
  <authors>
    <author>Author</author>
  </authors>
  <commentList>
    <comment ref="K49" authorId="0" shapeId="0">
      <text>
        <r>
          <rPr>
            <b/>
            <sz val="9"/>
            <color indexed="81"/>
            <rFont val="Tahoma"/>
            <family val="2"/>
          </rPr>
          <t>Author:</t>
        </r>
        <r>
          <rPr>
            <sz val="9"/>
            <color indexed="81"/>
            <rFont val="Tahoma"/>
            <family val="2"/>
          </rPr>
          <t xml:space="preserve">
Miratech (vendor) quote</t>
        </r>
      </text>
    </comment>
  </commentList>
</comments>
</file>

<file path=xl/comments16.xml><?xml version="1.0" encoding="utf-8"?>
<comments xmlns="http://schemas.openxmlformats.org/spreadsheetml/2006/main">
  <authors>
    <author>Author</author>
  </authors>
  <commentList>
    <comment ref="G13" authorId="0" shapeId="0">
      <text>
        <r>
          <rPr>
            <b/>
            <sz val="9"/>
            <color indexed="81"/>
            <rFont val="Tahoma"/>
            <family val="2"/>
          </rPr>
          <t>Author:</t>
        </r>
        <r>
          <rPr>
            <sz val="9"/>
            <color indexed="81"/>
            <rFont val="Tahoma"/>
            <family val="2"/>
          </rPr>
          <t xml:space="preserve">
Supplier (Proctor Sales) email dated 2/1/16:  cost for RS Low NOx burner = $21,500, capable of 30 ppm NOx
</t>
        </r>
      </text>
    </comment>
    <comment ref="K31" authorId="0" shapeId="0">
      <text>
        <r>
          <rPr>
            <b/>
            <sz val="9"/>
            <color indexed="81"/>
            <rFont val="Tahoma"/>
            <family val="2"/>
          </rPr>
          <t>Author:</t>
        </r>
        <r>
          <rPr>
            <sz val="9"/>
            <color indexed="81"/>
            <rFont val="Tahoma"/>
            <family val="2"/>
          </rPr>
          <t xml:space="preserve">
Supplier (Proctor Sales) email dated 11/5/2015:  cost for install is $15K.</t>
        </r>
      </text>
    </comment>
    <comment ref="E45" authorId="0" shapeId="0">
      <text>
        <r>
          <rPr>
            <b/>
            <sz val="9"/>
            <color indexed="81"/>
            <rFont val="Tahoma"/>
            <family val="2"/>
          </rPr>
          <t>Author:</t>
        </r>
        <r>
          <rPr>
            <sz val="9"/>
            <color indexed="81"/>
            <rFont val="Tahoma"/>
            <family val="2"/>
          </rPr>
          <t xml:space="preserve">
Even though EPA allows for 30%, 10% is considered a conservative estimate based on lower risk for a LNB installation.</t>
        </r>
      </text>
    </comment>
  </commentList>
</comments>
</file>

<file path=xl/comments2.xml><?xml version="1.0" encoding="utf-8"?>
<comments xmlns="http://schemas.openxmlformats.org/spreadsheetml/2006/main">
  <authors>
    <author>Author</author>
  </authors>
  <commentList>
    <comment ref="E10" authorId="0" shapeId="0">
      <text>
        <r>
          <rPr>
            <b/>
            <sz val="9"/>
            <color indexed="81"/>
            <rFont val="Tahoma"/>
            <family val="2"/>
          </rPr>
          <t>Author:</t>
        </r>
        <r>
          <rPr>
            <sz val="9"/>
            <color indexed="81"/>
            <rFont val="Tahoma"/>
            <family val="2"/>
          </rPr>
          <t xml:space="preserve">
Have historically used 2 hours per day for operating.</t>
        </r>
      </text>
    </comment>
    <comment ref="G10" authorId="0" shapeId="0">
      <text>
        <r>
          <rPr>
            <b/>
            <sz val="9"/>
            <color indexed="81"/>
            <rFont val="Tahoma"/>
            <family val="2"/>
          </rPr>
          <t>Author:</t>
        </r>
        <r>
          <rPr>
            <sz val="9"/>
            <color indexed="81"/>
            <rFont val="Tahoma"/>
            <family val="2"/>
          </rPr>
          <t xml:space="preserve">
Labor cost from similar project.</t>
        </r>
      </text>
    </comment>
    <comment ref="E11" authorId="0" shapeId="0">
      <text>
        <r>
          <rPr>
            <b/>
            <sz val="9"/>
            <color indexed="81"/>
            <rFont val="Tahoma"/>
            <family val="2"/>
          </rPr>
          <t>Author:</t>
        </r>
        <r>
          <rPr>
            <sz val="9"/>
            <color indexed="81"/>
            <rFont val="Tahoma"/>
            <family val="2"/>
          </rPr>
          <t xml:space="preserve">
Assumed to be half of maintenance labor.</t>
        </r>
      </text>
    </comment>
    <comment ref="G11" authorId="0" shapeId="0">
      <text>
        <r>
          <rPr>
            <b/>
            <sz val="9"/>
            <color indexed="81"/>
            <rFont val="Tahoma"/>
            <family val="2"/>
          </rPr>
          <t>Author:</t>
        </r>
        <r>
          <rPr>
            <sz val="9"/>
            <color indexed="81"/>
            <rFont val="Tahoma"/>
            <family val="2"/>
          </rPr>
          <t xml:space="preserve">
Labor cost from similar project.</t>
        </r>
      </text>
    </comment>
    <comment ref="E12" authorId="0" shapeId="0">
      <text>
        <r>
          <rPr>
            <b/>
            <sz val="9"/>
            <color indexed="81"/>
            <rFont val="Tahoma"/>
            <family val="2"/>
          </rPr>
          <t>Author:</t>
        </r>
        <r>
          <rPr>
            <sz val="9"/>
            <color indexed="81"/>
            <rFont val="Tahoma"/>
            <family val="2"/>
          </rPr>
          <t xml:space="preserve">
Water use x 1.29 to account for waste water labor as well. See table 6-5 of EPA literature: Alternative Control Techniques Document - NOx emissions from stationary gas turbines. </t>
        </r>
      </text>
    </comment>
    <comment ref="G12"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 Escalated cost by 5% a year for inflation. 1990 cost = 0.7 $/1000gal, Table 6-5, note g.</t>
        </r>
      </text>
    </comment>
    <comment ref="E13" authorId="0" shapeId="0">
      <text>
        <r>
          <rPr>
            <b/>
            <sz val="9"/>
            <color indexed="81"/>
            <rFont val="Tahoma"/>
            <family val="2"/>
          </rPr>
          <t>Author:</t>
        </r>
        <r>
          <rPr>
            <sz val="9"/>
            <color indexed="81"/>
            <rFont val="Tahoma"/>
            <family val="2"/>
          </rPr>
          <t xml:space="preserve">
Have historically used 1 hours per day for maintenance</t>
        </r>
      </text>
    </comment>
    <comment ref="G13" authorId="0" shapeId="0">
      <text>
        <r>
          <rPr>
            <b/>
            <sz val="9"/>
            <color indexed="81"/>
            <rFont val="Tahoma"/>
            <family val="2"/>
          </rPr>
          <t>Author:</t>
        </r>
        <r>
          <rPr>
            <sz val="9"/>
            <color indexed="81"/>
            <rFont val="Tahoma"/>
            <family val="2"/>
          </rPr>
          <t xml:space="preserve">
Labor cost from similar project.</t>
        </r>
      </text>
    </comment>
    <comment ref="E16" authorId="0" shapeId="0">
      <text>
        <r>
          <rPr>
            <b/>
            <sz val="9"/>
            <color indexed="81"/>
            <rFont val="Tahoma"/>
            <family val="2"/>
          </rPr>
          <t>Author:</t>
        </r>
        <r>
          <rPr>
            <sz val="9"/>
            <color indexed="81"/>
            <rFont val="Tahoma"/>
            <family val="2"/>
          </rPr>
          <t xml:space="preserve">
used lb water/lb fuel ratio for similarly sized GE turbine in EPA literature: Alternative Control Techniques Document - NOx emissions from stationary gas turbines (Table 6-2)</t>
        </r>
      </text>
    </comment>
    <comment ref="G16"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 Escalated cost by 5% a year for inflation. 1990 cost = 0.384 $/1000gal, Table 6-3</t>
        </r>
      </text>
    </comment>
    <comment ref="E17"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 Use water flow of 64.8 gal/min and formula in Table 6-5.</t>
        </r>
      </text>
    </comment>
    <comment ref="G17" authorId="0" shapeId="0">
      <text>
        <r>
          <rPr>
            <b/>
            <sz val="9"/>
            <color indexed="81"/>
            <rFont val="Tahoma"/>
            <family val="2"/>
          </rPr>
          <t>Author:</t>
        </r>
        <r>
          <rPr>
            <sz val="9"/>
            <color indexed="81"/>
            <rFont val="Tahoma"/>
            <family val="2"/>
          </rPr>
          <t xml:space="preserve">
Current rate GVEA charges to industrial users.</t>
        </r>
      </text>
    </comment>
    <comment ref="E18" authorId="0" shapeId="0">
      <text>
        <r>
          <rPr>
            <b/>
            <sz val="9"/>
            <color indexed="81"/>
            <rFont val="Tahoma"/>
            <family val="2"/>
          </rPr>
          <t>Author:</t>
        </r>
        <r>
          <rPr>
            <sz val="9"/>
            <color indexed="81"/>
            <rFont val="Tahoma"/>
            <family val="2"/>
          </rPr>
          <t xml:space="preserve">
Based on 670 MMBtu/hr and fuel HHV of 137 MMBtu/1000 gals. @ 7992 hours per year.</t>
        </r>
      </text>
    </comment>
    <comment ref="E19"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 Use 3.5% of annual fuel use and water/fuel ratio of 0.81 (Table 6-2).</t>
        </r>
      </text>
    </comment>
    <comment ref="G19" authorId="0" shapeId="0">
      <text>
        <r>
          <rPr>
            <b/>
            <sz val="9"/>
            <color indexed="81"/>
            <rFont val="Tahoma"/>
            <family val="2"/>
          </rPr>
          <t>Author:</t>
        </r>
        <r>
          <rPr>
            <sz val="9"/>
            <color indexed="81"/>
            <rFont val="Tahoma"/>
            <family val="2"/>
          </rPr>
          <t xml:space="preserve">
EIA Monthly energy pricing report (Dec 2015).</t>
        </r>
      </text>
    </comment>
    <comment ref="E20"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 Water use plus 30% design factor and 29% waste factor.</t>
        </r>
      </text>
    </comment>
    <comment ref="G20"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 Escalated cost by 5% a year for inflation. 1990 cost = 1.97 $/1000gal, Table 6-3</t>
        </r>
      </text>
    </comment>
    <comment ref="E21"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 29% waste water from treatment capacity.</t>
        </r>
      </text>
    </comment>
    <comment ref="G21"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 Escalated cost by 5% a year for inflation. 1990 cost = 3.82 $/1000gal, Table 6-3</t>
        </r>
      </text>
    </comment>
    <comment ref="E22" authorId="0" shapeId="0">
      <text>
        <r>
          <rPr>
            <b/>
            <sz val="9"/>
            <color indexed="81"/>
            <rFont val="Tahoma"/>
            <family val="2"/>
          </rPr>
          <t>Author:</t>
        </r>
        <r>
          <rPr>
            <sz val="9"/>
            <color indexed="81"/>
            <rFont val="Tahoma"/>
            <family val="2"/>
          </rPr>
          <t xml:space="preserve">
Based on SCR controlling emissions up to 1440 tons/yr NOx after water injection, which controls up to 1232 tons/yr based on a 77% CE. 2.2 moles urea to control 1 ton NOx, 50% urea solution.</t>
        </r>
      </text>
    </comment>
    <comment ref="G22" authorId="0" shapeId="0">
      <text>
        <r>
          <rPr>
            <b/>
            <sz val="9"/>
            <color indexed="81"/>
            <rFont val="Tahoma"/>
            <family val="2"/>
          </rPr>
          <t>Author:</t>
        </r>
        <r>
          <rPr>
            <sz val="9"/>
            <color indexed="81"/>
            <rFont val="Tahoma"/>
            <family val="2"/>
          </rPr>
          <t xml:space="preserve">
December 2015 price according to Farmer's Coop Association. </t>
        </r>
      </text>
    </comment>
    <comment ref="E26" authorId="0" shapeId="0">
      <text>
        <r>
          <rPr>
            <b/>
            <sz val="9"/>
            <color indexed="81"/>
            <rFont val="Tahoma"/>
            <family val="2"/>
          </rPr>
          <t>Author:</t>
        </r>
        <r>
          <rPr>
            <sz val="9"/>
            <color indexed="81"/>
            <rFont val="Tahoma"/>
            <family val="2"/>
          </rPr>
          <t xml:space="preserve">
Miratech indicated that catalyst makes up 30% of the SCR system cost</t>
        </r>
      </text>
    </comment>
    <comment ref="E27" authorId="0" shapeId="0">
      <text>
        <r>
          <rPr>
            <b/>
            <sz val="9"/>
            <color indexed="81"/>
            <rFont val="Tahoma"/>
            <family val="2"/>
          </rPr>
          <t>Author:</t>
        </r>
        <r>
          <rPr>
            <sz val="9"/>
            <color indexed="81"/>
            <rFont val="Tahoma"/>
            <family val="2"/>
          </rPr>
          <t xml:space="preserve">
Replacement labor data from similar project.</t>
        </r>
      </text>
    </comment>
    <comment ref="G27" authorId="0" shapeId="0">
      <text>
        <r>
          <rPr>
            <b/>
            <sz val="9"/>
            <color indexed="81"/>
            <rFont val="Tahoma"/>
            <family val="2"/>
          </rPr>
          <t>Author:</t>
        </r>
        <r>
          <rPr>
            <sz val="9"/>
            <color indexed="81"/>
            <rFont val="Tahoma"/>
            <family val="2"/>
          </rPr>
          <t xml:space="preserve">
Labor cost from similar project.</t>
        </r>
      </text>
    </comment>
    <comment ref="E28" authorId="0" shapeId="0">
      <text>
        <r>
          <rPr>
            <b/>
            <sz val="9"/>
            <color indexed="81"/>
            <rFont val="Tahoma"/>
            <family val="2"/>
          </rPr>
          <t>Author:</t>
        </r>
        <r>
          <rPr>
            <sz val="9"/>
            <color indexed="81"/>
            <rFont val="Tahoma"/>
            <family val="2"/>
          </rPr>
          <t xml:space="preserve">
From similar project.</t>
        </r>
      </text>
    </comment>
    <comment ref="E29" authorId="0" shapeId="0">
      <text>
        <r>
          <rPr>
            <b/>
            <sz val="9"/>
            <color indexed="81"/>
            <rFont val="Tahoma"/>
            <family val="2"/>
          </rPr>
          <t>Author:</t>
        </r>
        <r>
          <rPr>
            <sz val="9"/>
            <color indexed="81"/>
            <rFont val="Tahoma"/>
            <family val="2"/>
          </rPr>
          <t xml:space="preserve">
From similar project.</t>
        </r>
      </text>
    </comment>
    <comment ref="E36"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 Assumes 30% of water treatment labor above.</t>
        </r>
      </text>
    </comment>
    <comment ref="E37"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t>
        </r>
      </text>
    </comment>
    <comment ref="E55" authorId="0" shapeId="0">
      <text>
        <r>
          <rPr>
            <b/>
            <sz val="9"/>
            <color indexed="81"/>
            <rFont val="Tahoma"/>
            <family val="2"/>
          </rPr>
          <t>Author:</t>
        </r>
        <r>
          <rPr>
            <sz val="9"/>
            <color indexed="81"/>
            <rFont val="Tahoma"/>
            <family val="2"/>
          </rPr>
          <t xml:space="preserve">
Common time frame
</t>
        </r>
      </text>
    </comment>
  </commentList>
</comments>
</file>

<file path=xl/comments3.xml><?xml version="1.0" encoding="utf-8"?>
<comments xmlns="http://schemas.openxmlformats.org/spreadsheetml/2006/main">
  <authors>
    <author>Author</author>
  </authors>
  <commentList>
    <comment ref="G13" authorId="0" shapeId="0">
      <text>
        <r>
          <rPr>
            <b/>
            <sz val="9"/>
            <color indexed="81"/>
            <rFont val="Tahoma"/>
            <family val="2"/>
          </rPr>
          <t>Author:</t>
        </r>
        <r>
          <rPr>
            <sz val="9"/>
            <color indexed="81"/>
            <rFont val="Tahoma"/>
            <family val="2"/>
          </rPr>
          <t xml:space="preserve">
GE quote</t>
        </r>
      </text>
    </comment>
    <comment ref="G14" authorId="0" shapeId="0">
      <text>
        <r>
          <rPr>
            <b/>
            <sz val="9"/>
            <color indexed="81"/>
            <rFont val="Tahoma"/>
            <family val="2"/>
          </rPr>
          <t>Author:</t>
        </r>
        <r>
          <rPr>
            <sz val="9"/>
            <color indexed="81"/>
            <rFont val="Tahoma"/>
            <family val="2"/>
          </rPr>
          <t xml:space="preserve">
Vendor quote</t>
        </r>
      </text>
    </comment>
    <comment ref="E28" authorId="0" shapeId="0">
      <text>
        <r>
          <rPr>
            <b/>
            <sz val="9"/>
            <color indexed="81"/>
            <rFont val="Tahoma"/>
            <family val="2"/>
          </rPr>
          <t>Author:</t>
        </r>
        <r>
          <rPr>
            <sz val="9"/>
            <color indexed="81"/>
            <rFont val="Tahoma"/>
            <family val="2"/>
          </rPr>
          <t xml:space="preserve">
Cost of startup spares indicated as a percentage of equipment cost per data from similar project.</t>
        </r>
      </text>
    </comment>
    <comment ref="E31" authorId="0" shapeId="0">
      <text>
        <r>
          <rPr>
            <b/>
            <sz val="9"/>
            <color indexed="81"/>
            <rFont val="Tahoma"/>
            <family val="2"/>
          </rPr>
          <t>Author:</t>
        </r>
        <r>
          <rPr>
            <sz val="9"/>
            <color indexed="81"/>
            <rFont val="Tahoma"/>
            <family val="2"/>
          </rPr>
          <t xml:space="preserve">
days based on data from similar project</t>
        </r>
      </text>
    </comment>
    <comment ref="E32" authorId="0" shapeId="0">
      <text>
        <r>
          <rPr>
            <b/>
            <sz val="9"/>
            <color indexed="81"/>
            <rFont val="Tahoma"/>
            <family val="2"/>
          </rPr>
          <t>Author:</t>
        </r>
        <r>
          <rPr>
            <sz val="9"/>
            <color indexed="81"/>
            <rFont val="Tahoma"/>
            <family val="2"/>
          </rPr>
          <t xml:space="preserve">
days based on  data from similar project</t>
        </r>
      </text>
    </comment>
    <comment ref="K48" authorId="0" shapeId="0">
      <text>
        <r>
          <rPr>
            <b/>
            <sz val="9"/>
            <color indexed="81"/>
            <rFont val="Tahoma"/>
            <family val="2"/>
          </rPr>
          <t>Author:</t>
        </r>
        <r>
          <rPr>
            <sz val="9"/>
            <color indexed="81"/>
            <rFont val="Tahoma"/>
            <family val="2"/>
          </rPr>
          <t xml:space="preserve">
It has been assumed that some modiification to the existing water treatment system will be needed to accommodate multiple turbines. Assume that SCR installation costs are 2x the SCR equipment costs.</t>
        </r>
      </text>
    </comment>
    <comment ref="E55" authorId="0" shapeId="0">
      <text>
        <r>
          <rPr>
            <b/>
            <sz val="9"/>
            <color indexed="81"/>
            <rFont val="Tahoma"/>
            <family val="2"/>
          </rPr>
          <t>Author:</t>
        </r>
        <r>
          <rPr>
            <sz val="9"/>
            <color indexed="81"/>
            <rFont val="Tahoma"/>
            <family val="2"/>
          </rPr>
          <t xml:space="preserve">
Blended rate based on18% of SCR TDC that was used in similar project and 33%  of water injection TDC based on Table 6-4 of EPA literature: Alternative Control Techniques Document - NOx emissions from stationary gas turbines (EPA-453/R-93-007)</t>
        </r>
      </text>
    </comment>
    <comment ref="E56" authorId="0" shapeId="0">
      <text>
        <r>
          <rPr>
            <b/>
            <sz val="9"/>
            <color indexed="81"/>
            <rFont val="Tahoma"/>
            <family val="2"/>
          </rPr>
          <t>Author:</t>
        </r>
        <r>
          <rPr>
            <sz val="9"/>
            <color indexed="81"/>
            <rFont val="Tahoma"/>
            <family val="2"/>
          </rPr>
          <t xml:space="preserve">
Performance test for SCR system.</t>
        </r>
      </text>
    </comment>
    <comment ref="E62" authorId="0" shapeId="0">
      <text>
        <r>
          <rPr>
            <b/>
            <sz val="9"/>
            <color indexed="81"/>
            <rFont val="Tahoma"/>
            <family val="2"/>
          </rPr>
          <t>Author:</t>
        </r>
        <r>
          <rPr>
            <sz val="9"/>
            <color indexed="81"/>
            <rFont val="Tahoma"/>
            <family val="2"/>
          </rPr>
          <t xml:space="preserve">
Based on OAQPS Control Cost Manual standard contingency estimate.</t>
        </r>
      </text>
    </comment>
  </commentList>
</comments>
</file>

<file path=xl/comments4.xml><?xml version="1.0" encoding="utf-8"?>
<comments xmlns="http://schemas.openxmlformats.org/spreadsheetml/2006/main">
  <authors>
    <author>Author</author>
  </authors>
  <commentList>
    <comment ref="E10" authorId="0" shapeId="0">
      <text>
        <r>
          <rPr>
            <b/>
            <sz val="9"/>
            <color indexed="81"/>
            <rFont val="Tahoma"/>
            <family val="2"/>
          </rPr>
          <t>Author:</t>
        </r>
        <r>
          <rPr>
            <sz val="9"/>
            <color indexed="81"/>
            <rFont val="Tahoma"/>
            <family val="2"/>
          </rPr>
          <t xml:space="preserve">
Have historically used 2 hours per day for operating.</t>
        </r>
      </text>
    </comment>
    <comment ref="G10" authorId="0" shapeId="0">
      <text>
        <r>
          <rPr>
            <b/>
            <sz val="9"/>
            <color indexed="81"/>
            <rFont val="Tahoma"/>
            <family val="2"/>
          </rPr>
          <t>Author:</t>
        </r>
        <r>
          <rPr>
            <sz val="9"/>
            <color indexed="81"/>
            <rFont val="Tahoma"/>
            <family val="2"/>
          </rPr>
          <t xml:space="preserve">
Labor cost from similar project.</t>
        </r>
      </text>
    </comment>
    <comment ref="E11" authorId="0" shapeId="0">
      <text>
        <r>
          <rPr>
            <b/>
            <sz val="9"/>
            <color indexed="81"/>
            <rFont val="Tahoma"/>
            <family val="2"/>
          </rPr>
          <t>Author:</t>
        </r>
        <r>
          <rPr>
            <sz val="9"/>
            <color indexed="81"/>
            <rFont val="Tahoma"/>
            <family val="2"/>
          </rPr>
          <t xml:space="preserve">
Assumed to be half of maintenance labor.</t>
        </r>
      </text>
    </comment>
    <comment ref="G11" authorId="0" shapeId="0">
      <text>
        <r>
          <rPr>
            <b/>
            <sz val="9"/>
            <color indexed="81"/>
            <rFont val="Tahoma"/>
            <family val="2"/>
          </rPr>
          <t>Author:</t>
        </r>
        <r>
          <rPr>
            <sz val="9"/>
            <color indexed="81"/>
            <rFont val="Tahoma"/>
            <family val="2"/>
          </rPr>
          <t xml:space="preserve">
Labor cost from similar project</t>
        </r>
      </text>
    </comment>
    <comment ref="E12" authorId="0" shapeId="0">
      <text>
        <r>
          <rPr>
            <b/>
            <sz val="9"/>
            <color indexed="81"/>
            <rFont val="Tahoma"/>
            <family val="2"/>
          </rPr>
          <t>Author:</t>
        </r>
        <r>
          <rPr>
            <sz val="9"/>
            <color indexed="81"/>
            <rFont val="Tahoma"/>
            <family val="2"/>
          </rPr>
          <t xml:space="preserve">
Water use x 1.29 to account for waste water labor as well. See table 6-5 of EPA literature: Alternative Control Techniques Document - NOx emissions from stationary gas turbines. </t>
        </r>
      </text>
    </comment>
    <comment ref="G12"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 Escalated cost by 5% a year for inflation. 1990 cost = 0.7 $/1000gal, Table 6-5, note g.</t>
        </r>
      </text>
    </comment>
    <comment ref="E13" authorId="0" shapeId="0">
      <text>
        <r>
          <rPr>
            <b/>
            <sz val="9"/>
            <color indexed="81"/>
            <rFont val="Tahoma"/>
            <family val="2"/>
          </rPr>
          <t>Author:</t>
        </r>
        <r>
          <rPr>
            <sz val="9"/>
            <color indexed="81"/>
            <rFont val="Tahoma"/>
            <family val="2"/>
          </rPr>
          <t xml:space="preserve">
Have historically used 1 hours per day for maintenance</t>
        </r>
      </text>
    </comment>
    <comment ref="G13" authorId="0" shapeId="0">
      <text>
        <r>
          <rPr>
            <b/>
            <sz val="9"/>
            <color indexed="81"/>
            <rFont val="Tahoma"/>
            <family val="2"/>
          </rPr>
          <t>Author:</t>
        </r>
        <r>
          <rPr>
            <sz val="9"/>
            <color indexed="81"/>
            <rFont val="Tahoma"/>
            <family val="2"/>
          </rPr>
          <t xml:space="preserve">
Labor cost from similar project</t>
        </r>
      </text>
    </comment>
    <comment ref="E16" authorId="0" shapeId="0">
      <text>
        <r>
          <rPr>
            <b/>
            <sz val="9"/>
            <color indexed="81"/>
            <rFont val="Tahoma"/>
            <family val="2"/>
          </rPr>
          <t>Author:</t>
        </r>
        <r>
          <rPr>
            <sz val="9"/>
            <color indexed="81"/>
            <rFont val="Tahoma"/>
            <family val="2"/>
          </rPr>
          <t xml:space="preserve">
used fuel/water ratio for similarly sized GE turbine in EPA literature: Alternative Control Techniques Document - NOx emissions from stationary gas turbines (Table 6-2)</t>
        </r>
      </text>
    </comment>
    <comment ref="G16"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 Escalated cost by 5% a year for inflation. 1990 cost = 0.384 $/1000gal, Table 6-3</t>
        </r>
      </text>
    </comment>
    <comment ref="E17"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 Use water flow of 64.8 gal/min and formula in Table 6-5.</t>
        </r>
      </text>
    </comment>
    <comment ref="G17" authorId="0" shapeId="0">
      <text>
        <r>
          <rPr>
            <b/>
            <sz val="9"/>
            <color indexed="81"/>
            <rFont val="Tahoma"/>
            <family val="2"/>
          </rPr>
          <t>Author:</t>
        </r>
        <r>
          <rPr>
            <sz val="9"/>
            <color indexed="81"/>
            <rFont val="Tahoma"/>
            <family val="2"/>
          </rPr>
          <t xml:space="preserve">
Current rate GVEA charges to industrial users.</t>
        </r>
      </text>
    </comment>
    <comment ref="E18" authorId="0" shapeId="0">
      <text>
        <r>
          <rPr>
            <b/>
            <sz val="9"/>
            <color indexed="81"/>
            <rFont val="Tahoma"/>
            <family val="2"/>
          </rPr>
          <t>Author:</t>
        </r>
        <r>
          <rPr>
            <sz val="9"/>
            <color indexed="81"/>
            <rFont val="Tahoma"/>
            <family val="2"/>
          </rPr>
          <t xml:space="preserve">
Based on 670 MMBtu/hr and fuel HHV of 137 MMBtu/1000 gals. @ 7992 hours per year.</t>
        </r>
      </text>
    </comment>
    <comment ref="E19"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 Use 3.5% of annual fuel use and water/fuel ratio of 0.81 (Table 6-2).</t>
        </r>
      </text>
    </comment>
    <comment ref="G19" authorId="0" shapeId="0">
      <text>
        <r>
          <rPr>
            <b/>
            <sz val="9"/>
            <color indexed="81"/>
            <rFont val="Tahoma"/>
            <family val="2"/>
          </rPr>
          <t>Author:</t>
        </r>
        <r>
          <rPr>
            <sz val="9"/>
            <color indexed="81"/>
            <rFont val="Tahoma"/>
            <family val="2"/>
          </rPr>
          <t xml:space="preserve">
EIA Monthly energy pricing report (Dec 2015).</t>
        </r>
      </text>
    </comment>
    <comment ref="E20"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 Water use plus 30% design factor and 29% waste factor.</t>
        </r>
      </text>
    </comment>
    <comment ref="G20"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 Escalated cost by 5% a year for inflation. 1990 cost = 1.97 $/1000gal, Table 6-3</t>
        </r>
      </text>
    </comment>
    <comment ref="E21"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 29% waste water from treatment capacity.</t>
        </r>
      </text>
    </comment>
    <comment ref="G21"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 Escalated cost by 5% a year for inflation. 1990 cost = 3.82 $/1000gal, Table 6-3</t>
        </r>
      </text>
    </comment>
    <comment ref="E22" authorId="0" shapeId="0">
      <text>
        <r>
          <rPr>
            <b/>
            <sz val="9"/>
            <color indexed="81"/>
            <rFont val="Tahoma"/>
            <family val="2"/>
          </rPr>
          <t>Author:</t>
        </r>
        <r>
          <rPr>
            <sz val="9"/>
            <color indexed="81"/>
            <rFont val="Tahoma"/>
            <family val="2"/>
          </rPr>
          <t xml:space="preserve">
Based on SCR controlling emissions up to  2126.8 tons/yr NOx after water injection, which controls up to 1819.6 tons/yr based on a 77% CE. 2.2 moles urea to control 1 ton NOx, 50% urea solution.</t>
        </r>
      </text>
    </comment>
    <comment ref="G22" authorId="0" shapeId="0">
      <text>
        <r>
          <rPr>
            <b/>
            <sz val="9"/>
            <color indexed="81"/>
            <rFont val="Tahoma"/>
            <family val="2"/>
          </rPr>
          <t>Author:</t>
        </r>
        <r>
          <rPr>
            <sz val="9"/>
            <color indexed="81"/>
            <rFont val="Tahoma"/>
            <family val="2"/>
          </rPr>
          <t xml:space="preserve">
December 2015 price according to Farmer's Coop Association. </t>
        </r>
      </text>
    </comment>
    <comment ref="E26" authorId="0" shapeId="0">
      <text>
        <r>
          <rPr>
            <b/>
            <sz val="9"/>
            <color indexed="81"/>
            <rFont val="Tahoma"/>
            <family val="2"/>
          </rPr>
          <t>Author:</t>
        </r>
        <r>
          <rPr>
            <sz val="9"/>
            <color indexed="81"/>
            <rFont val="Tahoma"/>
            <family val="2"/>
          </rPr>
          <t xml:space="preserve">
Miratech indicated that catalyst makes up 30% of the SCR system cost</t>
        </r>
      </text>
    </comment>
    <comment ref="E27" authorId="0" shapeId="0">
      <text>
        <r>
          <rPr>
            <b/>
            <sz val="9"/>
            <color indexed="81"/>
            <rFont val="Tahoma"/>
            <family val="2"/>
          </rPr>
          <t>Author:</t>
        </r>
        <r>
          <rPr>
            <sz val="9"/>
            <color indexed="81"/>
            <rFont val="Tahoma"/>
            <family val="2"/>
          </rPr>
          <t xml:space="preserve">
Replacement labor from similar project.</t>
        </r>
      </text>
    </comment>
    <comment ref="G27" authorId="0" shapeId="0">
      <text>
        <r>
          <rPr>
            <b/>
            <sz val="9"/>
            <color indexed="81"/>
            <rFont val="Tahoma"/>
            <family val="2"/>
          </rPr>
          <t>Author:</t>
        </r>
        <r>
          <rPr>
            <sz val="9"/>
            <color indexed="81"/>
            <rFont val="Tahoma"/>
            <family val="2"/>
          </rPr>
          <t xml:space="preserve">
Labor cost from similar project.</t>
        </r>
      </text>
    </comment>
    <comment ref="E28" authorId="0" shapeId="0">
      <text>
        <r>
          <rPr>
            <b/>
            <sz val="9"/>
            <color indexed="81"/>
            <rFont val="Tahoma"/>
            <family val="2"/>
          </rPr>
          <t>Author:</t>
        </r>
        <r>
          <rPr>
            <sz val="9"/>
            <color indexed="81"/>
            <rFont val="Tahoma"/>
            <family val="2"/>
          </rPr>
          <t xml:space="preserve">
From similar project.</t>
        </r>
      </text>
    </comment>
    <comment ref="E29" authorId="0" shapeId="0">
      <text>
        <r>
          <rPr>
            <b/>
            <sz val="9"/>
            <color indexed="81"/>
            <rFont val="Tahoma"/>
            <family val="2"/>
          </rPr>
          <t>Author:</t>
        </r>
        <r>
          <rPr>
            <sz val="9"/>
            <color indexed="81"/>
            <rFont val="Tahoma"/>
            <family val="2"/>
          </rPr>
          <t xml:space="preserve">
From similar project.</t>
        </r>
      </text>
    </comment>
    <comment ref="E36"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 Assumes 30% of water treatment labor above.</t>
        </r>
      </text>
    </comment>
    <comment ref="E37"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t>
        </r>
      </text>
    </comment>
    <comment ref="E55" authorId="0" shapeId="0">
      <text>
        <r>
          <rPr>
            <b/>
            <sz val="9"/>
            <color indexed="81"/>
            <rFont val="Tahoma"/>
            <family val="2"/>
          </rPr>
          <t>Author:</t>
        </r>
        <r>
          <rPr>
            <sz val="9"/>
            <color indexed="81"/>
            <rFont val="Tahoma"/>
            <family val="2"/>
          </rPr>
          <t xml:space="preserve">
Common time frame</t>
        </r>
      </text>
    </comment>
  </commentList>
</comments>
</file>

<file path=xl/comments5.xml><?xml version="1.0" encoding="utf-8"?>
<comments xmlns="http://schemas.openxmlformats.org/spreadsheetml/2006/main">
  <authors>
    <author>Author</author>
  </authors>
  <commentList>
    <comment ref="G13" authorId="0" shapeId="0">
      <text>
        <r>
          <rPr>
            <b/>
            <sz val="9"/>
            <color indexed="81"/>
            <rFont val="Tahoma"/>
            <family val="2"/>
          </rPr>
          <t>Author:</t>
        </r>
        <r>
          <rPr>
            <sz val="9"/>
            <color indexed="81"/>
            <rFont val="Tahoma"/>
            <family val="2"/>
          </rPr>
          <t xml:space="preserve">
Vendor quote</t>
        </r>
      </text>
    </comment>
    <comment ref="E27" authorId="0" shapeId="0">
      <text>
        <r>
          <rPr>
            <b/>
            <sz val="9"/>
            <color indexed="81"/>
            <rFont val="Tahoma"/>
            <family val="2"/>
          </rPr>
          <t>Author:</t>
        </r>
        <r>
          <rPr>
            <sz val="9"/>
            <color indexed="81"/>
            <rFont val="Tahoma"/>
            <family val="2"/>
          </rPr>
          <t xml:space="preserve">
Cost of startup spares indicated as a percentage of equipment cost per data from similar project.</t>
        </r>
      </text>
    </comment>
    <comment ref="E30" authorId="0" shapeId="0">
      <text>
        <r>
          <rPr>
            <b/>
            <sz val="9"/>
            <color indexed="81"/>
            <rFont val="Tahoma"/>
            <family val="2"/>
          </rPr>
          <t>Author:</t>
        </r>
        <r>
          <rPr>
            <sz val="9"/>
            <color indexed="81"/>
            <rFont val="Tahoma"/>
            <family val="2"/>
          </rPr>
          <t xml:space="preserve">
days based on similar project.</t>
        </r>
      </text>
    </comment>
    <comment ref="E31" authorId="0" shapeId="0">
      <text>
        <r>
          <rPr>
            <b/>
            <sz val="9"/>
            <color indexed="81"/>
            <rFont val="Tahoma"/>
            <family val="2"/>
          </rPr>
          <t>Author:</t>
        </r>
        <r>
          <rPr>
            <sz val="9"/>
            <color indexed="81"/>
            <rFont val="Tahoma"/>
            <family val="2"/>
          </rPr>
          <t xml:space="preserve">
days based on similar project.</t>
        </r>
      </text>
    </comment>
    <comment ref="K47" authorId="0" shapeId="0">
      <text>
        <r>
          <rPr>
            <b/>
            <sz val="9"/>
            <color indexed="81"/>
            <rFont val="Tahoma"/>
            <family val="2"/>
          </rPr>
          <t>Author:</t>
        </r>
        <r>
          <rPr>
            <sz val="9"/>
            <color indexed="81"/>
            <rFont val="Tahoma"/>
            <family val="2"/>
          </rPr>
          <t xml:space="preserve">
Assume that SCR installation costs are 2 x the SCR equipment costs.</t>
        </r>
      </text>
    </comment>
    <comment ref="E53" authorId="0" shapeId="0">
      <text>
        <r>
          <rPr>
            <b/>
            <sz val="9"/>
            <color indexed="81"/>
            <rFont val="Tahoma"/>
            <family val="2"/>
          </rPr>
          <t>Author:</t>
        </r>
        <r>
          <rPr>
            <sz val="9"/>
            <color indexed="81"/>
            <rFont val="Tahoma"/>
            <family val="2"/>
          </rPr>
          <t xml:space="preserve">
18% was used in similar project for SCR only.</t>
        </r>
      </text>
    </comment>
    <comment ref="E60" authorId="0" shapeId="0">
      <text>
        <r>
          <rPr>
            <b/>
            <sz val="9"/>
            <color indexed="81"/>
            <rFont val="Tahoma"/>
            <family val="2"/>
          </rPr>
          <t>Author:</t>
        </r>
        <r>
          <rPr>
            <sz val="9"/>
            <color indexed="81"/>
            <rFont val="Tahoma"/>
            <family val="2"/>
          </rPr>
          <t xml:space="preserve">
Based on OAQPS Control Cost Manual standard contingency estimate.</t>
        </r>
      </text>
    </comment>
  </commentList>
</comments>
</file>

<file path=xl/comments6.xml><?xml version="1.0" encoding="utf-8"?>
<comments xmlns="http://schemas.openxmlformats.org/spreadsheetml/2006/main">
  <authors>
    <author>Author</author>
  </authors>
  <commentList>
    <comment ref="E10" authorId="0" shapeId="0">
      <text>
        <r>
          <rPr>
            <b/>
            <sz val="9"/>
            <color indexed="81"/>
            <rFont val="Tahoma"/>
            <family val="2"/>
          </rPr>
          <t>Author:</t>
        </r>
        <r>
          <rPr>
            <sz val="9"/>
            <color indexed="81"/>
            <rFont val="Tahoma"/>
            <family val="2"/>
          </rPr>
          <t xml:space="preserve">
Have historically used 2 hours per day for operating.</t>
        </r>
      </text>
    </comment>
    <comment ref="G10" authorId="0" shapeId="0">
      <text>
        <r>
          <rPr>
            <b/>
            <sz val="9"/>
            <color indexed="81"/>
            <rFont val="Tahoma"/>
            <family val="2"/>
          </rPr>
          <t>Author:</t>
        </r>
        <r>
          <rPr>
            <sz val="9"/>
            <color indexed="81"/>
            <rFont val="Tahoma"/>
            <family val="2"/>
          </rPr>
          <t xml:space="preserve">
Labor cost from similar project.</t>
        </r>
      </text>
    </comment>
    <comment ref="E11" authorId="0" shapeId="0">
      <text>
        <r>
          <rPr>
            <b/>
            <sz val="9"/>
            <color indexed="81"/>
            <rFont val="Tahoma"/>
            <family val="2"/>
          </rPr>
          <t>Author:</t>
        </r>
        <r>
          <rPr>
            <sz val="9"/>
            <color indexed="81"/>
            <rFont val="Tahoma"/>
            <family val="2"/>
          </rPr>
          <t xml:space="preserve">
Assumed to be half of maintenance labor.</t>
        </r>
      </text>
    </comment>
    <comment ref="G11" authorId="0" shapeId="0">
      <text>
        <r>
          <rPr>
            <b/>
            <sz val="9"/>
            <color indexed="81"/>
            <rFont val="Tahoma"/>
            <family val="2"/>
          </rPr>
          <t>Author:</t>
        </r>
        <r>
          <rPr>
            <sz val="9"/>
            <color indexed="81"/>
            <rFont val="Tahoma"/>
            <family val="2"/>
          </rPr>
          <t xml:space="preserve">
Labor cost from similar project.</t>
        </r>
      </text>
    </comment>
    <comment ref="E12" authorId="0" shapeId="0">
      <text>
        <r>
          <rPr>
            <b/>
            <sz val="9"/>
            <color indexed="81"/>
            <rFont val="Tahoma"/>
            <family val="2"/>
          </rPr>
          <t>Author:</t>
        </r>
        <r>
          <rPr>
            <sz val="9"/>
            <color indexed="81"/>
            <rFont val="Tahoma"/>
            <family val="2"/>
          </rPr>
          <t xml:space="preserve">
Have historically used 1 hours per day for maintenance</t>
        </r>
      </text>
    </comment>
    <comment ref="G12" authorId="0" shapeId="0">
      <text>
        <r>
          <rPr>
            <b/>
            <sz val="9"/>
            <color indexed="81"/>
            <rFont val="Tahoma"/>
            <family val="2"/>
          </rPr>
          <t>Author:</t>
        </r>
        <r>
          <rPr>
            <sz val="9"/>
            <color indexed="81"/>
            <rFont val="Tahoma"/>
            <family val="2"/>
          </rPr>
          <t xml:space="preserve">
Labor cost from similar project.</t>
        </r>
      </text>
    </comment>
    <comment ref="E15" authorId="0" shapeId="0">
      <text>
        <r>
          <rPr>
            <b/>
            <sz val="9"/>
            <color indexed="81"/>
            <rFont val="Tahoma"/>
            <family val="2"/>
          </rPr>
          <t>Author:</t>
        </r>
        <r>
          <rPr>
            <sz val="9"/>
            <color indexed="81"/>
            <rFont val="Tahoma"/>
            <family val="2"/>
          </rPr>
          <t xml:space="preserve">
Based on SCR control only.
2.2 moles urea to control 1 ton NOx, 50% urea solution.</t>
        </r>
      </text>
    </comment>
    <comment ref="G15" authorId="0" shapeId="0">
      <text>
        <r>
          <rPr>
            <b/>
            <sz val="9"/>
            <color indexed="81"/>
            <rFont val="Tahoma"/>
            <family val="2"/>
          </rPr>
          <t>Author:</t>
        </r>
        <r>
          <rPr>
            <sz val="9"/>
            <color indexed="81"/>
            <rFont val="Tahoma"/>
            <family val="2"/>
          </rPr>
          <t xml:space="preserve">
December 2015 price according to Farmer's Coop Association. </t>
        </r>
      </text>
    </comment>
    <comment ref="E18" authorId="0" shapeId="0">
      <text>
        <r>
          <rPr>
            <b/>
            <sz val="9"/>
            <color indexed="81"/>
            <rFont val="Tahoma"/>
            <family val="2"/>
          </rPr>
          <t>Author:</t>
        </r>
        <r>
          <rPr>
            <sz val="9"/>
            <color indexed="81"/>
            <rFont val="Tahoma"/>
            <family val="2"/>
          </rPr>
          <t xml:space="preserve">
Miratech indicated that catalyst makes up 30% of the SCR system cost</t>
        </r>
      </text>
    </comment>
    <comment ref="E19" authorId="0" shapeId="0">
      <text>
        <r>
          <rPr>
            <b/>
            <sz val="9"/>
            <color indexed="81"/>
            <rFont val="Tahoma"/>
            <family val="2"/>
          </rPr>
          <t>Author:</t>
        </r>
        <r>
          <rPr>
            <sz val="9"/>
            <color indexed="81"/>
            <rFont val="Tahoma"/>
            <family val="2"/>
          </rPr>
          <t xml:space="preserve">
Replacement labor from similar project.</t>
        </r>
      </text>
    </comment>
    <comment ref="G19" authorId="0" shapeId="0">
      <text>
        <r>
          <rPr>
            <b/>
            <sz val="9"/>
            <color indexed="81"/>
            <rFont val="Tahoma"/>
            <family val="2"/>
          </rPr>
          <t>Author:</t>
        </r>
        <r>
          <rPr>
            <sz val="9"/>
            <color indexed="81"/>
            <rFont val="Tahoma"/>
            <family val="2"/>
          </rPr>
          <t xml:space="preserve">
Labor cost from similar project.</t>
        </r>
      </text>
    </comment>
    <comment ref="E20" authorId="0" shapeId="0">
      <text>
        <r>
          <rPr>
            <b/>
            <sz val="9"/>
            <color indexed="81"/>
            <rFont val="Tahoma"/>
            <family val="2"/>
          </rPr>
          <t>Author:</t>
        </r>
        <r>
          <rPr>
            <sz val="9"/>
            <color indexed="81"/>
            <rFont val="Tahoma"/>
            <family val="2"/>
          </rPr>
          <t xml:space="preserve">
From similar project.</t>
        </r>
      </text>
    </comment>
    <comment ref="E21" authorId="0" shapeId="0">
      <text>
        <r>
          <rPr>
            <b/>
            <sz val="9"/>
            <color indexed="81"/>
            <rFont val="Tahoma"/>
            <family val="2"/>
          </rPr>
          <t>Author:</t>
        </r>
        <r>
          <rPr>
            <sz val="9"/>
            <color indexed="81"/>
            <rFont val="Tahoma"/>
            <family val="2"/>
          </rPr>
          <t xml:space="preserve">
From similar project.</t>
        </r>
      </text>
    </comment>
    <comment ref="E29"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t>
        </r>
      </text>
    </comment>
    <comment ref="E48" authorId="0" shapeId="0">
      <text>
        <r>
          <rPr>
            <b/>
            <sz val="9"/>
            <color indexed="81"/>
            <rFont val="Tahoma"/>
            <family val="2"/>
          </rPr>
          <t>Author:</t>
        </r>
        <r>
          <rPr>
            <sz val="9"/>
            <color indexed="81"/>
            <rFont val="Tahoma"/>
            <family val="2"/>
          </rPr>
          <t xml:space="preserve">
Common time frame</t>
        </r>
      </text>
    </comment>
  </commentList>
</comments>
</file>

<file path=xl/comments7.xml><?xml version="1.0" encoding="utf-8"?>
<comments xmlns="http://schemas.openxmlformats.org/spreadsheetml/2006/main">
  <authors>
    <author>Author</author>
  </authors>
  <commentList>
    <comment ref="G13" authorId="0" shapeId="0">
      <text>
        <r>
          <rPr>
            <b/>
            <sz val="9"/>
            <color indexed="81"/>
            <rFont val="Tahoma"/>
            <family val="2"/>
          </rPr>
          <t>Author:</t>
        </r>
        <r>
          <rPr>
            <sz val="9"/>
            <color indexed="81"/>
            <rFont val="Tahoma"/>
            <family val="2"/>
          </rPr>
          <t xml:space="preserve">
Vendor quote</t>
        </r>
      </text>
    </comment>
    <comment ref="E26" authorId="0" shapeId="0">
      <text>
        <r>
          <rPr>
            <b/>
            <sz val="9"/>
            <color indexed="81"/>
            <rFont val="Tahoma"/>
            <family val="2"/>
          </rPr>
          <t>Author:</t>
        </r>
        <r>
          <rPr>
            <sz val="9"/>
            <color indexed="81"/>
            <rFont val="Tahoma"/>
            <family val="2"/>
          </rPr>
          <t xml:space="preserve">
Cost of startup spares indicated as a percentage of equipment cost per data from similar project.</t>
        </r>
      </text>
    </comment>
    <comment ref="E29" authorId="0" shapeId="0">
      <text>
        <r>
          <rPr>
            <b/>
            <sz val="9"/>
            <color indexed="81"/>
            <rFont val="Tahoma"/>
            <family val="2"/>
          </rPr>
          <t>Author:</t>
        </r>
        <r>
          <rPr>
            <sz val="9"/>
            <color indexed="81"/>
            <rFont val="Tahoma"/>
            <family val="2"/>
          </rPr>
          <t xml:space="preserve">
days based on similar project</t>
        </r>
      </text>
    </comment>
    <comment ref="E30" authorId="0" shapeId="0">
      <text>
        <r>
          <rPr>
            <b/>
            <sz val="9"/>
            <color indexed="81"/>
            <rFont val="Tahoma"/>
            <family val="2"/>
          </rPr>
          <t>Author:</t>
        </r>
        <r>
          <rPr>
            <sz val="9"/>
            <color indexed="81"/>
            <rFont val="Tahoma"/>
            <family val="2"/>
          </rPr>
          <t xml:space="preserve">
days based on similar project</t>
        </r>
      </text>
    </comment>
    <comment ref="K46" authorId="0" shapeId="0">
      <text>
        <r>
          <rPr>
            <b/>
            <sz val="9"/>
            <color indexed="81"/>
            <rFont val="Tahoma"/>
            <family val="2"/>
          </rPr>
          <t>Author:</t>
        </r>
        <r>
          <rPr>
            <sz val="9"/>
            <color indexed="81"/>
            <rFont val="Tahoma"/>
            <family val="2"/>
          </rPr>
          <t xml:space="preserve">
Assume that SCR installation costs are 2 x the SCR equipment costs.</t>
        </r>
      </text>
    </comment>
    <comment ref="E53" authorId="0" shapeId="0">
      <text>
        <r>
          <rPr>
            <b/>
            <sz val="9"/>
            <color indexed="81"/>
            <rFont val="Tahoma"/>
            <family val="2"/>
          </rPr>
          <t>Author:</t>
        </r>
        <r>
          <rPr>
            <sz val="9"/>
            <color indexed="81"/>
            <rFont val="Tahoma"/>
            <family val="2"/>
          </rPr>
          <t xml:space="preserve">
18% was used in similar project for SCR only.</t>
        </r>
      </text>
    </comment>
    <comment ref="E60" authorId="0" shapeId="0">
      <text>
        <r>
          <rPr>
            <b/>
            <sz val="9"/>
            <color indexed="81"/>
            <rFont val="Tahoma"/>
            <family val="2"/>
          </rPr>
          <t>Author:</t>
        </r>
        <r>
          <rPr>
            <sz val="9"/>
            <color indexed="81"/>
            <rFont val="Tahoma"/>
            <family val="2"/>
          </rPr>
          <t xml:space="preserve">
Based on OAQPS Control Cost Manual standard contingency estimate.</t>
        </r>
      </text>
    </comment>
  </commentList>
</comments>
</file>

<file path=xl/comments8.xml><?xml version="1.0" encoding="utf-8"?>
<comments xmlns="http://schemas.openxmlformats.org/spreadsheetml/2006/main">
  <authors>
    <author>Author</author>
  </authors>
  <commentList>
    <comment ref="E10" authorId="0" shapeId="0">
      <text>
        <r>
          <rPr>
            <b/>
            <sz val="9"/>
            <color indexed="81"/>
            <rFont val="Tahoma"/>
            <family val="2"/>
          </rPr>
          <t>Author:</t>
        </r>
        <r>
          <rPr>
            <sz val="9"/>
            <color indexed="81"/>
            <rFont val="Tahoma"/>
            <family val="2"/>
          </rPr>
          <t xml:space="preserve">
Have historically used 2 hours per day for operating.</t>
        </r>
      </text>
    </comment>
    <comment ref="G10" authorId="0" shapeId="0">
      <text>
        <r>
          <rPr>
            <b/>
            <sz val="9"/>
            <color indexed="81"/>
            <rFont val="Tahoma"/>
            <family val="2"/>
          </rPr>
          <t>Author:</t>
        </r>
        <r>
          <rPr>
            <sz val="9"/>
            <color indexed="81"/>
            <rFont val="Tahoma"/>
            <family val="2"/>
          </rPr>
          <t xml:space="preserve">
Labor cost from similar project</t>
        </r>
      </text>
    </comment>
    <comment ref="E11" authorId="0" shapeId="0">
      <text>
        <r>
          <rPr>
            <b/>
            <sz val="9"/>
            <color indexed="81"/>
            <rFont val="Tahoma"/>
            <family val="2"/>
          </rPr>
          <t>Author:</t>
        </r>
        <r>
          <rPr>
            <sz val="9"/>
            <color indexed="81"/>
            <rFont val="Tahoma"/>
            <family val="2"/>
          </rPr>
          <t xml:space="preserve">
Assumed to be half of maintenance labor.</t>
        </r>
      </text>
    </comment>
    <comment ref="G11" authorId="0" shapeId="0">
      <text>
        <r>
          <rPr>
            <b/>
            <sz val="9"/>
            <color indexed="81"/>
            <rFont val="Tahoma"/>
            <family val="2"/>
          </rPr>
          <t>Author:</t>
        </r>
        <r>
          <rPr>
            <sz val="9"/>
            <color indexed="81"/>
            <rFont val="Tahoma"/>
            <family val="2"/>
          </rPr>
          <t xml:space="preserve">
Labor cost from similar project</t>
        </r>
      </text>
    </comment>
    <comment ref="E12" authorId="0" shapeId="0">
      <text>
        <r>
          <rPr>
            <b/>
            <sz val="9"/>
            <color indexed="81"/>
            <rFont val="Tahoma"/>
            <family val="2"/>
          </rPr>
          <t>Author:</t>
        </r>
        <r>
          <rPr>
            <sz val="9"/>
            <color indexed="81"/>
            <rFont val="Tahoma"/>
            <family val="2"/>
          </rPr>
          <t xml:space="preserve">
Have historically used 1 hours per day for maintenance</t>
        </r>
      </text>
    </comment>
    <comment ref="G12" authorId="0" shapeId="0">
      <text>
        <r>
          <rPr>
            <b/>
            <sz val="9"/>
            <color indexed="81"/>
            <rFont val="Tahoma"/>
            <family val="2"/>
          </rPr>
          <t>Author:</t>
        </r>
        <r>
          <rPr>
            <sz val="9"/>
            <color indexed="81"/>
            <rFont val="Tahoma"/>
            <family val="2"/>
          </rPr>
          <t xml:space="preserve">
Labor cost from similar project</t>
        </r>
      </text>
    </comment>
    <comment ref="E15" authorId="0" shapeId="0">
      <text>
        <r>
          <rPr>
            <b/>
            <sz val="9"/>
            <color indexed="81"/>
            <rFont val="Tahoma"/>
            <family val="2"/>
          </rPr>
          <t>Author:</t>
        </r>
        <r>
          <rPr>
            <sz val="9"/>
            <color indexed="81"/>
            <rFont val="Tahoma"/>
            <family val="2"/>
          </rPr>
          <t xml:space="preserve">
Based on SCR control only. 2.2 moles urea to control 1 ton NOx, 50% urea solution.</t>
        </r>
      </text>
    </comment>
    <comment ref="G15" authorId="0" shapeId="0">
      <text>
        <r>
          <rPr>
            <b/>
            <sz val="9"/>
            <color indexed="81"/>
            <rFont val="Tahoma"/>
            <family val="2"/>
          </rPr>
          <t>Author:</t>
        </r>
        <r>
          <rPr>
            <sz val="9"/>
            <color indexed="81"/>
            <rFont val="Tahoma"/>
            <family val="2"/>
          </rPr>
          <t xml:space="preserve">
December 2015 price according to Farmer's Coop Association. </t>
        </r>
      </text>
    </comment>
    <comment ref="E18" authorId="0" shapeId="0">
      <text>
        <r>
          <rPr>
            <b/>
            <sz val="9"/>
            <color indexed="81"/>
            <rFont val="Tahoma"/>
            <family val="2"/>
          </rPr>
          <t>Author:</t>
        </r>
        <r>
          <rPr>
            <sz val="9"/>
            <color indexed="81"/>
            <rFont val="Tahoma"/>
            <family val="2"/>
          </rPr>
          <t xml:space="preserve">
Miratech indicated that catalyst makes up 30% of the SCR system cost</t>
        </r>
      </text>
    </comment>
    <comment ref="E19" authorId="0" shapeId="0">
      <text>
        <r>
          <rPr>
            <b/>
            <sz val="9"/>
            <color indexed="81"/>
            <rFont val="Tahoma"/>
            <family val="2"/>
          </rPr>
          <t>Author:</t>
        </r>
        <r>
          <rPr>
            <sz val="9"/>
            <color indexed="81"/>
            <rFont val="Tahoma"/>
            <family val="2"/>
          </rPr>
          <t xml:space="preserve">
Replacement labor from similar project.</t>
        </r>
      </text>
    </comment>
    <comment ref="G19" authorId="0" shapeId="0">
      <text>
        <r>
          <rPr>
            <b/>
            <sz val="9"/>
            <color indexed="81"/>
            <rFont val="Tahoma"/>
            <family val="2"/>
          </rPr>
          <t>Author:</t>
        </r>
        <r>
          <rPr>
            <sz val="9"/>
            <color indexed="81"/>
            <rFont val="Tahoma"/>
            <family val="2"/>
          </rPr>
          <t xml:space="preserve">
Labor cost from similar project.</t>
        </r>
      </text>
    </comment>
    <comment ref="E20" authorId="0" shapeId="0">
      <text>
        <r>
          <rPr>
            <b/>
            <sz val="9"/>
            <color indexed="81"/>
            <rFont val="Tahoma"/>
            <family val="2"/>
          </rPr>
          <t>Author:</t>
        </r>
        <r>
          <rPr>
            <sz val="9"/>
            <color indexed="81"/>
            <rFont val="Tahoma"/>
            <family val="2"/>
          </rPr>
          <t xml:space="preserve">
From similar project</t>
        </r>
      </text>
    </comment>
    <comment ref="E21" authorId="0" shapeId="0">
      <text>
        <r>
          <rPr>
            <b/>
            <sz val="9"/>
            <color indexed="81"/>
            <rFont val="Tahoma"/>
            <family val="2"/>
          </rPr>
          <t>Author:</t>
        </r>
        <r>
          <rPr>
            <sz val="9"/>
            <color indexed="81"/>
            <rFont val="Tahoma"/>
            <family val="2"/>
          </rPr>
          <t xml:space="preserve">
From similar project</t>
        </r>
      </text>
    </comment>
    <comment ref="E29"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t>
        </r>
      </text>
    </comment>
    <comment ref="E47" authorId="0" shapeId="0">
      <text>
        <r>
          <rPr>
            <b/>
            <sz val="9"/>
            <color indexed="81"/>
            <rFont val="Tahoma"/>
            <family val="2"/>
          </rPr>
          <t>Author:</t>
        </r>
        <r>
          <rPr>
            <sz val="9"/>
            <color indexed="81"/>
            <rFont val="Tahoma"/>
            <family val="2"/>
          </rPr>
          <t xml:space="preserve">
Common time frame</t>
        </r>
      </text>
    </comment>
  </commentList>
</comments>
</file>

<file path=xl/comments9.xml><?xml version="1.0" encoding="utf-8"?>
<comments xmlns="http://schemas.openxmlformats.org/spreadsheetml/2006/main">
  <authors>
    <author>Author</author>
  </authors>
  <commentList>
    <comment ref="G13" authorId="0" shapeId="0">
      <text>
        <r>
          <rPr>
            <b/>
            <sz val="9"/>
            <color indexed="81"/>
            <rFont val="Tahoma"/>
            <family val="2"/>
          </rPr>
          <t>Author:</t>
        </r>
        <r>
          <rPr>
            <sz val="9"/>
            <color indexed="81"/>
            <rFont val="Tahoma"/>
            <family val="2"/>
          </rPr>
          <t xml:space="preserve">
GE quote</t>
        </r>
      </text>
    </comment>
    <comment ref="K45" authorId="0" shapeId="0">
      <text>
        <r>
          <rPr>
            <b/>
            <sz val="9"/>
            <color indexed="81"/>
            <rFont val="Tahoma"/>
            <family val="2"/>
          </rPr>
          <t>Author:</t>
        </r>
        <r>
          <rPr>
            <sz val="9"/>
            <color indexed="81"/>
            <rFont val="Tahoma"/>
            <family val="2"/>
          </rPr>
          <t xml:space="preserve">
It has been assumed that some modification to the existing water treatment system will be needed to provide capacity for multiple turbines. </t>
        </r>
      </text>
    </comment>
    <comment ref="E52" authorId="0" shapeId="0">
      <text>
        <r>
          <rPr>
            <b/>
            <sz val="9"/>
            <color indexed="81"/>
            <rFont val="Tahoma"/>
            <family val="2"/>
          </rPr>
          <t>Author:</t>
        </r>
        <r>
          <rPr>
            <sz val="9"/>
            <color indexed="81"/>
            <rFont val="Tahoma"/>
            <family val="2"/>
          </rPr>
          <t xml:space="preserve">
Based on Table 6-4 of EPA literature: Alternative Control Techniques Document - NOx emissions from stationary gas turbines (EPA-453/R-93-007), where it indicates 33% of TDC.</t>
        </r>
      </text>
    </comment>
    <comment ref="K54" authorId="0" shapeId="0">
      <text>
        <r>
          <rPr>
            <sz val="9"/>
            <color indexed="81"/>
            <rFont val="Tahoma"/>
            <family val="2"/>
          </rPr>
          <t>Author:
It has been assumed that some modification to the existing water treatment system will be needed to provide capacity for multiple turbines</t>
        </r>
      </text>
    </comment>
    <comment ref="E59" authorId="0" shapeId="0">
      <text>
        <r>
          <rPr>
            <b/>
            <sz val="9"/>
            <color indexed="81"/>
            <rFont val="Tahoma"/>
            <family val="2"/>
          </rPr>
          <t>Author:</t>
        </r>
        <r>
          <rPr>
            <sz val="9"/>
            <color indexed="81"/>
            <rFont val="Tahoma"/>
            <family val="2"/>
          </rPr>
          <t xml:space="preserve">
Based on OAQPS Control Cost Manual standard contingency estimate.</t>
        </r>
      </text>
    </comment>
  </commentList>
</comments>
</file>

<file path=xl/sharedStrings.xml><?xml version="1.0" encoding="utf-8"?>
<sst xmlns="http://schemas.openxmlformats.org/spreadsheetml/2006/main" count="2160" uniqueCount="407">
  <si>
    <t>Control Technology Used</t>
  </si>
  <si>
    <t>None</t>
  </si>
  <si>
    <t>Water Injection</t>
  </si>
  <si>
    <t>Good Combustion Practices</t>
  </si>
  <si>
    <t>SCR + Water Injection</t>
  </si>
  <si>
    <t>Limited Operation</t>
  </si>
  <si>
    <t>Turbocharger + Aftercooler</t>
  </si>
  <si>
    <t>SCR</t>
  </si>
  <si>
    <t>Turbocharger</t>
  </si>
  <si>
    <t>Fuel Type</t>
  </si>
  <si>
    <t>Scrubber</t>
  </si>
  <si>
    <t>FGR</t>
  </si>
  <si>
    <t>Emission Unit</t>
  </si>
  <si>
    <t>ID</t>
  </si>
  <si>
    <t xml:space="preserve"> Description</t>
  </si>
  <si>
    <t>Combined Cycle Gas Turbine</t>
  </si>
  <si>
    <t>7</t>
  </si>
  <si>
    <t>Fuel Injection Timing Retard</t>
  </si>
  <si>
    <t>Ignition Timing Retard</t>
  </si>
  <si>
    <t>Federal Standards</t>
  </si>
  <si>
    <t>Turbocharger and Aftercooler</t>
  </si>
  <si>
    <t>Note: Data is based on a RBLC review from January 1, 2005 through September 15, 2015.</t>
  </si>
  <si>
    <t>Simple Cycle Gas Turbine</t>
  </si>
  <si>
    <t>N/A</t>
  </si>
  <si>
    <t>Good Combustion Practices (existing)</t>
  </si>
  <si>
    <t>Limited Operation + SCR + Water Injection</t>
  </si>
  <si>
    <t>Limited Operation + SCR</t>
  </si>
  <si>
    <t>1, 2</t>
  </si>
  <si>
    <t>11, 12</t>
  </si>
  <si>
    <t>5, 6</t>
  </si>
  <si>
    <t>Description</t>
  </si>
  <si>
    <t>Propane-Fired Boiler</t>
  </si>
  <si>
    <t>Turbocharger and Aftercooler + Limited Operation + SCR</t>
  </si>
  <si>
    <t>Technically Feasible Control Options</t>
  </si>
  <si>
    <t>Pollutant</t>
  </si>
  <si>
    <t>Number of RBLC Entries (13 Total)</t>
  </si>
  <si>
    <t>Number of RBLC Entries (10 Total)</t>
  </si>
  <si>
    <t>Operational Limit</t>
  </si>
  <si>
    <t>Number of RBLC Entries (67 Total)</t>
  </si>
  <si>
    <t>Number of RBLC Entries (99 Total)</t>
  </si>
  <si>
    <t>Emergency Generator Engine</t>
  </si>
  <si>
    <t>Limited Operation + Water Injection</t>
  </si>
  <si>
    <t xml:space="preserve"> </t>
  </si>
  <si>
    <t>Total Installed Capital ($)</t>
  </si>
  <si>
    <t>~</t>
  </si>
  <si>
    <t>Notes:</t>
  </si>
  <si>
    <t>Fuel</t>
  </si>
  <si>
    <t>Emergency Generator Engine (EU ID 7)</t>
  </si>
  <si>
    <t>Boiler</t>
  </si>
  <si>
    <t>Propane</t>
  </si>
  <si>
    <t xml:space="preserve">TCI  =  (TDC)+(TIC)+(TM&amp;CC)  = </t>
  </si>
  <si>
    <t>TOTAL CAPITAL INVESTMENT (TCI)</t>
  </si>
  <si>
    <t xml:space="preserve">TM &amp; CC   =   </t>
  </si>
  <si>
    <t>Total Management and Contingency Costs (TM&amp;CC)</t>
  </si>
  <si>
    <t>% TDC</t>
  </si>
  <si>
    <t>Contingency</t>
  </si>
  <si>
    <t>(6)</t>
  </si>
  <si>
    <t>Excluded in this estimate.</t>
  </si>
  <si>
    <t>Unit Operator Costs</t>
  </si>
  <si>
    <t>(5)</t>
  </si>
  <si>
    <t>MANAGEMENT AND CONTINGENCY COSTS</t>
  </si>
  <si>
    <t>TIC   =</t>
  </si>
  <si>
    <t>Total Indirect Costs (TIC)</t>
  </si>
  <si>
    <t>EA</t>
  </si>
  <si>
    <t>Performance tests</t>
  </si>
  <si>
    <t>(4)</t>
  </si>
  <si>
    <t>Engineering, Procurement &amp; Construction Support Services</t>
  </si>
  <si>
    <t>(3)</t>
  </si>
  <si>
    <t>INDIRECT COSTS</t>
  </si>
  <si>
    <t>TDC = (PEMC) + (DIC)  =</t>
  </si>
  <si>
    <t>Total Direct Costs (TDC)</t>
  </si>
  <si>
    <t xml:space="preserve"> DIC   =</t>
  </si>
  <si>
    <t>Direct Installation Costs (DIC)</t>
  </si>
  <si>
    <t>% of equipment  total cost</t>
  </si>
  <si>
    <t>Contractor Commissioning, enter %:</t>
  </si>
  <si>
    <t>% onsite fab labor</t>
  </si>
  <si>
    <t>Funtional Checkout - onsite, enter %</t>
  </si>
  <si>
    <t>% offsite fab labor</t>
  </si>
  <si>
    <t>Functional Checkout  - fab site, enter %:</t>
  </si>
  <si>
    <t>Functional Checkouts</t>
  </si>
  <si>
    <t>(h)</t>
  </si>
  <si>
    <t>LF</t>
  </si>
  <si>
    <t>Abovegrade piping</t>
  </si>
  <si>
    <t>(g)</t>
  </si>
  <si>
    <t>LOT</t>
  </si>
  <si>
    <t>Insulation</t>
  </si>
  <si>
    <t>(f)</t>
  </si>
  <si>
    <t>SF</t>
  </si>
  <si>
    <t>Painting</t>
  </si>
  <si>
    <t>(e )</t>
  </si>
  <si>
    <t>Electrical</t>
  </si>
  <si>
    <t>(d)</t>
  </si>
  <si>
    <t>TON</t>
  </si>
  <si>
    <t>Structural steel</t>
  </si>
  <si>
    <t>(c)</t>
  </si>
  <si>
    <t>Piling</t>
  </si>
  <si>
    <t>(b)</t>
  </si>
  <si>
    <t>CY</t>
  </si>
  <si>
    <t>Concrete</t>
  </si>
  <si>
    <t>(a)</t>
  </si>
  <si>
    <t>Direct Installation Costs</t>
  </si>
  <si>
    <t>(2)</t>
  </si>
  <si>
    <t xml:space="preserve"> PEMC   =</t>
  </si>
  <si>
    <t>All above costs included in vendor scope except SCR spares and SCR vendor rep. fees</t>
  </si>
  <si>
    <t>Purchased Equipment and Material Cost (PEMC)</t>
  </si>
  <si>
    <t>TOTAL =</t>
  </si>
  <si>
    <t>Days</t>
  </si>
  <si>
    <t>Onsite Vendor Representatives fees (enter no. of days and daily rate)</t>
  </si>
  <si>
    <t>Fab Site Vendor Representatives fees (enter no. of days and daily rate)</t>
  </si>
  <si>
    <t>Vendor representatives fees</t>
  </si>
  <si>
    <t>%</t>
  </si>
  <si>
    <t>Startup Spare Parts for SCR</t>
  </si>
  <si>
    <t>Startup Spares</t>
  </si>
  <si>
    <t>MH</t>
  </si>
  <si>
    <t>Labor - onsite</t>
  </si>
  <si>
    <t>Labor - offsite fab</t>
  </si>
  <si>
    <t>Labor</t>
  </si>
  <si>
    <t>% MATL COST</t>
  </si>
  <si>
    <t>Injection System Freight</t>
  </si>
  <si>
    <t>Freight</t>
  </si>
  <si>
    <t>Total Instrumentation</t>
  </si>
  <si>
    <t>Instrumentation</t>
  </si>
  <si>
    <t>Basic equipment</t>
  </si>
  <si>
    <t>Purchased equipment and material costs</t>
  </si>
  <si>
    <t>(1)</t>
  </si>
  <si>
    <t xml:space="preserve"> TOTAL LABOR COST</t>
  </si>
  <si>
    <t xml:space="preserve"> TOTAL MATERIALS COST</t>
  </si>
  <si>
    <t>UNIT COST</t>
  </si>
  <si>
    <t>UNIT</t>
  </si>
  <si>
    <t>QTY</t>
  </si>
  <si>
    <t>DIRECT COSTS</t>
  </si>
  <si>
    <t>Capital Costs</t>
  </si>
  <si>
    <t>Rev:</t>
  </si>
  <si>
    <t>Checked By:</t>
  </si>
  <si>
    <t>Lain P.</t>
  </si>
  <si>
    <t>Prepared By:</t>
  </si>
  <si>
    <t xml:space="preserve">Project: </t>
  </si>
  <si>
    <t>Date:</t>
  </si>
  <si>
    <t>Total Capital Investment Determination - Water Injection + SCR</t>
  </si>
  <si>
    <t>Shaded cells indicate user inputs.</t>
  </si>
  <si>
    <t>Asset Utilization</t>
  </si>
  <si>
    <t>years</t>
  </si>
  <si>
    <t xml:space="preserve">Catalyst Life </t>
  </si>
  <si>
    <t xml:space="preserve">Project Life (EPA OAQPS Control Cost Manual) </t>
  </si>
  <si>
    <t xml:space="preserve">Annual Interest Rate (EPA OAQPS Control Cost Manual) </t>
  </si>
  <si>
    <t>Data Inputs for Capital Recovery Factor &amp; Sinking Fund Factor:</t>
  </si>
  <si>
    <t xml:space="preserve">(TAC)/(TPY)   = </t>
  </si>
  <si>
    <t>COST EFFECTIVENESS ($ PER TON AVOIDED)</t>
  </si>
  <si>
    <t>=</t>
  </si>
  <si>
    <t>TOTAL TONS NOx AVOIDED PER YEAR</t>
  </si>
  <si>
    <t>Cost Effectiveness Summary</t>
  </si>
  <si>
    <t>TAC = (TDAC) + (TIAC)  =</t>
  </si>
  <si>
    <t>TOTAL ANNUALIZED COSTS (TAC)</t>
  </si>
  <si>
    <t xml:space="preserve"> TIAC   =</t>
  </si>
  <si>
    <t>Total Indirect Annual Costs (TIAC)</t>
  </si>
  <si>
    <t xml:space="preserve">CRF * TCI  = </t>
  </si>
  <si>
    <t>Capital Recovery</t>
  </si>
  <si>
    <t>(10)</t>
  </si>
  <si>
    <t>Capital Recovery Factor [see inputs below]</t>
  </si>
  <si>
    <t>% total capital</t>
  </si>
  <si>
    <t>Administrative Charges, Property Taxes, Insurance</t>
  </si>
  <si>
    <t>(9)</t>
  </si>
  <si>
    <t>% WT Labor</t>
  </si>
  <si>
    <t>Overhead</t>
  </si>
  <si>
    <t>(8)</t>
  </si>
  <si>
    <t>INDIRECT ANNUAL COSTS</t>
  </si>
  <si>
    <t xml:space="preserve"> TDAC   =</t>
  </si>
  <si>
    <t>Total Direct Annual Costs (TDAC)</t>
  </si>
  <si>
    <t>Sinking Fund Factor  [see inputs below]:</t>
  </si>
  <si>
    <t>% replacement</t>
  </si>
  <si>
    <t>Transport cost for spent SCR catalyst</t>
  </si>
  <si>
    <t>Transport cost direct to site (SCR catalyst)</t>
  </si>
  <si>
    <t>Replacement labor for SCR Catalyst</t>
  </si>
  <si>
    <t xml:space="preserve">% total equip </t>
  </si>
  <si>
    <t>Replacement of SCR Catalyst: % of total equipment cost</t>
  </si>
  <si>
    <t>(7)</t>
  </si>
  <si>
    <t>Urea/DEF:</t>
  </si>
  <si>
    <t>g)</t>
  </si>
  <si>
    <t>1000 GALS</t>
  </si>
  <si>
    <t>Water Waste Disposal:</t>
  </si>
  <si>
    <t>f)</t>
  </si>
  <si>
    <t>Water Treatment Capacity:</t>
  </si>
  <si>
    <t>e)</t>
  </si>
  <si>
    <t>GALS</t>
  </si>
  <si>
    <t>Fuel Penalty:</t>
  </si>
  <si>
    <t>d)</t>
  </si>
  <si>
    <t>CT Fuel Use:</t>
  </si>
  <si>
    <t>c)</t>
  </si>
  <si>
    <t>kWh</t>
  </si>
  <si>
    <t>Water Pump Energy:</t>
  </si>
  <si>
    <t>b)</t>
  </si>
  <si>
    <t>Water Use:</t>
  </si>
  <si>
    <t>a)</t>
  </si>
  <si>
    <t>Utilities</t>
  </si>
  <si>
    <t>Included in water treatment below</t>
  </si>
  <si>
    <t>Maintenance Materials</t>
  </si>
  <si>
    <t>Maintenance Labor (SCR system)</t>
  </si>
  <si>
    <t>Maintenance Labor (water treatment)</t>
  </si>
  <si>
    <t>Supervisory Labor</t>
  </si>
  <si>
    <t>Operating Labor</t>
  </si>
  <si>
    <t>TOTAL</t>
  </si>
  <si>
    <t>DIRECT ANNUAL COSTS</t>
  </si>
  <si>
    <t>Annualized Costs</t>
  </si>
  <si>
    <t xml:space="preserve">Project:  </t>
  </si>
  <si>
    <t>Cost Effectiveness Determination - Water Injection + SCR</t>
  </si>
  <si>
    <t>Shaded cells indicate user inputs</t>
  </si>
  <si>
    <t>Total Capital Investment Determination - SCR</t>
  </si>
  <si>
    <t>J. Rubino</t>
  </si>
  <si>
    <t>Cost Effectiveness Determination - SCR</t>
  </si>
  <si>
    <t>Excluded in this estimate</t>
  </si>
  <si>
    <t>Total SCR System</t>
  </si>
  <si>
    <t>SCR Freight</t>
  </si>
  <si>
    <t>Startup Spare for SCR</t>
  </si>
  <si>
    <t>Included in vendor installed estimate</t>
  </si>
  <si>
    <t>Maintenance Labor</t>
  </si>
  <si>
    <t>Administrative Charges</t>
  </si>
  <si>
    <t>Property tax</t>
  </si>
  <si>
    <t>Insurance</t>
  </si>
  <si>
    <t>TOTAL TONS AVOIDED PER YEAR</t>
  </si>
  <si>
    <t>Data Inputs for Capital Recovery Factor and Sinking Fund Factor:</t>
  </si>
  <si>
    <t>Catalyst Life (Excluded)</t>
  </si>
  <si>
    <t>Asset Utilization (Excluded)</t>
  </si>
  <si>
    <t>the Emergency Generator Engine (EU ID 7)</t>
  </si>
  <si>
    <t>Table 3-18.  GVEA North Pole Facility - Capital Costs for SCR on</t>
  </si>
  <si>
    <t>Table 3-19.  GVEA North Pole Facility - Annualized Costs for SCR on</t>
  </si>
  <si>
    <t>Fuel Oil</t>
  </si>
  <si>
    <t>0.0022 lb/hp-hr</t>
  </si>
  <si>
    <t>1</t>
  </si>
  <si>
    <t>2</t>
  </si>
  <si>
    <r>
      <t>Low NO</t>
    </r>
    <r>
      <rPr>
        <vertAlign val="subscript"/>
        <sz val="11"/>
        <rFont val="Arial"/>
        <family val="2"/>
      </rPr>
      <t>X</t>
    </r>
  </si>
  <si>
    <r>
      <t>NO</t>
    </r>
    <r>
      <rPr>
        <b/>
        <vertAlign val="subscript"/>
        <sz val="11"/>
        <color indexed="8"/>
        <rFont val="Arial"/>
        <family val="2"/>
      </rPr>
      <t>X</t>
    </r>
    <r>
      <rPr>
        <b/>
        <sz val="11"/>
        <color indexed="8"/>
        <rFont val="Arial"/>
        <family val="2"/>
      </rPr>
      <t xml:space="preserve"> Emissions Per Unit (tpy)</t>
    </r>
  </si>
  <si>
    <r>
      <t>NO</t>
    </r>
    <r>
      <rPr>
        <b/>
        <vertAlign val="subscript"/>
        <sz val="11"/>
        <color indexed="8"/>
        <rFont val="Arial"/>
        <family val="2"/>
      </rPr>
      <t>X</t>
    </r>
    <r>
      <rPr>
        <b/>
        <sz val="11"/>
        <color indexed="8"/>
        <rFont val="Arial"/>
        <family val="2"/>
      </rPr>
      <t xml:space="preserve"> Emission Reduction (tpy)</t>
    </r>
  </si>
  <si>
    <r>
      <t>Limited Operation (existing)</t>
    </r>
    <r>
      <rPr>
        <vertAlign val="superscript"/>
        <sz val="11"/>
        <rFont val="Arial"/>
        <family val="2"/>
      </rPr>
      <t>1</t>
    </r>
  </si>
  <si>
    <r>
      <t>Water Injection (existing)</t>
    </r>
    <r>
      <rPr>
        <vertAlign val="superscript"/>
        <sz val="11"/>
        <rFont val="Arial"/>
        <family val="2"/>
      </rPr>
      <t>1</t>
    </r>
  </si>
  <si>
    <r>
      <t>Low NO</t>
    </r>
    <r>
      <rPr>
        <vertAlign val="subscript"/>
        <sz val="10"/>
        <rFont val="Arial"/>
        <family val="2"/>
      </rPr>
      <t>X</t>
    </r>
  </si>
  <si>
    <r>
      <t>NO</t>
    </r>
    <r>
      <rPr>
        <b/>
        <vertAlign val="subscript"/>
        <sz val="10"/>
        <color indexed="8"/>
        <rFont val="Arial"/>
        <family val="2"/>
      </rPr>
      <t>X</t>
    </r>
    <r>
      <rPr>
        <b/>
        <sz val="10"/>
        <color indexed="8"/>
        <rFont val="Arial"/>
        <family val="2"/>
      </rPr>
      <t xml:space="preserve"> BACT</t>
    </r>
  </si>
  <si>
    <r>
      <t>Emission Rate</t>
    </r>
    <r>
      <rPr>
        <b/>
        <vertAlign val="superscript"/>
        <sz val="10"/>
        <rFont val="Arial"/>
        <family val="2"/>
      </rPr>
      <t>1</t>
    </r>
  </si>
  <si>
    <r>
      <t>Table A-1a. Summary of Identified NO</t>
    </r>
    <r>
      <rPr>
        <b/>
        <vertAlign val="subscript"/>
        <sz val="11"/>
        <color indexed="8"/>
        <rFont val="Arial"/>
        <family val="2"/>
      </rPr>
      <t>X</t>
    </r>
    <r>
      <rPr>
        <b/>
        <sz val="11"/>
        <color indexed="8"/>
        <rFont val="Arial"/>
        <family val="2"/>
      </rPr>
      <t xml:space="preserve"> Control Technology - Liquid Fuel-Fired Simple Cycle Turbines &gt; 25 MW (RBLC 15.190)</t>
    </r>
  </si>
  <si>
    <r>
      <t>NO</t>
    </r>
    <r>
      <rPr>
        <vertAlign val="subscript"/>
        <sz val="11"/>
        <color indexed="8"/>
        <rFont val="Arial"/>
        <family val="2"/>
      </rPr>
      <t>X</t>
    </r>
  </si>
  <si>
    <r>
      <t>Table A-1b. Summary of Identified NO</t>
    </r>
    <r>
      <rPr>
        <b/>
        <vertAlign val="subscript"/>
        <sz val="11"/>
        <color indexed="8"/>
        <rFont val="Arial"/>
        <family val="2"/>
      </rPr>
      <t>X</t>
    </r>
    <r>
      <rPr>
        <b/>
        <sz val="11"/>
        <color indexed="8"/>
        <rFont val="Arial"/>
        <family val="2"/>
      </rPr>
      <t xml:space="preserve"> Control Technology - Liquid Fuel-Fired Combined Cycle Turbines &gt; 25 MW (RBLC 15.290)</t>
    </r>
  </si>
  <si>
    <r>
      <t>Dry Low NO</t>
    </r>
    <r>
      <rPr>
        <vertAlign val="subscript"/>
        <sz val="11"/>
        <rFont val="Arial"/>
        <family val="2"/>
      </rPr>
      <t>X</t>
    </r>
    <r>
      <rPr>
        <sz val="11"/>
        <rFont val="Arial"/>
        <family val="2"/>
      </rPr>
      <t xml:space="preserve"> </t>
    </r>
  </si>
  <si>
    <r>
      <t>Table A-1c. Summary of Identified NO</t>
    </r>
    <r>
      <rPr>
        <b/>
        <vertAlign val="subscript"/>
        <sz val="11"/>
        <color indexed="8"/>
        <rFont val="Arial"/>
        <family val="2"/>
      </rPr>
      <t>X</t>
    </r>
    <r>
      <rPr>
        <b/>
        <sz val="11"/>
        <color indexed="8"/>
        <rFont val="Arial"/>
        <family val="2"/>
      </rPr>
      <t xml:space="preserve"> Control Technology - Large Diesel Engines &gt; 500 hp (RBLC 17.110)</t>
    </r>
  </si>
  <si>
    <r>
      <t>Reduce NO</t>
    </r>
    <r>
      <rPr>
        <vertAlign val="subscript"/>
        <sz val="11"/>
        <rFont val="Arial"/>
        <family val="2"/>
      </rPr>
      <t>X</t>
    </r>
    <r>
      <rPr>
        <sz val="11"/>
        <rFont val="Arial"/>
        <family val="2"/>
      </rPr>
      <t xml:space="preserve"> by 90 Percent</t>
    </r>
  </si>
  <si>
    <r>
      <t>Table A-1d. Summary of Identified NO</t>
    </r>
    <r>
      <rPr>
        <b/>
        <vertAlign val="subscript"/>
        <sz val="11"/>
        <color indexed="8"/>
        <rFont val="Arial"/>
        <family val="2"/>
      </rPr>
      <t>X</t>
    </r>
    <r>
      <rPr>
        <b/>
        <sz val="11"/>
        <color indexed="8"/>
        <rFont val="Arial"/>
        <family val="2"/>
      </rPr>
      <t xml:space="preserve"> Control Technology - Natural Gas-Fired Commercial/Institutional Boilers &lt;100 MMBtu/hr (RBLC 13.310)</t>
    </r>
  </si>
  <si>
    <r>
      <t>Ultra Low NO</t>
    </r>
    <r>
      <rPr>
        <vertAlign val="subscript"/>
        <sz val="11"/>
        <rFont val="Arial"/>
        <family val="2"/>
      </rPr>
      <t>X</t>
    </r>
  </si>
  <si>
    <r>
      <t>Cost Effectiveness Determination - Low NO</t>
    </r>
    <r>
      <rPr>
        <b/>
        <vertAlign val="subscript"/>
        <sz val="14"/>
        <color theme="1"/>
        <rFont val="Calibri"/>
        <family val="2"/>
        <scheme val="minor"/>
      </rPr>
      <t>X</t>
    </r>
    <r>
      <rPr>
        <b/>
        <sz val="14"/>
        <color theme="1"/>
        <rFont val="Calibri"/>
        <family val="2"/>
        <scheme val="minor"/>
      </rPr>
      <t xml:space="preserve"> Burners</t>
    </r>
  </si>
  <si>
    <t>Data Inputs for Capital Recovery Factor:</t>
  </si>
  <si>
    <t xml:space="preserve">Asset Utilization </t>
  </si>
  <si>
    <r>
      <t>Total Capital Investment Determination - Low NO</t>
    </r>
    <r>
      <rPr>
        <b/>
        <vertAlign val="subscript"/>
        <sz val="14"/>
        <color theme="1"/>
        <rFont val="Calibri"/>
        <family val="2"/>
        <scheme val="minor"/>
      </rPr>
      <t>X</t>
    </r>
    <r>
      <rPr>
        <b/>
        <sz val="14"/>
        <color theme="1"/>
        <rFont val="Calibri"/>
        <family val="2"/>
        <scheme val="minor"/>
      </rPr>
      <t xml:space="preserve"> Burners</t>
    </r>
  </si>
  <si>
    <t>Low NOx Burner Retrofit for Bryan RV500 Boiler, Unit 11</t>
  </si>
  <si>
    <t xml:space="preserve">Total Instrumentation </t>
  </si>
  <si>
    <t>Included in above price</t>
  </si>
  <si>
    <t>Freight for burners included in installation costs</t>
  </si>
  <si>
    <t>None required</t>
  </si>
  <si>
    <t>Included in installation cost</t>
  </si>
  <si>
    <t>(e)</t>
  </si>
  <si>
    <t>13 lb/kgal</t>
  </si>
  <si>
    <t>Catalyst Replacement Costs (every 3 years)</t>
  </si>
  <si>
    <t>-</t>
  </si>
  <si>
    <t>Included above</t>
  </si>
  <si>
    <t>Labor - shop fab</t>
  </si>
  <si>
    <t>Direct Installation Costs (DIC) - 1 x SCR Equipment Capital</t>
  </si>
  <si>
    <t xml:space="preserve">Annual Interest Rate (EPA OAQPS Control Cost Manual)  </t>
  </si>
  <si>
    <t>30% PEC</t>
  </si>
  <si>
    <t>Total Capital Investment Determination - Water Injection</t>
  </si>
  <si>
    <t>All above costs included in vendor (GE) scope</t>
  </si>
  <si>
    <t xml:space="preserve">Performance tests </t>
  </si>
  <si>
    <t>% PEMC</t>
  </si>
  <si>
    <t>Cost Effectiveness Determination - Water Injection</t>
  </si>
  <si>
    <t>% PEC</t>
  </si>
  <si>
    <r>
      <t>Table 3-22. GVEA North Pole Facility - NO</t>
    </r>
    <r>
      <rPr>
        <b/>
        <vertAlign val="subscript"/>
        <sz val="11"/>
        <color indexed="8"/>
        <rFont val="Arial"/>
        <family val="2"/>
      </rPr>
      <t>X</t>
    </r>
    <r>
      <rPr>
        <b/>
        <sz val="11"/>
        <color indexed="8"/>
        <rFont val="Arial"/>
        <family val="2"/>
      </rPr>
      <t xml:space="preserve"> BACT Cost Effectiveness</t>
    </r>
  </si>
  <si>
    <r>
      <t>Table 3-23.  GVEA North Pole Facility - Proposed NO</t>
    </r>
    <r>
      <rPr>
        <b/>
        <vertAlign val="subscript"/>
        <sz val="11"/>
        <rFont val="Arial"/>
        <family val="2"/>
      </rPr>
      <t>X</t>
    </r>
    <r>
      <rPr>
        <b/>
        <sz val="11"/>
        <rFont val="Arial"/>
        <family val="2"/>
      </rPr>
      <t xml:space="preserve"> BACT and Associated</t>
    </r>
  </si>
  <si>
    <t>FITR</t>
  </si>
  <si>
    <t>ITR</t>
  </si>
  <si>
    <r>
      <t>Good Combustion Practices</t>
    </r>
    <r>
      <rPr>
        <vertAlign val="superscript"/>
        <sz val="11"/>
        <rFont val="Arial"/>
        <family val="2"/>
      </rPr>
      <t>2</t>
    </r>
  </si>
  <si>
    <r>
      <t>Limited Operation (existing)</t>
    </r>
    <r>
      <rPr>
        <vertAlign val="superscript"/>
        <sz val="11"/>
        <rFont val="Arial"/>
        <family val="2"/>
      </rPr>
      <t>3</t>
    </r>
  </si>
  <si>
    <r>
      <t>NO</t>
    </r>
    <r>
      <rPr>
        <b/>
        <vertAlign val="subscript"/>
        <sz val="10"/>
        <rFont val="Arial"/>
        <family val="2"/>
      </rPr>
      <t>X</t>
    </r>
    <r>
      <rPr>
        <b/>
        <sz val="10"/>
        <rFont val="Arial"/>
        <family val="2"/>
      </rPr>
      <t xml:space="preserve"> Emissions (tpy)</t>
    </r>
  </si>
  <si>
    <t>Turbocharger and Aftercooler + Limited Operation (existing)</t>
  </si>
  <si>
    <r>
      <t xml:space="preserve">1 </t>
    </r>
    <r>
      <rPr>
        <sz val="10"/>
        <rFont val="Arial"/>
        <family val="2"/>
      </rPr>
      <t>All emissions costs are on a per unit basis.</t>
    </r>
  </si>
  <si>
    <r>
      <t xml:space="preserve"> Summary</t>
    </r>
    <r>
      <rPr>
        <b/>
        <vertAlign val="superscript"/>
        <sz val="11"/>
        <color indexed="8"/>
        <rFont val="Arial"/>
        <family val="2"/>
      </rPr>
      <t>1</t>
    </r>
    <r>
      <rPr>
        <b/>
        <sz val="11"/>
        <color indexed="8"/>
        <rFont val="Arial"/>
        <family val="2"/>
      </rPr>
      <t xml:space="preserve"> for Each Emission Unit</t>
    </r>
  </si>
  <si>
    <r>
      <t>Table 3-1. GVEA North Pole Facility - Summary of Available NO</t>
    </r>
    <r>
      <rPr>
        <b/>
        <vertAlign val="subscript"/>
        <sz val="11"/>
        <color indexed="8"/>
        <rFont val="Arial"/>
        <family val="2"/>
      </rPr>
      <t>X</t>
    </r>
    <r>
      <rPr>
        <b/>
        <sz val="11"/>
        <color indexed="8"/>
        <rFont val="Arial"/>
        <family val="2"/>
      </rPr>
      <t xml:space="preserve"> Emission Control Technologies</t>
    </r>
  </si>
  <si>
    <t>Available Control Technologies</t>
  </si>
  <si>
    <r>
      <t>Table 3-2. GVEA North Pole Facility - Summary of Technically Feasible NO</t>
    </r>
    <r>
      <rPr>
        <b/>
        <vertAlign val="subscript"/>
        <sz val="11"/>
        <color indexed="8"/>
        <rFont val="Arial"/>
        <family val="2"/>
      </rPr>
      <t>X</t>
    </r>
    <r>
      <rPr>
        <b/>
        <sz val="11"/>
        <color indexed="8"/>
        <rFont val="Arial"/>
        <family val="2"/>
      </rPr>
      <t xml:space="preserve"> Emission Control Technologies</t>
    </r>
  </si>
  <si>
    <r>
      <t>Table 3-3. GVEA North Pole Facility - Ranking of Technically Feasible NO</t>
    </r>
    <r>
      <rPr>
        <b/>
        <vertAlign val="subscript"/>
        <sz val="11"/>
        <color indexed="8"/>
        <rFont val="Arial"/>
        <family val="2"/>
      </rPr>
      <t>X</t>
    </r>
    <r>
      <rPr>
        <b/>
        <sz val="11"/>
        <color indexed="8"/>
        <rFont val="Arial"/>
        <family val="2"/>
      </rPr>
      <t xml:space="preserve"> Emission Control Technologies</t>
    </r>
  </si>
  <si>
    <t>Control Efficiency (pct.)</t>
  </si>
  <si>
    <t>Notes.</t>
  </si>
  <si>
    <r>
      <t>GVEA North Pole PM</t>
    </r>
    <r>
      <rPr>
        <vertAlign val="subscript"/>
        <sz val="11"/>
        <color theme="1"/>
        <rFont val="Calibri"/>
        <family val="2"/>
        <scheme val="minor"/>
      </rPr>
      <t>2.5</t>
    </r>
    <r>
      <rPr>
        <sz val="11"/>
        <color theme="1"/>
        <rFont val="Calibri"/>
        <family val="2"/>
        <scheme val="minor"/>
      </rPr>
      <t xml:space="preserve"> BACT Analysis - Emergency Generator Engine (EU-7)</t>
    </r>
  </si>
  <si>
    <t>the Propane-fired Boilers (EU IDs 11 and 12)</t>
  </si>
  <si>
    <r>
      <t>GVEA North Pole PM</t>
    </r>
    <r>
      <rPr>
        <vertAlign val="subscript"/>
        <sz val="11"/>
        <color theme="1"/>
        <rFont val="Calibri"/>
        <family val="2"/>
        <scheme val="minor"/>
      </rPr>
      <t>2.5</t>
    </r>
    <r>
      <rPr>
        <sz val="11"/>
        <color theme="1"/>
        <rFont val="Calibri"/>
        <family val="2"/>
        <scheme val="minor"/>
      </rPr>
      <t xml:space="preserve"> BACT Analysis - Bryan Steam Boiler (EUs ID 11 and 12, cost per boiler)</t>
    </r>
  </si>
  <si>
    <r>
      <t>GVEA North Pole PM</t>
    </r>
    <r>
      <rPr>
        <vertAlign val="subscript"/>
        <sz val="11"/>
        <color theme="1"/>
        <rFont val="Calibri"/>
        <family val="2"/>
        <scheme val="minor"/>
      </rPr>
      <t>2.5</t>
    </r>
    <r>
      <rPr>
        <sz val="11"/>
        <color theme="1"/>
        <rFont val="Calibri"/>
        <family val="2"/>
        <scheme val="minor"/>
      </rPr>
      <t xml:space="preserve"> BACT Analysis - Bryan Steam Boiler (EU IDs 11 and 12, cost per boiler)</t>
    </r>
  </si>
  <si>
    <t>Control Technology</t>
  </si>
  <si>
    <t>Propane-fired Boilers (EU IDs 11 and 12, cost per boiler)</t>
  </si>
  <si>
    <t>Emission Rate for Each Emission Unit</t>
  </si>
  <si>
    <t>Total Direct Annual Cost ($/year)</t>
  </si>
  <si>
    <r>
      <t xml:space="preserve">1 </t>
    </r>
    <r>
      <rPr>
        <sz val="11"/>
        <rFont val="Arial"/>
        <family val="2"/>
      </rPr>
      <t>Combined emissions from EU IDs 1, 5, and 6 are limited to 1,600 tpy on a 12-month rolling period per Permit AQ0110TVP03, Condition 13. EU ID 1 can individually emit up to 1,600 tpy and EU IDs 5 and 6 can each individually emit up to 478.3 tpy.  Note that NO</t>
    </r>
    <r>
      <rPr>
        <vertAlign val="subscript"/>
        <sz val="11"/>
        <rFont val="Arial"/>
        <family val="2"/>
      </rPr>
      <t>X</t>
    </r>
    <r>
      <rPr>
        <sz val="11"/>
        <rFont val="Arial"/>
        <family val="2"/>
      </rPr>
      <t xml:space="preserve"> emissions from EU ID 1 are based on the control efficiency and maximum potential emissions from good combustion practices.  The NO</t>
    </r>
    <r>
      <rPr>
        <vertAlign val="subscript"/>
        <sz val="11"/>
        <rFont val="Arial"/>
        <family val="2"/>
      </rPr>
      <t>X</t>
    </r>
    <r>
      <rPr>
        <sz val="11"/>
        <rFont val="Arial"/>
        <family val="2"/>
      </rPr>
      <t xml:space="preserve"> emission reduction for all EU 1 control technologies other than good combustion practices are based on the potential NO</t>
    </r>
    <r>
      <rPr>
        <vertAlign val="subscript"/>
        <sz val="11"/>
        <rFont val="Arial"/>
        <family val="2"/>
      </rPr>
      <t>X</t>
    </r>
    <r>
      <rPr>
        <sz val="11"/>
        <rFont val="Arial"/>
        <family val="2"/>
      </rPr>
      <t xml:space="preserve"> of 1,600 tpy.</t>
    </r>
  </si>
  <si>
    <r>
      <t>Turbocharger and Aftercooler + Limited Operation</t>
    </r>
    <r>
      <rPr>
        <vertAlign val="superscript"/>
        <sz val="11"/>
        <rFont val="Arial"/>
        <family val="2"/>
      </rPr>
      <t>5</t>
    </r>
    <r>
      <rPr>
        <sz val="11"/>
        <rFont val="Arial"/>
        <family val="2"/>
      </rPr>
      <t xml:space="preserve">  (existing)</t>
    </r>
  </si>
  <si>
    <r>
      <t>Good Combustion Practices</t>
    </r>
    <r>
      <rPr>
        <vertAlign val="superscript"/>
        <sz val="11"/>
        <rFont val="Arial"/>
        <family val="2"/>
      </rPr>
      <t>4</t>
    </r>
  </si>
  <si>
    <r>
      <t>SCR + Water Injection</t>
    </r>
    <r>
      <rPr>
        <vertAlign val="superscript"/>
        <sz val="11"/>
        <rFont val="Arial"/>
        <family val="2"/>
      </rPr>
      <t>4</t>
    </r>
  </si>
  <si>
    <t>GVEA North Pole PM2.5 BACT Analysis - Frame 7E CT (EU ID 1)</t>
  </si>
  <si>
    <t>*Notes regarding pertinent cost information and cost exclusion reasoning is included on the separate footnote reference page.</t>
  </si>
  <si>
    <r>
      <t>Water Injection</t>
    </r>
    <r>
      <rPr>
        <vertAlign val="superscript"/>
        <sz val="11"/>
        <color theme="1"/>
        <rFont val="Calibri"/>
        <family val="2"/>
        <scheme val="minor"/>
      </rPr>
      <t>1</t>
    </r>
  </si>
  <si>
    <r>
      <t>SCR</t>
    </r>
    <r>
      <rPr>
        <vertAlign val="superscript"/>
        <sz val="11"/>
        <color theme="1"/>
        <rFont val="Calibri"/>
        <family val="2"/>
        <scheme val="minor"/>
      </rPr>
      <t>2,3</t>
    </r>
  </si>
  <si>
    <r>
      <t>Total Instrumentation</t>
    </r>
    <r>
      <rPr>
        <vertAlign val="superscript"/>
        <sz val="11"/>
        <color theme="1"/>
        <rFont val="Calibri"/>
        <family val="2"/>
        <scheme val="minor"/>
      </rPr>
      <t>4</t>
    </r>
  </si>
  <si>
    <r>
      <t>Direct Installation Costs</t>
    </r>
    <r>
      <rPr>
        <b/>
        <vertAlign val="superscript"/>
        <sz val="12"/>
        <color theme="1"/>
        <rFont val="Calibri"/>
        <family val="2"/>
        <scheme val="minor"/>
      </rPr>
      <t>5,6</t>
    </r>
  </si>
  <si>
    <r>
      <t>Unit Operator Costs</t>
    </r>
    <r>
      <rPr>
        <vertAlign val="superscript"/>
        <sz val="12"/>
        <color theme="1"/>
        <rFont val="Calibri"/>
        <family val="2"/>
        <scheme val="minor"/>
      </rPr>
      <t>7</t>
    </r>
  </si>
  <si>
    <t>h)</t>
  </si>
  <si>
    <r>
      <t>SCR Energy Use</t>
    </r>
    <r>
      <rPr>
        <vertAlign val="superscript"/>
        <sz val="11"/>
        <color theme="1"/>
        <rFont val="Calibri"/>
        <family val="2"/>
        <scheme val="minor"/>
      </rPr>
      <t>8</t>
    </r>
    <r>
      <rPr>
        <sz val="11"/>
        <color theme="1"/>
        <rFont val="Calibri"/>
        <family val="2"/>
        <scheme val="minor"/>
      </rPr>
      <t>:</t>
    </r>
  </si>
  <si>
    <t>Functional Checkout - onsite, enter %</t>
  </si>
  <si>
    <t>GVEA North Pole PM2.5 BACT Analysis - Frame 7E CT (EU ID 2)</t>
  </si>
  <si>
    <r>
      <t>Excluded in this estimate.</t>
    </r>
    <r>
      <rPr>
        <vertAlign val="superscript"/>
        <sz val="11"/>
        <color theme="1"/>
        <rFont val="Calibri"/>
        <family val="2"/>
        <scheme val="minor"/>
      </rPr>
      <t>1</t>
    </r>
  </si>
  <si>
    <t>GVEA North Pole PM2.5 BACT Analysis - Frame 7E CTs (EU ID 1)</t>
  </si>
  <si>
    <r>
      <t>SCR</t>
    </r>
    <r>
      <rPr>
        <vertAlign val="superscript"/>
        <sz val="11"/>
        <color theme="1"/>
        <rFont val="Calibri"/>
        <family val="2"/>
        <scheme val="minor"/>
      </rPr>
      <t>1,2</t>
    </r>
  </si>
  <si>
    <r>
      <t>Total Instrumentation</t>
    </r>
    <r>
      <rPr>
        <vertAlign val="superscript"/>
        <sz val="11"/>
        <color theme="1"/>
        <rFont val="Calibri"/>
        <family val="2"/>
        <scheme val="minor"/>
      </rPr>
      <t>3</t>
    </r>
  </si>
  <si>
    <r>
      <t>Direct Installation Costs</t>
    </r>
    <r>
      <rPr>
        <b/>
        <vertAlign val="superscript"/>
        <sz val="12"/>
        <color theme="1"/>
        <rFont val="Calibri"/>
        <family val="2"/>
        <scheme val="minor"/>
      </rPr>
      <t>4</t>
    </r>
  </si>
  <si>
    <r>
      <t>Unit Operator Costs</t>
    </r>
    <r>
      <rPr>
        <vertAlign val="superscript"/>
        <sz val="12"/>
        <color theme="1"/>
        <rFont val="Calibri"/>
        <family val="2"/>
        <scheme val="minor"/>
      </rPr>
      <t>5</t>
    </r>
  </si>
  <si>
    <r>
      <t>SCR Energy Use</t>
    </r>
    <r>
      <rPr>
        <vertAlign val="superscript"/>
        <sz val="11"/>
        <color theme="1"/>
        <rFont val="Calibri"/>
        <family val="2"/>
        <scheme val="minor"/>
      </rPr>
      <t>6</t>
    </r>
    <r>
      <rPr>
        <sz val="11"/>
        <color theme="1"/>
        <rFont val="Calibri"/>
        <family val="2"/>
        <scheme val="minor"/>
      </rPr>
      <t>:</t>
    </r>
  </si>
  <si>
    <r>
      <t>Overhead</t>
    </r>
    <r>
      <rPr>
        <vertAlign val="superscript"/>
        <sz val="11"/>
        <color theme="1"/>
        <rFont val="Calibri"/>
        <family val="2"/>
        <scheme val="minor"/>
      </rPr>
      <t>7</t>
    </r>
  </si>
  <si>
    <r>
      <t>Total Instrumentation</t>
    </r>
    <r>
      <rPr>
        <vertAlign val="superscript"/>
        <sz val="11"/>
        <color theme="1"/>
        <rFont val="Calibri"/>
        <family val="2"/>
        <scheme val="minor"/>
      </rPr>
      <t>2</t>
    </r>
  </si>
  <si>
    <r>
      <t>Direct Installation Costs</t>
    </r>
    <r>
      <rPr>
        <b/>
        <vertAlign val="superscript"/>
        <sz val="12"/>
        <color theme="1"/>
        <rFont val="Calibri"/>
        <family val="2"/>
        <scheme val="minor"/>
      </rPr>
      <t>3</t>
    </r>
  </si>
  <si>
    <r>
      <t>Unit Operator Costs</t>
    </r>
    <r>
      <rPr>
        <vertAlign val="superscript"/>
        <sz val="12"/>
        <color theme="1"/>
        <rFont val="Calibri"/>
        <family val="2"/>
        <scheme val="minor"/>
      </rPr>
      <t>4</t>
    </r>
  </si>
  <si>
    <r>
      <t>Operating Labor</t>
    </r>
    <r>
      <rPr>
        <vertAlign val="superscript"/>
        <sz val="11"/>
        <color theme="1"/>
        <rFont val="Calibri"/>
        <family val="2"/>
        <scheme val="minor"/>
      </rPr>
      <t>5</t>
    </r>
  </si>
  <si>
    <r>
      <t>Supervisory Labor</t>
    </r>
    <r>
      <rPr>
        <vertAlign val="superscript"/>
        <sz val="11"/>
        <color theme="1"/>
        <rFont val="Calibri"/>
        <family val="2"/>
        <scheme val="minor"/>
      </rPr>
      <t>5</t>
    </r>
  </si>
  <si>
    <t>GVEA NP -  PM2.5 BACT Analysis (EU ID 5 &amp; 6 - LM6000)</t>
  </si>
  <si>
    <r>
      <t>SCR</t>
    </r>
    <r>
      <rPr>
        <vertAlign val="superscript"/>
        <sz val="11"/>
        <color theme="1"/>
        <rFont val="Calibri"/>
        <family val="2"/>
        <scheme val="minor"/>
      </rPr>
      <t>1,2,3,4,5</t>
    </r>
  </si>
  <si>
    <r>
      <t>Total Instrumentation</t>
    </r>
    <r>
      <rPr>
        <vertAlign val="superscript"/>
        <sz val="11"/>
        <color theme="1"/>
        <rFont val="Calibri"/>
        <family val="2"/>
        <scheme val="minor"/>
      </rPr>
      <t>6</t>
    </r>
  </si>
  <si>
    <r>
      <t>SCR Freight</t>
    </r>
    <r>
      <rPr>
        <vertAlign val="superscript"/>
        <sz val="11"/>
        <color theme="1"/>
        <rFont val="Calibri"/>
        <family val="2"/>
        <scheme val="minor"/>
      </rPr>
      <t>7</t>
    </r>
  </si>
  <si>
    <r>
      <t>Direct Installation Costs</t>
    </r>
    <r>
      <rPr>
        <b/>
        <vertAlign val="superscript"/>
        <sz val="12"/>
        <color theme="1"/>
        <rFont val="Calibri"/>
        <family val="2"/>
        <scheme val="minor"/>
      </rPr>
      <t>8,9</t>
    </r>
  </si>
  <si>
    <r>
      <t>Unit Operator Costs</t>
    </r>
    <r>
      <rPr>
        <vertAlign val="superscript"/>
        <sz val="12"/>
        <color theme="1"/>
        <rFont val="Calibri"/>
        <family val="2"/>
        <scheme val="minor"/>
      </rPr>
      <t>10</t>
    </r>
  </si>
  <si>
    <r>
      <t>Maintenance Materials</t>
    </r>
    <r>
      <rPr>
        <vertAlign val="superscript"/>
        <sz val="11"/>
        <color theme="1"/>
        <rFont val="Calibri"/>
        <family val="2"/>
        <scheme val="minor"/>
      </rPr>
      <t>11</t>
    </r>
  </si>
  <si>
    <r>
      <t>Energy</t>
    </r>
    <r>
      <rPr>
        <vertAlign val="superscript"/>
        <sz val="11"/>
        <color theme="1"/>
        <rFont val="Calibri"/>
        <family val="2"/>
        <scheme val="minor"/>
      </rPr>
      <t>12</t>
    </r>
    <r>
      <rPr>
        <sz val="11"/>
        <color theme="1"/>
        <rFont val="Calibri"/>
        <family val="2"/>
        <scheme val="minor"/>
      </rPr>
      <t>:</t>
    </r>
  </si>
  <si>
    <r>
      <t>Overhead</t>
    </r>
    <r>
      <rPr>
        <vertAlign val="superscript"/>
        <sz val="11"/>
        <color theme="1"/>
        <rFont val="Calibri"/>
        <family val="2"/>
        <scheme val="minor"/>
      </rPr>
      <t>13</t>
    </r>
  </si>
  <si>
    <t>LSR</t>
  </si>
  <si>
    <r>
      <rPr>
        <vertAlign val="superscript"/>
        <sz val="11"/>
        <rFont val="Arial"/>
        <family val="2"/>
      </rPr>
      <t>2</t>
    </r>
    <r>
      <rPr>
        <sz val="11"/>
        <rFont val="Arial"/>
        <family val="2"/>
      </rPr>
      <t xml:space="preserve"> Emissions from good combustion practices are included because the resulting potential emissions after applying the control efficiencies of the various emission control technologies under consideration render the existing ORL unnecessary.  As a result, the PTE for the emission control technology options is based on the PTE represented by good combustion practices.</t>
    </r>
  </si>
  <si>
    <r>
      <t>5</t>
    </r>
    <r>
      <rPr>
        <sz val="11"/>
        <rFont val="Arial"/>
        <family val="2"/>
      </rPr>
      <t xml:space="preserve"> EU ID 7 is limited to operating no more than 52 hours in a 12-month rolling period by Permit AQ0110TVP03, Condition 10.</t>
    </r>
  </si>
  <si>
    <t>Limited Operation (existing)</t>
  </si>
  <si>
    <r>
      <t>1</t>
    </r>
    <r>
      <rPr>
        <sz val="10"/>
        <rFont val="Arial"/>
        <family val="2"/>
      </rPr>
      <t xml:space="preserve"> Emissions are on a per unit basis.  </t>
    </r>
  </si>
  <si>
    <t>0.88 lb/MMBtu</t>
  </si>
  <si>
    <r>
      <t>Incremental Cost Effectiveness</t>
    </r>
    <r>
      <rPr>
        <b/>
        <vertAlign val="superscript"/>
        <sz val="10"/>
        <color indexed="8"/>
        <rFont val="Arial"/>
        <family val="2"/>
      </rPr>
      <t>2</t>
    </r>
    <r>
      <rPr>
        <b/>
        <sz val="10"/>
        <color indexed="8"/>
        <rFont val="Arial"/>
        <family val="2"/>
      </rPr>
      <t xml:space="preserve"> ($/incremental ton removed)</t>
    </r>
  </si>
  <si>
    <r>
      <t>SCR + Water Injection</t>
    </r>
    <r>
      <rPr>
        <vertAlign val="superscript"/>
        <sz val="10"/>
        <color indexed="8"/>
        <rFont val="Arial"/>
        <family val="2"/>
      </rPr>
      <t>3</t>
    </r>
  </si>
  <si>
    <r>
      <t>SCR</t>
    </r>
    <r>
      <rPr>
        <strike/>
        <vertAlign val="superscript"/>
        <sz val="10"/>
        <color indexed="8"/>
        <rFont val="Arial"/>
        <family val="2"/>
      </rPr>
      <t>3</t>
    </r>
  </si>
  <si>
    <r>
      <t>Water Injection</t>
    </r>
    <r>
      <rPr>
        <vertAlign val="superscript"/>
        <sz val="10"/>
        <rFont val="Arial"/>
        <family val="2"/>
      </rPr>
      <t>3</t>
    </r>
  </si>
  <si>
    <r>
      <t>Limited Operation (existing)</t>
    </r>
    <r>
      <rPr>
        <vertAlign val="superscript"/>
        <sz val="10"/>
        <color indexed="8"/>
        <rFont val="Arial"/>
        <family val="2"/>
      </rPr>
      <t>4</t>
    </r>
  </si>
  <si>
    <r>
      <t>Water Injection (existing)</t>
    </r>
    <r>
      <rPr>
        <vertAlign val="superscript"/>
        <sz val="10"/>
        <color indexed="8"/>
        <rFont val="Arial"/>
        <family val="2"/>
      </rPr>
      <t>4</t>
    </r>
  </si>
  <si>
    <r>
      <t>Turbocharger and Aftercooler + Limited Operation (existing)</t>
    </r>
    <r>
      <rPr>
        <vertAlign val="superscript"/>
        <sz val="10"/>
        <rFont val="Arial"/>
        <family val="2"/>
      </rPr>
      <t>4</t>
    </r>
  </si>
  <si>
    <r>
      <t>Good Combustion Practices (existing)</t>
    </r>
    <r>
      <rPr>
        <vertAlign val="superscript"/>
        <sz val="10"/>
        <rFont val="Arial"/>
        <family val="2"/>
      </rPr>
      <t>4</t>
    </r>
  </si>
  <si>
    <r>
      <t xml:space="preserve">4 </t>
    </r>
    <r>
      <rPr>
        <sz val="10"/>
        <rFont val="Arial"/>
        <family val="2"/>
      </rPr>
      <t>This technology is proposed as the baseline case.</t>
    </r>
  </si>
  <si>
    <r>
      <t xml:space="preserve">3 </t>
    </r>
    <r>
      <rPr>
        <sz val="10"/>
        <rFont val="Arial"/>
        <family val="2"/>
      </rPr>
      <t>The cost for this technology is underestimated because cost estimates for certain essential equipment and operating needs are not available or included.  Site space constraints may make these technologies not feasible.</t>
    </r>
  </si>
  <si>
    <t>Simple Cycle Gas Turbine (EU ID 1)</t>
  </si>
  <si>
    <t>Simple Cycle Gas Turbine (EU ID 2)</t>
  </si>
  <si>
    <t>Combined Cycle Gas Turbines (EU IDs 5 and 6, cost per combustion turbine)</t>
  </si>
  <si>
    <t>$2,276
(&gt;$78,000 based on actual emissions from 2014 and 2015)</t>
  </si>
  <si>
    <t>Table 3-4.  GVEA North Pole Facility - Capital Costs for SCR and Water Injection on the Diesel-fired Simple Cycle Gas Turbine (EU ID 1)</t>
  </si>
  <si>
    <t>Table 3-5.  GVEA North Pole Facility - Annualized Costs for SCR and Water Injection on</t>
  </si>
  <si>
    <t xml:space="preserve"> the Diesel-fired Simple Cycle Gas Turbine (EU ID 1)</t>
  </si>
  <si>
    <t xml:space="preserve">Table 3-6.  GVEA North Pole Facility - Capital Costs for SCR and Water Injection on the </t>
  </si>
  <si>
    <t>Diesel-fired Simple Cycle Gas Turbine (EU ID 2)</t>
  </si>
  <si>
    <t>Table 3-7.  GVEA North Pole Facility - Annualized Costs for SCR and Water Injection on the Diesel-fired Simple Cycle Gas Turbine (EU ID 2)</t>
  </si>
  <si>
    <t>Table 3-8.  GVEA North Pole Facility - Capital Costs for SCR on the Diesel-fired Simple Cycle Gas Turbine (EU ID 1)</t>
  </si>
  <si>
    <t>Table 3-9.  GVEA North Pole Facility - Annualized Costs for SCR on the Diesel-fired Simple Cycle Gas Turbine (EU ID 1)</t>
  </si>
  <si>
    <t>Table 3-10.  GVEA North Pole Facility - Capital Costs for SCR on the Diesel-fired Simple Cycle Gas Turbine (EU ID 2)</t>
  </si>
  <si>
    <t>Table 3-12.  GVEA North Pole Facility - Capital Costs for Water Injection on the Diesel-fired Simple Cycle Gas Turbine (EU ID 1)</t>
  </si>
  <si>
    <t>Table 3-13.  GVEA North Pole Facility - Annualized Costs for Water Injection on the Diesel-fired Simple Cycle Gas Turbine (EU ID 1)</t>
  </si>
  <si>
    <t>Table 3-15.  GVEA North Pole Facility - Annualized Costs for Water Injection on the Diesel-fired Simple Cycle Gas Turbine (EU ID 2)</t>
  </si>
  <si>
    <t>Table 3-16.  GVEA North Pole Facility - Capital Costs for SCR on the Combined Cycle Gas Turbines (EU IDs 5 and 6)</t>
  </si>
  <si>
    <t>Table 3-17.  GVEA North Pole Facility - Annualized Costs for SCR on the Combined Cycle Gas Turbines (EU IDs 5 and 6)</t>
  </si>
  <si>
    <r>
      <t>Table 3-20  GVEA North Pole Facility - Capital Costs for Low NO</t>
    </r>
    <r>
      <rPr>
        <b/>
        <vertAlign val="subscript"/>
        <sz val="11"/>
        <rFont val="Arial"/>
        <family val="2"/>
      </rPr>
      <t>X</t>
    </r>
    <r>
      <rPr>
        <b/>
        <sz val="11"/>
        <rFont val="Arial"/>
        <family val="2"/>
      </rPr>
      <t xml:space="preserve"> Burner on</t>
    </r>
  </si>
  <si>
    <r>
      <t>Table 3-21.  GVEA North Pole Facility - Annualized Costs for Low NO</t>
    </r>
    <r>
      <rPr>
        <b/>
        <vertAlign val="subscript"/>
        <sz val="11"/>
        <rFont val="Arial"/>
        <family val="2"/>
      </rPr>
      <t>X</t>
    </r>
    <r>
      <rPr>
        <b/>
        <sz val="11"/>
        <rFont val="Arial"/>
        <family val="2"/>
      </rPr>
      <t xml:space="preserve"> Burner on</t>
    </r>
  </si>
  <si>
    <t>Total Annualized Cost ($/year)</t>
  </si>
  <si>
    <t>Reagent Prep/Water Treatment/Structure</t>
  </si>
  <si>
    <t>COST EFFECTIVENESS ($ PER TON AVOIDED BASED ON PTE)</t>
  </si>
  <si>
    <r>
      <t>COST EFFECTIVENESS ($ PER TON AVOIDED BASED ON ACTUALS, AVOIDING 222 TONS PER YEAR)</t>
    </r>
    <r>
      <rPr>
        <b/>
        <vertAlign val="superscript"/>
        <sz val="12"/>
        <color theme="1"/>
        <rFont val="Calibri"/>
        <family val="2"/>
        <scheme val="minor"/>
      </rPr>
      <t>9</t>
    </r>
  </si>
  <si>
    <r>
      <t>COST EFFECTIVENESS ($ PER TON AVOIDED BASED ON ACTUALS, AVOIDING 658 TONS PER YEAR)</t>
    </r>
    <r>
      <rPr>
        <b/>
        <vertAlign val="superscript"/>
        <sz val="12"/>
        <color theme="1"/>
        <rFont val="Calibri"/>
        <family val="2"/>
        <scheme val="minor"/>
      </rPr>
      <t>9</t>
    </r>
  </si>
  <si>
    <r>
      <t>COST EFFECTIVENESS ($ PER TON AVOIDED BASED ON ACTUALS, AVOIDING 209 TONS PER YEAR)</t>
    </r>
    <r>
      <rPr>
        <b/>
        <vertAlign val="superscript"/>
        <sz val="12"/>
        <color theme="1"/>
        <rFont val="Calibri"/>
        <family val="2"/>
        <scheme val="minor"/>
      </rPr>
      <t>8</t>
    </r>
  </si>
  <si>
    <r>
      <t>COST EFFECTIVENESS ($ PER TON AVOIDED BASED ON ACTUALS, AVOIDING 621 TONS PER YEAR)</t>
    </r>
    <r>
      <rPr>
        <b/>
        <vertAlign val="superscript"/>
        <sz val="12"/>
        <color theme="1"/>
        <rFont val="Calibri"/>
        <family val="2"/>
        <scheme val="minor"/>
      </rPr>
      <t>8</t>
    </r>
  </si>
  <si>
    <t xml:space="preserve">For the water injection option, costs have been estimated to expand water treatment capacity.  Consideration of source water (i.e. wells) would likely be an additional factor. </t>
  </si>
  <si>
    <t>Source of SCR Capital Costs: ATCO Emissions Management. These were supply-only costs given in a range for the Frame 7s.  The high point of the range provided ($3 – $5 million) was used, see discussion in separately submitted CBI package.</t>
  </si>
  <si>
    <t>ATCO was aware that the preferred reagent was urea, however they did not specify any capital costs for reagent prep. Costs for reagent prep equipment and additional structures are discussed in a separately submitted CBI package.</t>
  </si>
  <si>
    <t>Continuous emissions monitoring system is included in capital costs under Reagent Prep/Water Treatment/Structure.</t>
  </si>
  <si>
    <t>Construction costs associated directly with SCR installation were conservatively estimated at double the capital cost. This seems reasonable given the current footprint of the turbine building. Additional structure costs were included under part (1)(a) This should be viewed as an engineering estimate only.</t>
  </si>
  <si>
    <t>Unit operator costs were excluded as these costs were not specified in vendor quotes and/or appropriate literature.</t>
  </si>
  <si>
    <t>Construction costs associated directly with water injection installation was conservatively estimated at half the capital cost. This is based on the assumption that some water treatment system work in addition to SCR treated water needs will be required to add water injection. This should be viewed as an engineering estimate only.</t>
  </si>
  <si>
    <t>Annual direct cost for SCR power consumption were excluded as vendor quotes did not specify system power requirements. However the reagent solutions will require continual heating to keep them in in liquid form and a notable station load compared to the unit actual operation is expected.</t>
  </si>
  <si>
    <t>Annual average run hours for EU 2  from 2009-2016 is 2472 hours, and the peak in the last four years has been 2873 hours.</t>
  </si>
  <si>
    <t xml:space="preserve">Indirect annual costs for operational overhead were excluded as vendor quotes did not specify overhead costs. </t>
  </si>
  <si>
    <t>Continuous emissions monitoring system upgrade is included in capital costs under Reagent Prep/Water Treatment/Structure.</t>
  </si>
  <si>
    <t>Construction costs associated directly with water injection installation was conservatively estimated at half the capital cost. This estimate is low based on the assumption that a complete water treatment system will be required to add water injection. This should be viewed as an engineering estimate only.</t>
  </si>
  <si>
    <t>Operator and supervisory labor costs were excluded as these costs were not specified in vendor quotes and/or appropriate literature.</t>
  </si>
  <si>
    <t>Water treatment upgrades, reagent prep structure upgrades</t>
  </si>
  <si>
    <t>Source of SCR Capital Costs: Innovative Steam Technologies (IST).</t>
  </si>
  <si>
    <t>The following items are included in cost of $1,197,900: SCR Catalyst Blocks, SCR Catalyst Loading Cart, SCR Catalyst Frame, Jib Crane, Complete Urea System (Dry Urea Silo, Urea Mixing Tank with the immersion heater and mixing agitator, Urea Transfer Pump unit, urea storage tank, urea feeding pump unit), Valves &amp; Instruments required for Urea system operation, AFCU Skid including dilution air blower, Ammonia Injection Grid &amp; Ammonia Manifold Distribution Header, Stack Cap is also included to protect the SCR catalyst from water ingress.</t>
  </si>
  <si>
    <t>IST also gave a quote for an aqueous ammonia-based system $ 838,200. This amount was inclusive of same equipment as above with the addition of electric heater &amp; vaporizer chamber to the AFCU and removal of the urea system.</t>
  </si>
  <si>
    <t>Excluded Items: Interconnecting piping between AFCU Skid and the Ammonia Manifold Distribution Header; Interconnecting piping between the Manifold Distribution Header up to the Ammonia Injection Grid at the module injection points; Interconnecting piping between each major equipment of the Urea System.</t>
  </si>
  <si>
    <t>Other modifications that need to be done to the current OTSG which have not been included in the price above, is to make sure the sampling test ports upstream and downstream of the CO &amp; SCR catalysts are existent. CEM port at the stack would be required as well and possibly some pressure test ports upstream and downstream of the SCR catalyst.  The ammonia injection grid connections on the CO module casing, just above the CO catalyst would need to be made as well (there would need to be about 12, 2”NPS Sch40 BW connections that would go through the casing for the AIG lances).</t>
  </si>
  <si>
    <t>Continuous emissions monitoring system was not included in capital costs, though upgrades to the existing system may be needed.</t>
  </si>
  <si>
    <t>Based on BACT analysis costs for similar SCR installation on CTs in Alaska.</t>
  </si>
  <si>
    <t xml:space="preserve">For construction costs, installation was estimated at one times the capital cost. This seems reasonable given the OTSG (Turbine No. 5) has been built with enough empty duct cavity for a future SCR provision. This should be viewed as an engineering estimate only. </t>
  </si>
  <si>
    <t xml:space="preserve">Although we have assumed the same costs for Turbine No. 6, the footprint where the turbine and potential add-on control equipment would go is limited.  There would have to be additional interaction with IST to determine how that translates into additional construction costs.  There would have to be additional interaction with IST to determine how that translates into additional construction costs.  </t>
  </si>
  <si>
    <t>Annual direct cost for maintenance matrerials were excluded as vendor quotes did not specify quantities and/or type of materials needed.</t>
  </si>
  <si>
    <t xml:space="preserve">Annual direct cost for SCR power consumption were excluded as vendor quotes did not specify system power requirements. </t>
  </si>
  <si>
    <r>
      <rPr>
        <vertAlign val="superscript"/>
        <sz val="10"/>
        <rFont val="Arial"/>
        <family val="2"/>
      </rPr>
      <t>2</t>
    </r>
    <r>
      <rPr>
        <sz val="10"/>
        <rFont val="Arial"/>
        <family val="2"/>
      </rPr>
      <t xml:space="preserve"> Incremental Cost Effectiveness is calculated as follows: [(Annualized Cost of Control Option)-(Annualized Cost of Next Control Option)]/[(Emissions of Next Control Option)-(Emissions of Control Option)]</t>
    </r>
  </si>
  <si>
    <r>
      <t>Cost Effectiveness ($/ton NO</t>
    </r>
    <r>
      <rPr>
        <b/>
        <vertAlign val="subscript"/>
        <sz val="10"/>
        <color indexed="8"/>
        <rFont val="Arial"/>
        <family val="2"/>
      </rPr>
      <t>X</t>
    </r>
    <r>
      <rPr>
        <b/>
        <sz val="10"/>
        <color indexed="8"/>
        <rFont val="Arial"/>
        <family val="2"/>
      </rPr>
      <t xml:space="preserve"> removed based on PTE)</t>
    </r>
  </si>
  <si>
    <t>0.24 lb/MMBtu</t>
  </si>
  <si>
    <t>Water Injection (existing)</t>
  </si>
  <si>
    <t>Annual average run hours for EU 1  from 2009-2016 is 833 hours, and the peak in the last four years has been 600 hours.</t>
  </si>
  <si>
    <t>Table 3-11.  GVEA North Pole Facility - Annualized Costs for SCR on the Diesel-fired Simple Cycle Gas Turbine (EU ID 2)</t>
  </si>
  <si>
    <r>
      <rPr>
        <vertAlign val="superscript"/>
        <sz val="11"/>
        <rFont val="Arial"/>
        <family val="2"/>
      </rPr>
      <t>4</t>
    </r>
    <r>
      <rPr>
        <sz val="11"/>
        <rFont val="Arial"/>
        <family val="2"/>
      </rPr>
      <t xml:space="preserve"> Emissions from good combustion practices are included to show the uncontrolled PTE.  The PTE for SCR and water injection is based on a 90 percent reduction on top of the water injection emissions, while the emissions reduction due to the addition of SCR is the difference between the PTE for water injection and the PTE for SCR and water injection.</t>
    </r>
  </si>
  <si>
    <r>
      <t>3</t>
    </r>
    <r>
      <rPr>
        <sz val="11"/>
        <rFont val="Arial"/>
        <family val="2"/>
      </rPr>
      <t xml:space="preserve"> EU ID 2 is limited to operating no more than 7,992 hours in a 12-month rolling period by Permit AQ0110TVP03, Condition 12. 672 MMBtu/hr, 0.88 lb/MMBtu</t>
    </r>
  </si>
</sst>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quot;$&quot;#,##0"/>
    <numFmt numFmtId="166" formatCode="&quot;$&quot;#,##0.00"/>
    <numFmt numFmtId="167" formatCode="0.0000"/>
    <numFmt numFmtId="168" formatCode="_(* #,##0_);_(* \(#,##0\);_(* &quot;-&quot;??_);_(@_)"/>
    <numFmt numFmtId="169" formatCode="#,##0.0"/>
  </numFmts>
  <fonts count="54" x14ac:knownFonts="1">
    <font>
      <sz val="11"/>
      <color theme="1"/>
      <name val="Calibri"/>
      <family val="2"/>
      <scheme val="minor"/>
    </font>
    <font>
      <sz val="11"/>
      <name val="Calibri"/>
      <family val="2"/>
      <scheme val="minor"/>
    </font>
    <font>
      <sz val="11"/>
      <color theme="1"/>
      <name val="Calibri"/>
      <family val="2"/>
      <scheme val="minor"/>
    </font>
    <font>
      <b/>
      <sz val="11"/>
      <color theme="1"/>
      <name val="Calibri"/>
      <family val="2"/>
      <scheme val="minor"/>
    </font>
    <font>
      <sz val="10"/>
      <name val="Arial"/>
      <family val="2"/>
    </font>
    <font>
      <sz val="10"/>
      <name val="Helv"/>
    </font>
    <font>
      <b/>
      <sz val="14"/>
      <color rgb="FF0070C0"/>
      <name val="Calibri"/>
      <family val="2"/>
      <scheme val="minor"/>
    </font>
    <font>
      <b/>
      <sz val="12"/>
      <color rgb="FF0070C0"/>
      <name val="Calibri"/>
      <family val="2"/>
      <scheme val="minor"/>
    </font>
    <font>
      <sz val="12"/>
      <color rgb="FF0070C0"/>
      <name val="Calibri"/>
      <family val="2"/>
      <scheme val="minor"/>
    </font>
    <font>
      <sz val="14"/>
      <color rgb="FF0070C0"/>
      <name val="Calibri"/>
      <family val="2"/>
      <scheme val="minor"/>
    </font>
    <font>
      <sz val="12"/>
      <color theme="1"/>
      <name val="Calibri"/>
      <family val="2"/>
      <scheme val="minor"/>
    </font>
    <font>
      <b/>
      <sz val="12"/>
      <color theme="1"/>
      <name val="Calibri"/>
      <family val="2"/>
      <scheme val="minor"/>
    </font>
    <font>
      <b/>
      <sz val="11"/>
      <color rgb="FF0070C0"/>
      <name val="Calibri"/>
      <family val="2"/>
      <scheme val="minor"/>
    </font>
    <font>
      <b/>
      <i/>
      <sz val="12"/>
      <color rgb="FF0070C0"/>
      <name val="Calibri"/>
      <family val="2"/>
      <scheme val="minor"/>
    </font>
    <font>
      <b/>
      <sz val="11"/>
      <name val="Calibri"/>
      <family val="2"/>
      <scheme val="minor"/>
    </font>
    <font>
      <b/>
      <sz val="14"/>
      <color theme="1"/>
      <name val="Calibri"/>
      <family val="2"/>
      <scheme val="minor"/>
    </font>
    <font>
      <sz val="14"/>
      <color theme="1"/>
      <name val="Calibri"/>
      <family val="2"/>
      <scheme val="minor"/>
    </font>
    <font>
      <b/>
      <sz val="9"/>
      <color indexed="81"/>
      <name val="Tahoma"/>
      <family val="2"/>
    </font>
    <font>
      <sz val="9"/>
      <color indexed="81"/>
      <name val="Tahoma"/>
      <family val="2"/>
    </font>
    <font>
      <b/>
      <sz val="12"/>
      <name val="Calibri"/>
      <family val="2"/>
      <scheme val="minor"/>
    </font>
    <font>
      <sz val="11"/>
      <color rgb="FF0070C0"/>
      <name val="Calibri"/>
      <family val="2"/>
      <scheme val="minor"/>
    </font>
    <font>
      <b/>
      <sz val="11"/>
      <color rgb="FFFF0000"/>
      <name val="Calibri"/>
      <family val="2"/>
      <scheme val="minor"/>
    </font>
    <font>
      <b/>
      <sz val="12"/>
      <color indexed="8"/>
      <name val="Arial"/>
      <family val="2"/>
    </font>
    <font>
      <sz val="12"/>
      <name val="Arial"/>
      <family val="2"/>
    </font>
    <font>
      <b/>
      <sz val="11"/>
      <color indexed="8"/>
      <name val="Arial"/>
      <family val="2"/>
    </font>
    <font>
      <b/>
      <vertAlign val="subscript"/>
      <sz val="11"/>
      <color indexed="8"/>
      <name val="Arial"/>
      <family val="2"/>
    </font>
    <font>
      <sz val="11"/>
      <color indexed="8"/>
      <name val="Arial"/>
      <family val="2"/>
    </font>
    <font>
      <sz val="11"/>
      <name val="Arial"/>
      <family val="2"/>
    </font>
    <font>
      <vertAlign val="subscript"/>
      <sz val="11"/>
      <name val="Arial"/>
      <family val="2"/>
    </font>
    <font>
      <sz val="11"/>
      <color theme="1"/>
      <name val="Arial"/>
      <family val="2"/>
    </font>
    <font>
      <sz val="11"/>
      <color rgb="FF000000"/>
      <name val="Arial"/>
      <family val="2"/>
    </font>
    <font>
      <vertAlign val="superscript"/>
      <sz val="11"/>
      <name val="Arial"/>
      <family val="2"/>
    </font>
    <font>
      <b/>
      <sz val="10"/>
      <name val="Arial"/>
      <family val="2"/>
    </font>
    <font>
      <b/>
      <sz val="10"/>
      <color indexed="8"/>
      <name val="Arial"/>
      <family val="2"/>
    </font>
    <font>
      <b/>
      <vertAlign val="subscript"/>
      <sz val="10"/>
      <color indexed="8"/>
      <name val="Arial"/>
      <family val="2"/>
    </font>
    <font>
      <b/>
      <vertAlign val="superscript"/>
      <sz val="10"/>
      <color indexed="8"/>
      <name val="Arial"/>
      <family val="2"/>
    </font>
    <font>
      <sz val="10"/>
      <color indexed="8"/>
      <name val="Arial"/>
      <family val="2"/>
    </font>
    <font>
      <vertAlign val="subscript"/>
      <sz val="10"/>
      <name val="Arial"/>
      <family val="2"/>
    </font>
    <font>
      <vertAlign val="superscript"/>
      <sz val="10"/>
      <name val="Arial"/>
      <family val="2"/>
    </font>
    <font>
      <b/>
      <sz val="11"/>
      <name val="Arial"/>
      <family val="2"/>
    </font>
    <font>
      <b/>
      <vertAlign val="subscript"/>
      <sz val="11"/>
      <name val="Arial"/>
      <family val="2"/>
    </font>
    <font>
      <b/>
      <vertAlign val="superscript"/>
      <sz val="10"/>
      <name val="Arial"/>
      <family val="2"/>
    </font>
    <font>
      <vertAlign val="subscript"/>
      <sz val="11"/>
      <color indexed="8"/>
      <name val="Arial"/>
      <family val="2"/>
    </font>
    <font>
      <b/>
      <vertAlign val="subscript"/>
      <sz val="14"/>
      <color theme="1"/>
      <name val="Calibri"/>
      <family val="2"/>
      <scheme val="minor"/>
    </font>
    <font>
      <vertAlign val="superscript"/>
      <sz val="10"/>
      <color indexed="8"/>
      <name val="Arial"/>
      <family val="2"/>
    </font>
    <font>
      <b/>
      <vertAlign val="superscript"/>
      <sz val="11"/>
      <color indexed="8"/>
      <name val="Arial"/>
      <family val="2"/>
    </font>
    <font>
      <b/>
      <vertAlign val="subscript"/>
      <sz val="10"/>
      <name val="Arial"/>
      <family val="2"/>
    </font>
    <font>
      <vertAlign val="subscript"/>
      <sz val="11"/>
      <color theme="1"/>
      <name val="Calibri"/>
      <family val="2"/>
      <scheme val="minor"/>
    </font>
    <font>
      <sz val="10"/>
      <color rgb="FFFF0000"/>
      <name val="Arial"/>
      <family val="2"/>
    </font>
    <font>
      <vertAlign val="superscript"/>
      <sz val="11"/>
      <color theme="1"/>
      <name val="Calibri"/>
      <family val="2"/>
      <scheme val="minor"/>
    </font>
    <font>
      <b/>
      <vertAlign val="superscript"/>
      <sz val="12"/>
      <color theme="1"/>
      <name val="Calibri"/>
      <family val="2"/>
      <scheme val="minor"/>
    </font>
    <font>
      <vertAlign val="superscript"/>
      <sz val="12"/>
      <color theme="1"/>
      <name val="Calibri"/>
      <family val="2"/>
      <scheme val="minor"/>
    </font>
    <font>
      <strike/>
      <vertAlign val="superscript"/>
      <sz val="10"/>
      <color indexed="8"/>
      <name val="Arial"/>
      <family val="2"/>
    </font>
    <font>
      <b/>
      <sz val="11"/>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indexed="9"/>
        <bgColor indexed="64"/>
      </patternFill>
    </fill>
    <fill>
      <patternFill patternType="gray0625"/>
    </fill>
    <fill>
      <patternFill patternType="solid">
        <fgColor theme="7" tint="0.79998168889431442"/>
        <bgColor indexed="64"/>
      </patternFill>
    </fill>
    <fill>
      <patternFill patternType="solid">
        <fgColor theme="4" tint="0.79998168889431442"/>
        <bgColor indexed="64"/>
      </patternFill>
    </fill>
  </fills>
  <borders count="100">
    <border>
      <left/>
      <right/>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bottom style="double">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medium">
        <color indexed="64"/>
      </bottom>
      <diagonal/>
    </border>
    <border>
      <left/>
      <right/>
      <top/>
      <bottom style="double">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double">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style="thick">
        <color auto="1"/>
      </right>
      <top/>
      <bottom style="thick">
        <color auto="1"/>
      </bottom>
      <diagonal/>
    </border>
    <border>
      <left/>
      <right/>
      <top/>
      <bottom style="thick">
        <color auto="1"/>
      </bottom>
      <diagonal/>
    </border>
    <border>
      <left style="thick">
        <color auto="1"/>
      </left>
      <right/>
      <top/>
      <bottom style="thick">
        <color auto="1"/>
      </bottom>
      <diagonal/>
    </border>
    <border>
      <left/>
      <right style="thick">
        <color auto="1"/>
      </right>
      <top/>
      <bottom/>
      <diagonal/>
    </border>
    <border>
      <left style="thick">
        <color auto="1"/>
      </left>
      <right/>
      <top/>
      <bottom/>
      <diagonal/>
    </border>
    <border>
      <left/>
      <right style="thick">
        <color auto="1"/>
      </right>
      <top style="thin">
        <color auto="1"/>
      </top>
      <bottom style="thin">
        <color auto="1"/>
      </bottom>
      <diagonal/>
    </border>
    <border>
      <left style="thick">
        <color auto="1"/>
      </left>
      <right/>
      <top style="thin">
        <color auto="1"/>
      </top>
      <bottom style="thin">
        <color auto="1"/>
      </bottom>
      <diagonal/>
    </border>
    <border>
      <left/>
      <right style="thick">
        <color auto="1"/>
      </right>
      <top style="double">
        <color indexed="64"/>
      </top>
      <bottom/>
      <diagonal/>
    </border>
    <border>
      <left/>
      <right/>
      <top style="double">
        <color indexed="64"/>
      </top>
      <bottom/>
      <diagonal/>
    </border>
    <border>
      <left style="thick">
        <color auto="1"/>
      </left>
      <right/>
      <top style="double">
        <color indexed="64"/>
      </top>
      <bottom/>
      <diagonal/>
    </border>
    <border>
      <left/>
      <right style="thick">
        <color auto="1"/>
      </right>
      <top/>
      <bottom style="double">
        <color indexed="64"/>
      </bottom>
      <diagonal/>
    </border>
    <border>
      <left style="thick">
        <color auto="1"/>
      </left>
      <right/>
      <top/>
      <bottom style="double">
        <color indexed="64"/>
      </bottom>
      <diagonal/>
    </border>
    <border>
      <left/>
      <right style="thick">
        <color indexed="64"/>
      </right>
      <top/>
      <bottom style="medium">
        <color indexed="64"/>
      </bottom>
      <diagonal/>
    </border>
    <border>
      <left style="thick">
        <color indexed="64"/>
      </left>
      <right/>
      <top/>
      <bottom style="medium">
        <color indexed="64"/>
      </bottom>
      <diagonal/>
    </border>
    <border>
      <left/>
      <right style="thick">
        <color auto="1"/>
      </right>
      <top style="thick">
        <color auto="1"/>
      </top>
      <bottom/>
      <diagonal/>
    </border>
    <border>
      <left/>
      <right/>
      <top style="thick">
        <color indexed="64"/>
      </top>
      <bottom/>
      <diagonal/>
    </border>
    <border>
      <left style="thick">
        <color indexed="64"/>
      </left>
      <right/>
      <top style="thick">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ck">
        <color indexed="64"/>
      </right>
      <top style="thin">
        <color indexed="64"/>
      </top>
      <bottom style="thin">
        <color indexed="64"/>
      </bottom>
      <diagonal/>
    </border>
    <border>
      <left/>
      <right style="thick">
        <color indexed="64"/>
      </right>
      <top style="medium">
        <color indexed="64"/>
      </top>
      <bottom style="medium">
        <color indexed="64"/>
      </bottom>
      <diagonal/>
    </border>
    <border>
      <left/>
      <right/>
      <top style="medium">
        <color indexed="64"/>
      </top>
      <bottom style="medium">
        <color indexed="64"/>
      </bottom>
      <diagonal/>
    </border>
    <border>
      <left style="thick">
        <color indexed="64"/>
      </left>
      <right/>
      <top style="medium">
        <color indexed="64"/>
      </top>
      <bottom style="medium">
        <color indexed="64"/>
      </bottom>
      <diagonal/>
    </border>
    <border>
      <left/>
      <right style="thick">
        <color indexed="64"/>
      </right>
      <top style="medium">
        <color indexed="64"/>
      </top>
      <bottom/>
      <diagonal/>
    </border>
    <border>
      <left style="thick">
        <color indexed="64"/>
      </left>
      <right/>
      <top style="medium">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medium">
        <color indexed="64"/>
      </bottom>
      <diagonal/>
    </border>
    <border>
      <left/>
      <right style="medium">
        <color indexed="64"/>
      </right>
      <top style="double">
        <color indexed="64"/>
      </top>
      <bottom style="thin">
        <color indexed="64"/>
      </bottom>
      <diagonal/>
    </border>
    <border>
      <left style="thin">
        <color indexed="64"/>
      </left>
      <right/>
      <top/>
      <bottom/>
      <diagonal/>
    </border>
    <border>
      <left style="medium">
        <color indexed="64"/>
      </left>
      <right style="thin">
        <color indexed="64"/>
      </right>
      <top style="double">
        <color indexed="64"/>
      </top>
      <bottom/>
      <diagonal/>
    </border>
    <border>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style="medium">
        <color indexed="64"/>
      </top>
      <bottom style="thin">
        <color indexed="64"/>
      </bottom>
      <diagonal/>
    </border>
    <border>
      <left style="thin">
        <color indexed="64"/>
      </left>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thin">
        <color indexed="64"/>
      </top>
      <bottom/>
      <diagonal/>
    </border>
  </borders>
  <cellStyleXfs count="6">
    <xf numFmtId="0" fontId="0" fillId="0" borderId="0"/>
    <xf numFmtId="9" fontId="2" fillId="0" borderId="0" applyFont="0" applyFill="0" applyBorder="0" applyAlignment="0" applyProtection="0"/>
    <xf numFmtId="0" fontId="4" fillId="0" borderId="0"/>
    <xf numFmtId="15" fontId="5" fillId="4" borderId="0"/>
    <xf numFmtId="0" fontId="2" fillId="0" borderId="0"/>
    <xf numFmtId="43" fontId="2" fillId="0" borderId="0" applyFont="0" applyFill="0" applyBorder="0" applyAlignment="0" applyProtection="0"/>
  </cellStyleXfs>
  <cellXfs count="476">
    <xf numFmtId="0" fontId="0" fillId="0" borderId="0" xfId="0"/>
    <xf numFmtId="15" fontId="4" fillId="0" borderId="0" xfId="3" applyFont="1" applyFill="1" applyBorder="1" applyAlignment="1">
      <alignment wrapText="1"/>
    </xf>
    <xf numFmtId="41" fontId="6" fillId="0" borderId="57" xfId="0" applyNumberFormat="1" applyFont="1" applyBorder="1"/>
    <xf numFmtId="44" fontId="7" fillId="0" borderId="58" xfId="0" applyNumberFormat="1" applyFont="1" applyBorder="1" applyAlignment="1">
      <alignment horizontal="right"/>
    </xf>
    <xf numFmtId="44" fontId="8" fillId="0" borderId="58" xfId="0" applyNumberFormat="1" applyFont="1" applyBorder="1"/>
    <xf numFmtId="44" fontId="9" fillId="0" borderId="58" xfId="0" applyNumberFormat="1" applyFont="1" applyBorder="1"/>
    <xf numFmtId="0" fontId="6" fillId="0" borderId="58" xfId="0" applyFont="1" applyBorder="1"/>
    <xf numFmtId="0" fontId="9" fillId="0" borderId="58" xfId="0" applyFont="1" applyBorder="1"/>
    <xf numFmtId="0" fontId="6" fillId="0" borderId="59" xfId="0" applyFont="1" applyBorder="1"/>
    <xf numFmtId="44" fontId="0" fillId="0" borderId="60" xfId="0" applyNumberFormat="1" applyBorder="1"/>
    <xf numFmtId="44" fontId="0" fillId="0" borderId="0" xfId="0" applyNumberFormat="1" applyBorder="1"/>
    <xf numFmtId="0" fontId="0" fillId="0" borderId="0" xfId="0" applyBorder="1"/>
    <xf numFmtId="0" fontId="10" fillId="0" borderId="0" xfId="0" applyFont="1" applyBorder="1"/>
    <xf numFmtId="0" fontId="10" fillId="0" borderId="61" xfId="0" applyFont="1" applyBorder="1"/>
    <xf numFmtId="44" fontId="0" fillId="0" borderId="0" xfId="0" applyNumberFormat="1" applyBorder="1" applyAlignment="1">
      <alignment horizontal="center"/>
    </xf>
    <xf numFmtId="0" fontId="11" fillId="0" borderId="61" xfId="0" applyFont="1" applyBorder="1"/>
    <xf numFmtId="41" fontId="12" fillId="0" borderId="62" xfId="0" applyNumberFormat="1" applyFont="1" applyBorder="1"/>
    <xf numFmtId="44" fontId="7" fillId="0" borderId="42" xfId="0" applyNumberFormat="1" applyFont="1" applyBorder="1" applyAlignment="1">
      <alignment horizontal="right"/>
    </xf>
    <xf numFmtId="44" fontId="12" fillId="0" borderId="42" xfId="0" applyNumberFormat="1" applyFont="1" applyBorder="1"/>
    <xf numFmtId="0" fontId="12" fillId="0" borderId="42" xfId="0" applyFont="1" applyBorder="1"/>
    <xf numFmtId="0" fontId="7" fillId="0" borderId="42" xfId="0" applyFont="1" applyBorder="1"/>
    <xf numFmtId="0" fontId="13" fillId="0" borderId="63" xfId="0" applyFont="1" applyBorder="1"/>
    <xf numFmtId="44" fontId="0" fillId="0" borderId="60" xfId="0" applyNumberFormat="1" applyBorder="1" applyAlignment="1">
      <alignment horizontal="right"/>
    </xf>
    <xf numFmtId="44" fontId="0" fillId="0" borderId="0" xfId="0" applyNumberFormat="1" applyBorder="1" applyAlignment="1">
      <alignment horizontal="right"/>
    </xf>
    <xf numFmtId="42" fontId="0" fillId="0" borderId="0" xfId="0" applyNumberFormat="1" applyBorder="1"/>
    <xf numFmtId="9" fontId="0" fillId="0" borderId="0" xfId="1" applyFont="1" applyBorder="1"/>
    <xf numFmtId="0" fontId="0" fillId="0" borderId="0" xfId="0" applyBorder="1" applyAlignment="1">
      <alignment horizontal="center"/>
    </xf>
    <xf numFmtId="9" fontId="0" fillId="5" borderId="7" xfId="1" applyFont="1" applyFill="1" applyBorder="1"/>
    <xf numFmtId="49" fontId="10" fillId="0" borderId="61" xfId="0" applyNumberFormat="1" applyFont="1" applyBorder="1"/>
    <xf numFmtId="41" fontId="3" fillId="0" borderId="62" xfId="0" applyNumberFormat="1" applyFont="1" applyBorder="1"/>
    <xf numFmtId="42" fontId="3" fillId="0" borderId="42" xfId="0" applyNumberFormat="1" applyFont="1" applyBorder="1"/>
    <xf numFmtId="44" fontId="3" fillId="0" borderId="42" xfId="0" applyNumberFormat="1" applyFont="1" applyBorder="1"/>
    <xf numFmtId="0" fontId="3" fillId="0" borderId="42" xfId="0" applyFont="1" applyBorder="1"/>
    <xf numFmtId="0" fontId="3" fillId="0" borderId="42" xfId="0" applyFont="1" applyBorder="1" applyAlignment="1">
      <alignment horizontal="center"/>
    </xf>
    <xf numFmtId="0" fontId="13" fillId="0" borderId="42" xfId="0" applyFont="1" applyBorder="1"/>
    <xf numFmtId="0" fontId="0" fillId="5" borderId="7" xfId="0" applyFont="1" applyFill="1" applyBorder="1" applyAlignment="1">
      <alignment horizontal="center"/>
    </xf>
    <xf numFmtId="9" fontId="0" fillId="5" borderId="7" xfId="1" applyFont="1" applyFill="1" applyBorder="1" applyAlignment="1">
      <alignment horizontal="center"/>
    </xf>
    <xf numFmtId="0" fontId="3" fillId="0" borderId="0" xfId="0" applyFont="1" applyBorder="1"/>
    <xf numFmtId="42" fontId="0" fillId="0" borderId="60" xfId="0" applyNumberFormat="1" applyBorder="1"/>
    <xf numFmtId="0" fontId="11" fillId="0" borderId="42" xfId="0" applyFont="1" applyBorder="1"/>
    <xf numFmtId="0" fontId="0" fillId="0" borderId="0" xfId="0" applyBorder="1" applyAlignment="1">
      <alignment horizontal="right"/>
    </xf>
    <xf numFmtId="0" fontId="11" fillId="0" borderId="0" xfId="0" applyFont="1" applyBorder="1"/>
    <xf numFmtId="42" fontId="0" fillId="0" borderId="0" xfId="0" applyNumberFormat="1"/>
    <xf numFmtId="49" fontId="11" fillId="0" borderId="61" xfId="0" applyNumberFormat="1" applyFont="1" applyBorder="1"/>
    <xf numFmtId="42" fontId="0" fillId="0" borderId="42" xfId="0" applyNumberFormat="1" applyBorder="1"/>
    <xf numFmtId="0" fontId="0" fillId="0" borderId="42" xfId="0" applyBorder="1" applyAlignment="1"/>
    <xf numFmtId="0" fontId="10" fillId="0" borderId="42" xfId="0" applyFont="1" applyBorder="1"/>
    <xf numFmtId="42" fontId="3" fillId="0" borderId="60" xfId="0" applyNumberFormat="1" applyFont="1" applyBorder="1"/>
    <xf numFmtId="44" fontId="3" fillId="0" borderId="0" xfId="0" applyNumberFormat="1" applyFont="1" applyBorder="1" applyAlignment="1">
      <alignment horizontal="right"/>
    </xf>
    <xf numFmtId="42" fontId="0" fillId="0" borderId="0" xfId="0" applyNumberFormat="1" applyFont="1" applyBorder="1"/>
    <xf numFmtId="0" fontId="0" fillId="0" borderId="0" xfId="0" applyFont="1" applyBorder="1"/>
    <xf numFmtId="0" fontId="0" fillId="0" borderId="0" xfId="0" applyFont="1" applyBorder="1" applyAlignment="1">
      <alignment horizontal="center"/>
    </xf>
    <xf numFmtId="0" fontId="3" fillId="0" borderId="61" xfId="0" applyFont="1" applyBorder="1"/>
    <xf numFmtId="42" fontId="0" fillId="0" borderId="0" xfId="0" applyNumberFormat="1" applyFont="1" applyFill="1" applyBorder="1"/>
    <xf numFmtId="0" fontId="0" fillId="0" borderId="0" xfId="0" applyFont="1" applyFill="1" applyBorder="1"/>
    <xf numFmtId="0" fontId="0" fillId="0" borderId="0" xfId="0" applyFont="1" applyFill="1" applyBorder="1" applyAlignment="1">
      <alignment horizontal="center"/>
    </xf>
    <xf numFmtId="0" fontId="0" fillId="0" borderId="61" xfId="0" applyFont="1" applyFill="1" applyBorder="1"/>
    <xf numFmtId="42" fontId="0" fillId="0" borderId="60" xfId="0" applyNumberFormat="1" applyFont="1" applyBorder="1"/>
    <xf numFmtId="44" fontId="0" fillId="0" borderId="0" xfId="0" applyNumberFormat="1" applyFont="1" applyBorder="1" applyAlignment="1">
      <alignment horizontal="right"/>
    </xf>
    <xf numFmtId="10" fontId="0" fillId="5" borderId="7" xfId="0" applyNumberFormat="1" applyFont="1" applyFill="1" applyBorder="1" applyAlignment="1">
      <alignment horizontal="center"/>
    </xf>
    <xf numFmtId="0" fontId="0" fillId="0" borderId="61" xfId="0" applyFont="1" applyBorder="1"/>
    <xf numFmtId="44" fontId="0" fillId="5" borderId="7" xfId="0" applyNumberFormat="1" applyFont="1" applyFill="1" applyBorder="1"/>
    <xf numFmtId="0" fontId="0" fillId="0" borderId="0" xfId="0" applyFill="1" applyBorder="1" applyAlignment="1">
      <alignment horizontal="center"/>
    </xf>
    <xf numFmtId="42" fontId="1" fillId="0" borderId="0" xfId="0" applyNumberFormat="1" applyFont="1" applyFill="1" applyBorder="1"/>
    <xf numFmtId="0" fontId="1" fillId="0" borderId="0" xfId="0" applyFont="1" applyFill="1" applyBorder="1"/>
    <xf numFmtId="0" fontId="1" fillId="0" borderId="0" xfId="0" applyFont="1" applyFill="1" applyBorder="1" applyAlignment="1">
      <alignment horizontal="center"/>
    </xf>
    <xf numFmtId="0" fontId="14" fillId="0" borderId="0" xfId="0" applyFont="1" applyFill="1" applyBorder="1"/>
    <xf numFmtId="0" fontId="14" fillId="0" borderId="61" xfId="0" applyFont="1" applyFill="1" applyBorder="1"/>
    <xf numFmtId="42" fontId="0" fillId="0" borderId="0" xfId="0" applyNumberFormat="1" applyFill="1" applyBorder="1"/>
    <xf numFmtId="0" fontId="3" fillId="0" borderId="0" xfId="0" applyFont="1" applyFill="1" applyBorder="1"/>
    <xf numFmtId="0" fontId="3" fillId="0" borderId="61" xfId="0" applyFont="1" applyFill="1" applyBorder="1"/>
    <xf numFmtId="44" fontId="0" fillId="0" borderId="0" xfId="0" applyNumberFormat="1" applyFill="1" applyBorder="1"/>
    <xf numFmtId="0" fontId="11" fillId="0" borderId="0" xfId="0" applyFont="1" applyFill="1" applyBorder="1"/>
    <xf numFmtId="3" fontId="0" fillId="5" borderId="7" xfId="0" applyNumberFormat="1" applyFill="1" applyBorder="1" applyAlignment="1">
      <alignment horizontal="center"/>
    </xf>
    <xf numFmtId="49" fontId="3" fillId="0" borderId="0" xfId="0" applyNumberFormat="1" applyFont="1" applyBorder="1" applyAlignment="1">
      <alignment horizontal="right"/>
    </xf>
    <xf numFmtId="0" fontId="0" fillId="0" borderId="60" xfId="0" applyBorder="1"/>
    <xf numFmtId="49" fontId="0" fillId="0" borderId="0" xfId="0" applyNumberFormat="1" applyBorder="1" applyAlignment="1">
      <alignment horizontal="center"/>
    </xf>
    <xf numFmtId="0" fontId="3" fillId="0" borderId="60" xfId="0" applyFont="1" applyBorder="1" applyAlignment="1">
      <alignment horizontal="center"/>
    </xf>
    <xf numFmtId="0" fontId="3" fillId="0" borderId="0" xfId="0" applyFont="1" applyFill="1" applyBorder="1" applyAlignment="1">
      <alignment horizontal="center"/>
    </xf>
    <xf numFmtId="0" fontId="14" fillId="0" borderId="0" xfId="0" applyFont="1" applyBorder="1" applyAlignment="1">
      <alignment horizontal="center"/>
    </xf>
    <xf numFmtId="0" fontId="3" fillId="0" borderId="0" xfId="0" applyFont="1" applyBorder="1" applyAlignment="1">
      <alignment horizontal="center"/>
    </xf>
    <xf numFmtId="0" fontId="0" fillId="0" borderId="64" xfId="0" applyBorder="1"/>
    <xf numFmtId="0" fontId="0" fillId="0" borderId="65" xfId="0" applyBorder="1"/>
    <xf numFmtId="0" fontId="3" fillId="0" borderId="65" xfId="0" applyFont="1" applyFill="1" applyBorder="1" applyAlignment="1">
      <alignment horizontal="center"/>
    </xf>
    <xf numFmtId="0" fontId="14" fillId="0" borderId="65" xfId="0" applyFont="1" applyBorder="1" applyAlignment="1">
      <alignment horizontal="center"/>
    </xf>
    <xf numFmtId="0" fontId="3" fillId="0" borderId="65" xfId="0" applyFont="1" applyBorder="1" applyAlignment="1">
      <alignment horizontal="center"/>
    </xf>
    <xf numFmtId="0" fontId="15" fillId="0" borderId="66" xfId="0" applyFont="1" applyBorder="1"/>
    <xf numFmtId="0" fontId="0" fillId="0" borderId="69" xfId="0" applyBorder="1" applyAlignment="1">
      <alignment horizontal="right"/>
    </xf>
    <xf numFmtId="0" fontId="0" fillId="0" borderId="47" xfId="0" applyBorder="1" applyAlignment="1">
      <alignment horizontal="right"/>
    </xf>
    <xf numFmtId="0" fontId="0" fillId="0" borderId="47" xfId="0" applyBorder="1"/>
    <xf numFmtId="0" fontId="0" fillId="0" borderId="70" xfId="0" applyBorder="1"/>
    <xf numFmtId="0" fontId="0" fillId="0" borderId="60" xfId="0" applyBorder="1" applyAlignment="1">
      <alignment horizontal="right"/>
    </xf>
    <xf numFmtId="0" fontId="0" fillId="0" borderId="61" xfId="0" applyBorder="1"/>
    <xf numFmtId="0" fontId="0" fillId="0" borderId="45" xfId="0" applyBorder="1"/>
    <xf numFmtId="14" fontId="0" fillId="0" borderId="71" xfId="0" applyNumberFormat="1" applyBorder="1" applyAlignment="1">
      <alignment horizontal="right"/>
    </xf>
    <xf numFmtId="0" fontId="0" fillId="0" borderId="72" xfId="0" applyBorder="1" applyAlignment="1">
      <alignment horizontal="right"/>
    </xf>
    <xf numFmtId="0" fontId="0" fillId="0" borderId="72" xfId="0" applyBorder="1"/>
    <xf numFmtId="0" fontId="16" fillId="0" borderId="72" xfId="0" applyFont="1" applyBorder="1"/>
    <xf numFmtId="0" fontId="15" fillId="0" borderId="73" xfId="0" applyFont="1" applyBorder="1"/>
    <xf numFmtId="0" fontId="0" fillId="0" borderId="74" xfId="0" applyBorder="1"/>
    <xf numFmtId="0" fontId="0" fillId="5" borderId="10" xfId="0" applyFill="1" applyBorder="1" applyAlignment="1">
      <alignment horizontal="center"/>
    </xf>
    <xf numFmtId="0" fontId="0" fillId="0" borderId="75" xfId="0" applyBorder="1"/>
    <xf numFmtId="0" fontId="0" fillId="0" borderId="76" xfId="0" applyBorder="1"/>
    <xf numFmtId="0" fontId="0" fillId="0" borderId="77" xfId="0" applyBorder="1"/>
    <xf numFmtId="2" fontId="0" fillId="5" borderId="7" xfId="0" applyNumberFormat="1" applyFill="1" applyBorder="1" applyAlignment="1">
      <alignment horizontal="center"/>
    </xf>
    <xf numFmtId="0" fontId="3" fillId="0" borderId="0" xfId="0" applyFont="1" applyAlignment="1">
      <alignment horizontal="center"/>
    </xf>
    <xf numFmtId="0" fontId="3" fillId="0" borderId="78" xfId="0" applyFont="1" applyBorder="1" applyAlignment="1">
      <alignment horizontal="center"/>
    </xf>
    <xf numFmtId="0" fontId="0" fillId="0" borderId="79" xfId="0" applyBorder="1"/>
    <xf numFmtId="0" fontId="3" fillId="0" borderId="80" xfId="0" applyFont="1" applyBorder="1" applyAlignment="1">
      <alignment horizontal="left"/>
    </xf>
    <xf numFmtId="42" fontId="0" fillId="0" borderId="57" xfId="0" applyNumberFormat="1" applyBorder="1"/>
    <xf numFmtId="49" fontId="12" fillId="0" borderId="58" xfId="0" applyNumberFormat="1" applyFont="1" applyBorder="1" applyAlignment="1">
      <alignment horizontal="right"/>
    </xf>
    <xf numFmtId="0" fontId="0" fillId="0" borderId="58" xfId="0" applyBorder="1"/>
    <xf numFmtId="0" fontId="7" fillId="0" borderId="58" xfId="0" applyFont="1" applyBorder="1"/>
    <xf numFmtId="0" fontId="11" fillId="0" borderId="58" xfId="0" applyFont="1" applyBorder="1"/>
    <xf numFmtId="0" fontId="11" fillId="0" borderId="59" xfId="0" applyFont="1" applyBorder="1"/>
    <xf numFmtId="49" fontId="0" fillId="0" borderId="0" xfId="0" applyNumberFormat="1" applyBorder="1" applyAlignment="1">
      <alignment horizontal="right"/>
    </xf>
    <xf numFmtId="42" fontId="0" fillId="0" borderId="62" xfId="0" applyNumberFormat="1" applyBorder="1"/>
    <xf numFmtId="42" fontId="12" fillId="0" borderId="42" xfId="0" applyNumberFormat="1" applyFont="1" applyBorder="1" applyAlignment="1">
      <alignment horizontal="right"/>
    </xf>
    <xf numFmtId="42" fontId="12" fillId="0" borderId="42" xfId="0" applyNumberFormat="1" applyFont="1" applyBorder="1"/>
    <xf numFmtId="0" fontId="0" fillId="0" borderId="42" xfId="0" applyBorder="1"/>
    <xf numFmtId="49" fontId="19" fillId="0" borderId="42" xfId="0" applyNumberFormat="1" applyFont="1" applyBorder="1"/>
    <xf numFmtId="49" fontId="19" fillId="0" borderId="63" xfId="0" applyNumberFormat="1" applyFont="1" applyBorder="1"/>
    <xf numFmtId="49" fontId="3" fillId="0" borderId="0" xfId="0" applyNumberFormat="1" applyFont="1" applyBorder="1"/>
    <xf numFmtId="49" fontId="3" fillId="0" borderId="61" xfId="0" applyNumberFormat="1" applyFont="1" applyBorder="1"/>
    <xf numFmtId="42" fontId="20" fillId="0" borderId="42" xfId="0" applyNumberFormat="1" applyFont="1" applyBorder="1"/>
    <xf numFmtId="42" fontId="0" fillId="0" borderId="42" xfId="0" applyNumberFormat="1" applyFill="1" applyBorder="1"/>
    <xf numFmtId="44" fontId="0" fillId="0" borderId="42" xfId="0" applyNumberFormat="1" applyBorder="1" applyAlignment="1">
      <alignment horizontal="right"/>
    </xf>
    <xf numFmtId="0" fontId="20" fillId="0" borderId="42" xfId="0" applyFont="1" applyBorder="1" applyAlignment="1">
      <alignment horizontal="center"/>
    </xf>
    <xf numFmtId="0" fontId="20" fillId="0" borderId="42" xfId="0" applyFont="1" applyBorder="1"/>
    <xf numFmtId="49" fontId="12" fillId="0" borderId="42" xfId="0" applyNumberFormat="1" applyFont="1" applyBorder="1"/>
    <xf numFmtId="49" fontId="12" fillId="0" borderId="63" xfId="0" applyNumberFormat="1" applyFont="1" applyBorder="1"/>
    <xf numFmtId="0" fontId="21" fillId="0" borderId="0" xfId="0" applyFont="1"/>
    <xf numFmtId="42" fontId="14" fillId="0" borderId="0" xfId="0" applyNumberFormat="1" applyFont="1" applyBorder="1" applyAlignment="1">
      <alignment horizontal="right"/>
    </xf>
    <xf numFmtId="42" fontId="12" fillId="0" borderId="0" xfId="0" applyNumberFormat="1" applyFont="1" applyBorder="1"/>
    <xf numFmtId="49" fontId="0" fillId="0" borderId="61" xfId="0" applyNumberFormat="1" applyBorder="1"/>
    <xf numFmtId="0" fontId="0" fillId="0" borderId="60" xfId="0" applyFill="1" applyBorder="1" applyAlignment="1">
      <alignment horizontal="center"/>
    </xf>
    <xf numFmtId="42" fontId="0" fillId="0" borderId="0" xfId="0" applyNumberFormat="1" applyBorder="1" applyAlignment="1">
      <alignment horizontal="right"/>
    </xf>
    <xf numFmtId="167" fontId="0" fillId="0" borderId="0" xfId="0" applyNumberFormat="1" applyFill="1" applyBorder="1"/>
    <xf numFmtId="0" fontId="0" fillId="0" borderId="0" xfId="0" applyFill="1" applyBorder="1"/>
    <xf numFmtId="10" fontId="0" fillId="5" borderId="7" xfId="0" applyNumberFormat="1" applyFill="1" applyBorder="1" applyAlignment="1">
      <alignment horizontal="center"/>
    </xf>
    <xf numFmtId="42" fontId="12" fillId="0" borderId="0" xfId="0" applyNumberFormat="1" applyFont="1" applyBorder="1" applyAlignment="1">
      <alignment horizontal="right"/>
    </xf>
    <xf numFmtId="42" fontId="20" fillId="0" borderId="0" xfId="0" applyNumberFormat="1" applyFont="1" applyBorder="1"/>
    <xf numFmtId="49" fontId="12" fillId="0" borderId="0" xfId="0" applyNumberFormat="1" applyFont="1" applyBorder="1"/>
    <xf numFmtId="42" fontId="0" fillId="0" borderId="42" xfId="0" applyNumberFormat="1" applyBorder="1" applyAlignment="1">
      <alignment horizontal="right"/>
    </xf>
    <xf numFmtId="167" fontId="0" fillId="0" borderId="42" xfId="0" applyNumberFormat="1" applyBorder="1" applyAlignment="1">
      <alignment horizontal="center"/>
    </xf>
    <xf numFmtId="0" fontId="0" fillId="0" borderId="42" xfId="0" applyBorder="1" applyAlignment="1">
      <alignment horizontal="left"/>
    </xf>
    <xf numFmtId="0" fontId="0" fillId="0" borderId="61" xfId="0" applyBorder="1" applyAlignment="1">
      <alignment horizontal="left"/>
    </xf>
    <xf numFmtId="44" fontId="0" fillId="0" borderId="0" xfId="0" applyNumberFormat="1" applyBorder="1" applyAlignment="1"/>
    <xf numFmtId="9" fontId="0" fillId="0" borderId="0" xfId="1" applyFont="1" applyFill="1" applyBorder="1" applyAlignment="1">
      <alignment horizontal="center"/>
    </xf>
    <xf numFmtId="49" fontId="0" fillId="0" borderId="0" xfId="0" applyNumberFormat="1" applyBorder="1"/>
    <xf numFmtId="2" fontId="0" fillId="0" borderId="0" xfId="0" applyNumberFormat="1" applyFill="1" applyBorder="1" applyAlignment="1">
      <alignment horizontal="center"/>
    </xf>
    <xf numFmtId="1" fontId="0" fillId="5" borderId="7" xfId="0" applyNumberFormat="1" applyFill="1" applyBorder="1" applyAlignment="1">
      <alignment horizontal="center"/>
    </xf>
    <xf numFmtId="0" fontId="3" fillId="0" borderId="85" xfId="0" applyFont="1" applyBorder="1" applyAlignment="1">
      <alignment horizontal="center"/>
    </xf>
    <xf numFmtId="0" fontId="3" fillId="0" borderId="79" xfId="0" applyFont="1" applyFill="1" applyBorder="1" applyAlignment="1">
      <alignment horizontal="center"/>
    </xf>
    <xf numFmtId="0" fontId="14" fillId="0" borderId="79" xfId="0" applyFont="1" applyBorder="1" applyAlignment="1">
      <alignment horizontal="center"/>
    </xf>
    <xf numFmtId="0" fontId="3" fillId="0" borderId="79" xfId="0" applyFont="1" applyBorder="1" applyAlignment="1">
      <alignment horizontal="center"/>
    </xf>
    <xf numFmtId="0" fontId="11" fillId="0" borderId="79" xfId="0" applyFont="1" applyBorder="1"/>
    <xf numFmtId="0" fontId="11" fillId="0" borderId="86" xfId="0" applyFont="1" applyBorder="1"/>
    <xf numFmtId="0" fontId="15" fillId="0" borderId="72" xfId="0" applyFont="1" applyBorder="1"/>
    <xf numFmtId="44" fontId="0" fillId="0" borderId="0" xfId="0" applyNumberFormat="1" applyFont="1" applyFill="1" applyBorder="1"/>
    <xf numFmtId="42" fontId="0" fillId="5" borderId="81" xfId="0" applyNumberFormat="1" applyFill="1" applyBorder="1" applyAlignment="1">
      <alignment horizontal="center"/>
    </xf>
    <xf numFmtId="0" fontId="24" fillId="0" borderId="0" xfId="0" applyFont="1" applyAlignment="1">
      <alignment horizontal="centerContinuous"/>
    </xf>
    <xf numFmtId="0" fontId="26" fillId="0" borderId="0" xfId="0" applyFont="1" applyAlignment="1">
      <alignment horizontal="center"/>
    </xf>
    <xf numFmtId="0" fontId="27" fillId="0" borderId="8" xfId="0" applyFont="1" applyBorder="1" applyAlignment="1">
      <alignment horizontal="center" vertical="center"/>
    </xf>
    <xf numFmtId="0" fontId="27" fillId="0" borderId="8" xfId="0" applyFont="1" applyFill="1" applyBorder="1" applyAlignment="1">
      <alignment horizontal="center" vertical="center"/>
    </xf>
    <xf numFmtId="0" fontId="27" fillId="0" borderId="11" xfId="0" applyFont="1" applyFill="1" applyBorder="1" applyAlignment="1">
      <alignment horizontal="center" vertical="center"/>
    </xf>
    <xf numFmtId="0" fontId="29" fillId="0" borderId="0" xfId="0" applyFont="1"/>
    <xf numFmtId="0" fontId="29" fillId="0" borderId="0" xfId="0" applyFont="1" applyFill="1"/>
    <xf numFmtId="0" fontId="24" fillId="0" borderId="0" xfId="0" applyFont="1" applyAlignment="1">
      <alignment horizontal="left"/>
    </xf>
    <xf numFmtId="0" fontId="27" fillId="0" borderId="8" xfId="0" applyFont="1" applyBorder="1" applyAlignment="1">
      <alignment horizontal="center"/>
    </xf>
    <xf numFmtId="0" fontId="27" fillId="0" borderId="0" xfId="0" applyFont="1" applyFill="1" applyBorder="1" applyAlignment="1">
      <alignment horizontal="left" vertical="center"/>
    </xf>
    <xf numFmtId="0" fontId="27" fillId="0" borderId="9" xfId="0" applyFont="1" applyFill="1" applyBorder="1" applyAlignment="1">
      <alignment horizontal="center" vertical="center"/>
    </xf>
    <xf numFmtId="0" fontId="27" fillId="0" borderId="35" xfId="0" applyFont="1" applyFill="1" applyBorder="1" applyAlignment="1">
      <alignment horizontal="center" vertical="center"/>
    </xf>
    <xf numFmtId="0" fontId="27" fillId="0" borderId="4" xfId="0" applyFont="1" applyFill="1" applyBorder="1" applyAlignment="1">
      <alignment horizontal="center" vertical="center"/>
    </xf>
    <xf numFmtId="0" fontId="4" fillId="0" borderId="0" xfId="2" applyFont="1"/>
    <xf numFmtId="0" fontId="22" fillId="0" borderId="0" xfId="2" applyFont="1" applyBorder="1"/>
    <xf numFmtId="0" fontId="4" fillId="0" borderId="0" xfId="2" applyFont="1" applyBorder="1"/>
    <xf numFmtId="0" fontId="4" fillId="0" borderId="0" xfId="2" applyFont="1" applyAlignment="1">
      <alignment horizontal="center" vertical="center" wrapText="1"/>
    </xf>
    <xf numFmtId="0" fontId="32" fillId="3" borderId="38" xfId="2" applyFont="1" applyFill="1" applyBorder="1" applyAlignment="1">
      <alignment horizontal="center" vertical="center" wrapText="1"/>
    </xf>
    <xf numFmtId="0" fontId="32" fillId="3" borderId="39" xfId="2" applyFont="1" applyFill="1" applyBorder="1" applyAlignment="1">
      <alignment horizontal="center" vertical="center" wrapText="1"/>
    </xf>
    <xf numFmtId="0" fontId="32" fillId="3" borderId="13" xfId="2" applyFont="1" applyFill="1" applyBorder="1" applyAlignment="1">
      <alignment horizontal="center" vertical="top" wrapText="1"/>
    </xf>
    <xf numFmtId="0" fontId="4" fillId="0" borderId="0" xfId="2" applyFont="1" applyAlignment="1"/>
    <xf numFmtId="0" fontId="36" fillId="0" borderId="5" xfId="2" applyFont="1" applyFill="1" applyBorder="1" applyAlignment="1">
      <alignment horizontal="center" vertical="center" wrapText="1"/>
    </xf>
    <xf numFmtId="165" fontId="36" fillId="0" borderId="7" xfId="2" applyNumberFormat="1" applyFont="1" applyFill="1" applyBorder="1" applyAlignment="1">
      <alignment horizontal="center" vertical="center" wrapText="1"/>
    </xf>
    <xf numFmtId="0" fontId="4" fillId="0" borderId="0" xfId="2" applyFont="1" applyFill="1" applyAlignment="1"/>
    <xf numFmtId="0" fontId="36" fillId="0" borderId="44" xfId="2" applyFont="1" applyFill="1" applyBorder="1" applyAlignment="1">
      <alignment horizontal="center" vertical="center" wrapText="1"/>
    </xf>
    <xf numFmtId="0" fontId="36" fillId="0" borderId="45" xfId="2" applyFont="1" applyFill="1" applyBorder="1" applyAlignment="1">
      <alignment horizontal="center" vertical="center" wrapText="1"/>
    </xf>
    <xf numFmtId="166" fontId="36" fillId="0" borderId="45" xfId="2" applyNumberFormat="1" applyFont="1" applyFill="1" applyBorder="1" applyAlignment="1">
      <alignment horizontal="center" vertical="center" wrapText="1"/>
    </xf>
    <xf numFmtId="0" fontId="4" fillId="0" borderId="5" xfId="0" applyFont="1" applyBorder="1" applyAlignment="1">
      <alignment horizontal="center" vertical="center" wrapText="1"/>
    </xf>
    <xf numFmtId="2" fontId="4" fillId="0" borderId="56" xfId="0" applyNumberFormat="1" applyFont="1" applyBorder="1" applyAlignment="1">
      <alignment horizontal="center" vertical="center" wrapText="1"/>
    </xf>
    <xf numFmtId="165" fontId="4" fillId="0" borderId="7" xfId="2" applyNumberFormat="1" applyFont="1" applyFill="1" applyBorder="1" applyAlignment="1">
      <alignment horizontal="center" vertical="center" wrapText="1"/>
    </xf>
    <xf numFmtId="0" fontId="36" fillId="0" borderId="7" xfId="2" applyFont="1" applyFill="1" applyBorder="1" applyAlignment="1">
      <alignment horizontal="center" vertical="center" wrapText="1"/>
    </xf>
    <xf numFmtId="165" fontId="36" fillId="0" borderId="8" xfId="2" applyNumberFormat="1" applyFont="1" applyFill="1" applyBorder="1" applyAlignment="1">
      <alignment horizontal="center" vertical="center" wrapText="1"/>
    </xf>
    <xf numFmtId="0" fontId="4" fillId="0" borderId="0" xfId="2" applyFont="1" applyAlignment="1">
      <alignment vertical="center"/>
    </xf>
    <xf numFmtId="0" fontId="36" fillId="0" borderId="8" xfId="2" applyFont="1" applyFill="1" applyBorder="1" applyAlignment="1">
      <alignment horizontal="center" vertical="center" wrapText="1"/>
    </xf>
    <xf numFmtId="0" fontId="4" fillId="0" borderId="0" xfId="2" applyFont="1" applyAlignment="1">
      <alignment wrapText="1"/>
    </xf>
    <xf numFmtId="0" fontId="38" fillId="0" borderId="0" xfId="2" applyFont="1" applyAlignment="1"/>
    <xf numFmtId="0" fontId="4" fillId="0" borderId="0" xfId="2" applyFont="1" applyAlignment="1">
      <alignment horizontal="left" indent="8"/>
    </xf>
    <xf numFmtId="0" fontId="27" fillId="0" borderId="0" xfId="2" applyFont="1"/>
    <xf numFmtId="0" fontId="22" fillId="0" borderId="47" xfId="2" applyFont="1" applyBorder="1" applyAlignment="1">
      <alignment wrapText="1"/>
    </xf>
    <xf numFmtId="0" fontId="4" fillId="0" borderId="47" xfId="2" applyFont="1" applyBorder="1" applyAlignment="1">
      <alignment wrapText="1"/>
    </xf>
    <xf numFmtId="0" fontId="32" fillId="2" borderId="26" xfId="2" applyFont="1" applyFill="1" applyBorder="1" applyAlignment="1">
      <alignment horizontal="centerContinuous" vertical="center" wrapText="1"/>
    </xf>
    <xf numFmtId="0" fontId="32" fillId="2" borderId="48" xfId="2" applyFont="1" applyFill="1" applyBorder="1" applyAlignment="1">
      <alignment horizontal="centerContinuous" vertical="center" wrapText="1"/>
    </xf>
    <xf numFmtId="0" fontId="33" fillId="2" borderId="49" xfId="2" applyFont="1" applyFill="1" applyBorder="1" applyAlignment="1">
      <alignment horizontal="centerContinuous" vertical="top" wrapText="1"/>
    </xf>
    <xf numFmtId="0" fontId="33" fillId="2" borderId="50" xfId="2" applyFont="1" applyFill="1" applyBorder="1" applyAlignment="1">
      <alignment horizontal="centerContinuous" vertical="top" wrapText="1"/>
    </xf>
    <xf numFmtId="0" fontId="32" fillId="2" borderId="51" xfId="2" applyFont="1" applyFill="1" applyBorder="1" applyAlignment="1">
      <alignment horizontal="center" vertical="center" wrapText="1"/>
    </xf>
    <xf numFmtId="0" fontId="32" fillId="2" borderId="52" xfId="2" applyFont="1" applyFill="1" applyBorder="1" applyAlignment="1">
      <alignment horizontal="center" vertical="center" wrapText="1"/>
    </xf>
    <xf numFmtId="0" fontId="32" fillId="2" borderId="52" xfId="2" applyFont="1" applyFill="1" applyBorder="1" applyAlignment="1">
      <alignment horizontal="center" vertical="top" wrapText="1"/>
    </xf>
    <xf numFmtId="0" fontId="32" fillId="2" borderId="34" xfId="2" applyFont="1" applyFill="1" applyBorder="1" applyAlignment="1">
      <alignment horizontal="center" vertical="top" wrapText="1"/>
    </xf>
    <xf numFmtId="0" fontId="32" fillId="3" borderId="14" xfId="2" applyFont="1" applyFill="1" applyBorder="1" applyAlignment="1">
      <alignment horizontal="center" vertical="center" wrapText="1"/>
    </xf>
    <xf numFmtId="0" fontId="33" fillId="3" borderId="12" xfId="2" applyFont="1" applyFill="1" applyBorder="1" applyAlignment="1">
      <alignment horizontal="center" vertical="top" wrapText="1"/>
    </xf>
    <xf numFmtId="0" fontId="32" fillId="3" borderId="40" xfId="2" applyFont="1" applyFill="1" applyBorder="1" applyAlignment="1">
      <alignment horizontal="center" vertical="top" wrapText="1"/>
    </xf>
    <xf numFmtId="0" fontId="4" fillId="0" borderId="29" xfId="2" applyFont="1" applyFill="1" applyBorder="1" applyAlignment="1">
      <alignment horizontal="center" vertical="center" wrapText="1"/>
    </xf>
    <xf numFmtId="0" fontId="4" fillId="0" borderId="45" xfId="2" applyFont="1" applyFill="1" applyBorder="1" applyAlignment="1">
      <alignment horizontal="center" vertical="center" wrapText="1"/>
    </xf>
    <xf numFmtId="0" fontId="36" fillId="0" borderId="21" xfId="2" applyFont="1" applyFill="1" applyBorder="1" applyAlignment="1">
      <alignment horizontal="center" vertical="center" wrapText="1"/>
    </xf>
    <xf numFmtId="0" fontId="36" fillId="0" borderId="53" xfId="2" applyFont="1" applyFill="1" applyBorder="1" applyAlignment="1">
      <alignment horizontal="center" vertical="center" wrapText="1"/>
    </xf>
    <xf numFmtId="0" fontId="36" fillId="0" borderId="29" xfId="2" applyFont="1" applyFill="1" applyBorder="1" applyAlignment="1">
      <alignment horizontal="center" vertical="center" wrapText="1"/>
    </xf>
    <xf numFmtId="0" fontId="36" fillId="0" borderId="35" xfId="2" applyFont="1" applyFill="1" applyBorder="1" applyAlignment="1">
      <alignment horizontal="center" vertical="center" wrapText="1"/>
    </xf>
    <xf numFmtId="0" fontId="36" fillId="0" borderId="4" xfId="2" applyFont="1" applyFill="1" applyBorder="1" applyAlignment="1">
      <alignment horizontal="center" vertical="center" wrapText="1"/>
    </xf>
    <xf numFmtId="164" fontId="4" fillId="0" borderId="8" xfId="2" applyNumberFormat="1" applyFont="1" applyFill="1" applyBorder="1" applyAlignment="1">
      <alignment horizontal="center" vertical="center" wrapText="1"/>
    </xf>
    <xf numFmtId="0" fontId="4" fillId="0" borderId="54" xfId="2" applyFont="1" applyFill="1" applyBorder="1" applyAlignment="1">
      <alignment horizontal="center" vertical="center" wrapText="1"/>
    </xf>
    <xf numFmtId="0" fontId="4" fillId="0" borderId="47" xfId="2" applyFont="1" applyFill="1" applyBorder="1" applyAlignment="1">
      <alignment horizontal="center" vertical="center" wrapText="1"/>
    </xf>
    <xf numFmtId="0" fontId="4" fillId="0" borderId="55" xfId="2" applyFont="1" applyFill="1" applyBorder="1" applyAlignment="1">
      <alignment horizontal="center" vertical="center" wrapText="1"/>
    </xf>
    <xf numFmtId="0" fontId="4" fillId="0" borderId="0" xfId="2" applyFont="1" applyAlignment="1">
      <alignment horizontal="left" wrapText="1"/>
    </xf>
    <xf numFmtId="0" fontId="4" fillId="0" borderId="0" xfId="2" applyFont="1" applyBorder="1" applyAlignment="1">
      <alignment wrapText="1"/>
    </xf>
    <xf numFmtId="0" fontId="38" fillId="0" borderId="0" xfId="2" applyFont="1" applyAlignment="1">
      <alignment wrapText="1"/>
    </xf>
    <xf numFmtId="0" fontId="24" fillId="2" borderId="1" xfId="0" applyFont="1" applyFill="1" applyBorder="1" applyAlignment="1">
      <alignment horizontal="center"/>
    </xf>
    <xf numFmtId="0" fontId="24" fillId="2" borderId="2" xfId="0" applyFont="1" applyFill="1" applyBorder="1" applyAlignment="1">
      <alignment horizontal="center"/>
    </xf>
    <xf numFmtId="0" fontId="24" fillId="2" borderId="3" xfId="0" applyFont="1" applyFill="1" applyBorder="1" applyAlignment="1">
      <alignment horizontal="center"/>
    </xf>
    <xf numFmtId="0" fontId="27" fillId="0" borderId="4" xfId="0" applyFont="1" applyBorder="1" applyAlignment="1">
      <alignment horizontal="center" vertical="center"/>
    </xf>
    <xf numFmtId="0" fontId="27" fillId="0" borderId="30" xfId="0" applyFont="1" applyBorder="1" applyAlignment="1">
      <alignment horizontal="center"/>
    </xf>
    <xf numFmtId="0" fontId="27" fillId="0" borderId="31" xfId="0" applyFont="1" applyBorder="1" applyAlignment="1">
      <alignment horizontal="center" vertical="center"/>
    </xf>
    <xf numFmtId="0" fontId="27" fillId="0" borderId="32" xfId="0" applyFont="1" applyBorder="1" applyAlignment="1">
      <alignment horizontal="center"/>
    </xf>
    <xf numFmtId="0" fontId="27" fillId="0" borderId="4" xfId="0" applyFont="1" applyBorder="1" applyAlignment="1">
      <alignment horizontal="center"/>
    </xf>
    <xf numFmtId="0" fontId="27" fillId="0" borderId="7" xfId="0" applyFont="1" applyBorder="1" applyAlignment="1">
      <alignment horizontal="center"/>
    </xf>
    <xf numFmtId="0" fontId="27" fillId="0" borderId="10" xfId="0" applyFont="1" applyBorder="1" applyAlignment="1">
      <alignment horizontal="center"/>
    </xf>
    <xf numFmtId="0" fontId="27" fillId="0" borderId="11" xfId="0" applyFont="1" applyBorder="1" applyAlignment="1">
      <alignment horizontal="center"/>
    </xf>
    <xf numFmtId="0" fontId="0" fillId="0" borderId="42" xfId="0" applyBorder="1" applyAlignment="1">
      <alignment horizontal="right"/>
    </xf>
    <xf numFmtId="42" fontId="3" fillId="0" borderId="62" xfId="0" applyNumberFormat="1" applyFont="1" applyBorder="1"/>
    <xf numFmtId="42" fontId="12" fillId="0" borderId="62" xfId="0" applyNumberFormat="1" applyFont="1" applyBorder="1"/>
    <xf numFmtId="42" fontId="6" fillId="0" borderId="57" xfId="0" applyNumberFormat="1" applyFont="1" applyBorder="1"/>
    <xf numFmtId="164" fontId="4" fillId="0" borderId="56" xfId="0" applyNumberFormat="1" applyFont="1" applyBorder="1" applyAlignment="1">
      <alignment horizontal="center" vertical="center" wrapText="1"/>
    </xf>
    <xf numFmtId="0" fontId="36" fillId="0" borderId="10" xfId="2" applyFont="1" applyFill="1" applyBorder="1" applyAlignment="1">
      <alignment horizontal="center" vertical="center" wrapText="1"/>
    </xf>
    <xf numFmtId="164" fontId="4" fillId="0" borderId="11" xfId="2" applyNumberFormat="1" applyFont="1" applyFill="1" applyBorder="1" applyAlignment="1">
      <alignment horizontal="center" vertical="center" wrapText="1"/>
    </xf>
    <xf numFmtId="3" fontId="0" fillId="5" borderId="7" xfId="0" applyNumberFormat="1" applyFont="1" applyFill="1" applyBorder="1" applyAlignment="1">
      <alignment horizontal="center"/>
    </xf>
    <xf numFmtId="1" fontId="0" fillId="5" borderId="81" xfId="0" applyNumberFormat="1" applyFill="1" applyBorder="1" applyAlignment="1">
      <alignment horizontal="center"/>
    </xf>
    <xf numFmtId="168" fontId="0" fillId="5" borderId="7" xfId="5" applyNumberFormat="1" applyFont="1" applyFill="1" applyBorder="1" applyAlignment="1">
      <alignment horizontal="center"/>
    </xf>
    <xf numFmtId="43" fontId="0" fillId="5" borderId="7" xfId="5" applyFont="1" applyFill="1" applyBorder="1" applyAlignment="1">
      <alignment horizontal="center"/>
    </xf>
    <xf numFmtId="0" fontId="0" fillId="5" borderId="7" xfId="0" applyFill="1" applyBorder="1" applyAlignment="1">
      <alignment horizontal="center"/>
    </xf>
    <xf numFmtId="0" fontId="0" fillId="0" borderId="42" xfId="0" applyBorder="1" applyAlignment="1">
      <alignment horizontal="center"/>
    </xf>
    <xf numFmtId="14" fontId="0" fillId="0" borderId="71" xfId="0" applyNumberFormat="1" applyBorder="1"/>
    <xf numFmtId="42" fontId="0" fillId="0" borderId="0" xfId="0" quotePrefix="1" applyNumberFormat="1" applyBorder="1" applyAlignment="1">
      <alignment horizontal="right"/>
    </xf>
    <xf numFmtId="42" fontId="0" fillId="0" borderId="0" xfId="0" applyNumberFormat="1" applyFill="1" applyBorder="1" applyAlignment="1">
      <alignment horizontal="right"/>
    </xf>
    <xf numFmtId="42" fontId="0" fillId="0" borderId="0" xfId="0" quotePrefix="1" applyNumberFormat="1" applyFill="1" applyBorder="1" applyAlignment="1">
      <alignment horizontal="right"/>
    </xf>
    <xf numFmtId="1" fontId="0" fillId="5" borderId="7" xfId="1" applyNumberFormat="1" applyFont="1" applyFill="1" applyBorder="1" applyAlignment="1">
      <alignment horizontal="center"/>
    </xf>
    <xf numFmtId="0" fontId="0" fillId="0" borderId="0" xfId="0" quotePrefix="1" applyAlignment="1">
      <alignment horizontal="right"/>
    </xf>
    <xf numFmtId="42" fontId="0" fillId="0" borderId="0" xfId="0" quotePrefix="1" applyNumberFormat="1" applyFont="1" applyBorder="1" applyAlignment="1">
      <alignment horizontal="right"/>
    </xf>
    <xf numFmtId="10" fontId="0" fillId="5" borderId="7" xfId="1" applyNumberFormat="1" applyFont="1" applyFill="1" applyBorder="1" applyAlignment="1">
      <alignment horizontal="center"/>
    </xf>
    <xf numFmtId="0" fontId="11" fillId="0" borderId="61" xfId="0" applyFont="1" applyBorder="1" applyAlignment="1">
      <alignment horizontal="left"/>
    </xf>
    <xf numFmtId="2" fontId="0" fillId="5" borderId="81" xfId="0" applyNumberFormat="1" applyFill="1" applyBorder="1" applyAlignment="1">
      <alignment horizontal="center"/>
    </xf>
    <xf numFmtId="44" fontId="0" fillId="0" borderId="0" xfId="0" applyNumberFormat="1"/>
    <xf numFmtId="4" fontId="0" fillId="0" borderId="0" xfId="0" applyNumberFormat="1"/>
    <xf numFmtId="0" fontId="0" fillId="5" borderId="7" xfId="0" applyFill="1" applyBorder="1" applyAlignment="1">
      <alignment horizontal="center"/>
    </xf>
    <xf numFmtId="0" fontId="0" fillId="0" borderId="42" xfId="0" applyBorder="1" applyAlignment="1">
      <alignment horizontal="center"/>
    </xf>
    <xf numFmtId="0" fontId="4" fillId="0" borderId="30" xfId="2" applyFont="1" applyFill="1" applyBorder="1" applyAlignment="1">
      <alignment horizontal="center" vertical="center" wrapText="1"/>
    </xf>
    <xf numFmtId="4" fontId="27" fillId="0" borderId="0" xfId="0" applyNumberFormat="1" applyFont="1" applyFill="1" applyBorder="1" applyAlignment="1">
      <alignment horizontal="right" vertical="center"/>
    </xf>
    <xf numFmtId="3" fontId="27" fillId="0" borderId="0" xfId="0" applyNumberFormat="1" applyFont="1" applyFill="1" applyBorder="1" applyAlignment="1">
      <alignment horizontal="left" vertical="center"/>
    </xf>
    <xf numFmtId="0" fontId="38" fillId="0" borderId="0" xfId="2" applyFont="1" applyAlignment="1">
      <alignment horizontal="left" wrapText="1"/>
    </xf>
    <xf numFmtId="0" fontId="38" fillId="0" borderId="0" xfId="2" applyFont="1" applyFill="1" applyAlignment="1"/>
    <xf numFmtId="0" fontId="27" fillId="0" borderId="30" xfId="0" applyFont="1" applyBorder="1" applyAlignment="1">
      <alignment horizontal="center" vertical="center"/>
    </xf>
    <xf numFmtId="0" fontId="26" fillId="0" borderId="0" xfId="0" applyFont="1" applyBorder="1" applyAlignment="1">
      <alignment horizontal="center" vertical="center"/>
    </xf>
    <xf numFmtId="0" fontId="26" fillId="0" borderId="0" xfId="0" applyFont="1" applyBorder="1" applyAlignment="1">
      <alignment horizontal="center" vertical="center" wrapText="1"/>
    </xf>
    <xf numFmtId="0" fontId="27" fillId="0" borderId="0" xfId="0" applyFont="1" applyBorder="1" applyAlignment="1">
      <alignment horizontal="center" vertical="center"/>
    </xf>
    <xf numFmtId="164" fontId="26" fillId="0" borderId="0" xfId="0" applyNumberFormat="1" applyFont="1" applyFill="1" applyBorder="1" applyAlignment="1">
      <alignment horizontal="center" vertical="center" wrapText="1"/>
    </xf>
    <xf numFmtId="164" fontId="27" fillId="0" borderId="0" xfId="0" applyNumberFormat="1" applyFont="1" applyFill="1" applyBorder="1" applyAlignment="1">
      <alignment horizontal="center"/>
    </xf>
    <xf numFmtId="3" fontId="29" fillId="0" borderId="0" xfId="0" applyNumberFormat="1" applyFont="1"/>
    <xf numFmtId="3" fontId="30" fillId="0" borderId="4" xfId="0" applyNumberFormat="1" applyFont="1" applyFill="1" applyBorder="1" applyAlignment="1">
      <alignment horizontal="center" vertical="center" wrapText="1"/>
    </xf>
    <xf numFmtId="3" fontId="29" fillId="0" borderId="30" xfId="0" applyNumberFormat="1" applyFont="1" applyFill="1" applyBorder="1" applyAlignment="1">
      <alignment horizontal="center" vertical="center"/>
    </xf>
    <xf numFmtId="4" fontId="30" fillId="0" borderId="4" xfId="0" applyNumberFormat="1" applyFont="1" applyFill="1" applyBorder="1" applyAlignment="1">
      <alignment horizontal="center" vertical="center" wrapText="1"/>
    </xf>
    <xf numFmtId="4" fontId="29" fillId="0" borderId="30" xfId="0" applyNumberFormat="1" applyFont="1" applyFill="1" applyBorder="1" applyAlignment="1">
      <alignment horizontal="center" vertical="center"/>
    </xf>
    <xf numFmtId="0" fontId="29" fillId="0" borderId="0" xfId="0" applyFont="1" applyAlignment="1">
      <alignment vertical="center"/>
    </xf>
    <xf numFmtId="0" fontId="29" fillId="0" borderId="0" xfId="0" applyFont="1" applyFill="1" applyAlignment="1">
      <alignment vertical="center"/>
    </xf>
    <xf numFmtId="0" fontId="4" fillId="0" borderId="5" xfId="0" applyFont="1" applyFill="1" applyBorder="1" applyAlignment="1">
      <alignment horizontal="center" vertical="center" wrapText="1"/>
    </xf>
    <xf numFmtId="0" fontId="4" fillId="0" borderId="0" xfId="2" applyFont="1" applyFill="1" applyAlignment="1">
      <alignment vertical="center"/>
    </xf>
    <xf numFmtId="0" fontId="36" fillId="0" borderId="46" xfId="2" applyNumberFormat="1" applyFont="1" applyFill="1" applyBorder="1" applyAlignment="1">
      <alignment horizontal="center" vertical="center" wrapText="1"/>
    </xf>
    <xf numFmtId="0" fontId="23" fillId="0" borderId="44" xfId="0" applyFont="1" applyFill="1" applyBorder="1" applyAlignment="1">
      <alignment horizontal="center" vertical="center" wrapText="1"/>
    </xf>
    <xf numFmtId="0" fontId="23" fillId="0" borderId="45" xfId="0" applyFont="1" applyFill="1" applyBorder="1" applyAlignment="1">
      <alignment horizontal="center" vertical="center" wrapText="1"/>
    </xf>
    <xf numFmtId="0" fontId="36" fillId="0" borderId="43" xfId="2"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90" xfId="0" applyFont="1" applyBorder="1" applyAlignment="1">
      <alignment horizontal="center" vertical="center" wrapText="1"/>
    </xf>
    <xf numFmtId="0" fontId="36" fillId="0" borderId="11" xfId="2" applyFont="1" applyFill="1" applyBorder="1" applyAlignment="1">
      <alignment horizontal="center" vertical="center" wrapText="1"/>
    </xf>
    <xf numFmtId="0" fontId="33" fillId="3" borderId="39" xfId="2" applyFont="1" applyFill="1" applyBorder="1" applyAlignment="1">
      <alignment horizontal="center" vertical="top" wrapText="1"/>
    </xf>
    <xf numFmtId="0" fontId="32" fillId="3" borderId="91" xfId="2" applyFont="1" applyFill="1" applyBorder="1" applyAlignment="1">
      <alignment horizontal="center" vertical="top" wrapText="1"/>
    </xf>
    <xf numFmtId="0" fontId="0" fillId="5" borderId="53" xfId="0" applyFill="1" applyBorder="1" applyAlignment="1">
      <alignment horizontal="center"/>
    </xf>
    <xf numFmtId="0" fontId="0" fillId="5" borderId="7" xfId="0" applyFill="1" applyBorder="1" applyAlignment="1">
      <alignment horizontal="center"/>
    </xf>
    <xf numFmtId="0" fontId="0" fillId="0" borderId="42" xfId="0" applyBorder="1" applyAlignment="1">
      <alignment horizontal="center"/>
    </xf>
    <xf numFmtId="0" fontId="48" fillId="0" borderId="0" xfId="2" applyFont="1" applyAlignment="1">
      <alignment wrapText="1"/>
    </xf>
    <xf numFmtId="0" fontId="3" fillId="0" borderId="42" xfId="0" applyFont="1" applyBorder="1" applyAlignment="1"/>
    <xf numFmtId="49" fontId="0" fillId="0" borderId="60" xfId="0" applyNumberFormat="1" applyBorder="1" applyAlignment="1">
      <alignment horizontal="right"/>
    </xf>
    <xf numFmtId="49" fontId="0" fillId="0" borderId="92" xfId="0" applyNumberFormat="1" applyBorder="1" applyAlignment="1">
      <alignment horizontal="right"/>
    </xf>
    <xf numFmtId="0" fontId="49" fillId="0" borderId="0" xfId="0" applyFont="1"/>
    <xf numFmtId="3" fontId="0" fillId="5" borderId="81" xfId="0" applyNumberFormat="1" applyFill="1" applyBorder="1" applyAlignment="1">
      <alignment horizontal="center"/>
    </xf>
    <xf numFmtId="49" fontId="0" fillId="0" borderId="60" xfId="0" applyNumberFormat="1" applyFont="1" applyBorder="1" applyAlignment="1">
      <alignment horizontal="right"/>
    </xf>
    <xf numFmtId="49" fontId="0" fillId="0" borderId="0" xfId="0" applyNumberFormat="1" applyFont="1" applyBorder="1" applyAlignment="1">
      <alignment horizontal="right"/>
    </xf>
    <xf numFmtId="3" fontId="36" fillId="0" borderId="7" xfId="2" applyNumberFormat="1" applyFont="1" applyFill="1" applyBorder="1" applyAlignment="1">
      <alignment horizontal="center" vertical="center" wrapText="1"/>
    </xf>
    <xf numFmtId="1" fontId="36" fillId="0" borderId="7" xfId="2" applyNumberFormat="1" applyFont="1" applyFill="1" applyBorder="1" applyAlignment="1">
      <alignment horizontal="center" vertical="center" wrapText="1"/>
    </xf>
    <xf numFmtId="1" fontId="36" fillId="0" borderId="4" xfId="2" applyNumberFormat="1" applyFont="1" applyFill="1" applyBorder="1" applyAlignment="1">
      <alignment horizontal="center" vertical="center" wrapText="1"/>
    </xf>
    <xf numFmtId="0" fontId="4" fillId="0" borderId="52" xfId="2" applyFont="1" applyFill="1" applyBorder="1" applyAlignment="1">
      <alignment horizontal="center" vertical="center" wrapText="1"/>
    </xf>
    <xf numFmtId="0" fontId="4" fillId="0" borderId="7" xfId="2" applyFont="1" applyFill="1" applyBorder="1" applyAlignment="1">
      <alignment horizontal="center" vertical="center" wrapText="1"/>
    </xf>
    <xf numFmtId="0" fontId="49" fillId="0" borderId="0" xfId="0" applyFont="1" applyAlignment="1">
      <alignment horizontal="left" wrapText="1"/>
    </xf>
    <xf numFmtId="0" fontId="0" fillId="0" borderId="0" xfId="0" applyAlignment="1">
      <alignment horizontal="left" wrapText="1"/>
    </xf>
    <xf numFmtId="0" fontId="15" fillId="0" borderId="66" xfId="0" applyFont="1" applyBorder="1" applyAlignment="1">
      <alignment vertical="top"/>
    </xf>
    <xf numFmtId="0" fontId="0" fillId="0" borderId="65" xfId="0" applyBorder="1" applyAlignment="1">
      <alignment vertical="top"/>
    </xf>
    <xf numFmtId="0" fontId="3" fillId="0" borderId="65" xfId="0" applyFont="1" applyBorder="1" applyAlignment="1">
      <alignment horizontal="center" vertical="top"/>
    </xf>
    <xf numFmtId="0" fontId="14" fillId="0" borderId="65" xfId="0" applyFont="1" applyBorder="1" applyAlignment="1">
      <alignment horizontal="center" vertical="top"/>
    </xf>
    <xf numFmtId="0" fontId="11" fillId="0" borderId="61" xfId="0" applyFont="1" applyBorder="1" applyAlignment="1">
      <alignment vertical="top"/>
    </xf>
    <xf numFmtId="0" fontId="0" fillId="0" borderId="0" xfId="0" applyBorder="1" applyAlignment="1">
      <alignment vertical="top"/>
    </xf>
    <xf numFmtId="0" fontId="3" fillId="0" borderId="0" xfId="0" applyFont="1" applyBorder="1" applyAlignment="1">
      <alignment horizontal="center" vertical="top"/>
    </xf>
    <xf numFmtId="0" fontId="14" fillId="0" borderId="0" xfId="0" applyFont="1" applyBorder="1" applyAlignment="1">
      <alignment horizontal="center" vertical="top"/>
    </xf>
    <xf numFmtId="0" fontId="0" fillId="0" borderId="0" xfId="0" applyAlignment="1">
      <alignment horizontal="left"/>
    </xf>
    <xf numFmtId="0" fontId="49" fillId="0" borderId="0" xfId="0" applyFont="1" applyAlignment="1"/>
    <xf numFmtId="0" fontId="0" fillId="0" borderId="0" xfId="0" applyAlignment="1"/>
    <xf numFmtId="0" fontId="3" fillId="0" borderId="65" xfId="0" applyFont="1" applyFill="1" applyBorder="1" applyAlignment="1">
      <alignment horizontal="center" vertical="top" wrapText="1"/>
    </xf>
    <xf numFmtId="0" fontId="0" fillId="0" borderId="0" xfId="0" applyAlignment="1">
      <alignment horizontal="center"/>
    </xf>
    <xf numFmtId="0" fontId="53" fillId="0" borderId="0" xfId="0" applyFont="1" applyAlignment="1">
      <alignment horizontal="center"/>
    </xf>
    <xf numFmtId="0" fontId="0" fillId="5" borderId="7" xfId="0" applyFill="1" applyBorder="1" applyAlignment="1">
      <alignment horizontal="center"/>
    </xf>
    <xf numFmtId="3" fontId="0" fillId="0" borderId="0" xfId="0" applyNumberFormat="1" applyFill="1" applyBorder="1" applyAlignment="1">
      <alignment horizontal="center"/>
    </xf>
    <xf numFmtId="0" fontId="7" fillId="0" borderId="0" xfId="0" applyFont="1" applyBorder="1"/>
    <xf numFmtId="49" fontId="12" fillId="0" borderId="0" xfId="0" applyNumberFormat="1" applyFont="1" applyBorder="1" applyAlignment="1">
      <alignment horizontal="right"/>
    </xf>
    <xf numFmtId="42" fontId="0" fillId="5" borderId="7" xfId="0" applyNumberFormat="1" applyFill="1" applyBorder="1" applyAlignment="1">
      <alignment horizontal="center"/>
    </xf>
    <xf numFmtId="42" fontId="0" fillId="5" borderId="7" xfId="1" applyNumberFormat="1" applyFont="1" applyFill="1" applyBorder="1" applyAlignment="1">
      <alignment horizontal="center"/>
    </xf>
    <xf numFmtId="0" fontId="24" fillId="0" borderId="93" xfId="0" applyFont="1" applyFill="1" applyBorder="1" applyAlignment="1">
      <alignment horizontal="center" vertical="center"/>
    </xf>
    <xf numFmtId="0" fontId="24" fillId="0" borderId="94" xfId="0" applyFont="1" applyFill="1" applyBorder="1" applyAlignment="1">
      <alignment horizontal="center" vertical="center"/>
    </xf>
    <xf numFmtId="0" fontId="24" fillId="0" borderId="95" xfId="0" applyFont="1" applyFill="1" applyBorder="1" applyAlignment="1">
      <alignment horizontal="center" vertical="center"/>
    </xf>
    <xf numFmtId="0" fontId="27" fillId="0" borderId="96" xfId="0" applyFont="1" applyBorder="1" applyAlignment="1">
      <alignment horizontal="center" vertical="center"/>
    </xf>
    <xf numFmtId="0" fontId="27" fillId="0" borderId="11" xfId="0" applyFont="1" applyBorder="1" applyAlignment="1">
      <alignment horizontal="center" vertical="center"/>
    </xf>
    <xf numFmtId="0" fontId="27" fillId="0" borderId="30" xfId="0" applyFont="1" applyFill="1" applyBorder="1" applyAlignment="1">
      <alignment horizontal="center" vertical="center"/>
    </xf>
    <xf numFmtId="0" fontId="24" fillId="0" borderId="97" xfId="0" applyFont="1" applyFill="1" applyBorder="1" applyAlignment="1">
      <alignment horizontal="center" vertical="center"/>
    </xf>
    <xf numFmtId="0" fontId="24" fillId="0" borderId="98" xfId="0" applyFont="1" applyFill="1" applyBorder="1" applyAlignment="1">
      <alignment horizontal="center" vertical="center" wrapText="1"/>
    </xf>
    <xf numFmtId="0" fontId="24" fillId="0" borderId="95" xfId="0" applyFont="1" applyFill="1" applyBorder="1" applyAlignment="1">
      <alignment horizontal="center" vertical="center" wrapText="1"/>
    </xf>
    <xf numFmtId="0" fontId="27" fillId="2" borderId="96" xfId="0" applyFont="1" applyFill="1" applyBorder="1" applyAlignment="1">
      <alignment horizontal="center" vertical="center"/>
    </xf>
    <xf numFmtId="0" fontId="27" fillId="2" borderId="8" xfId="0" applyFont="1" applyFill="1" applyBorder="1" applyAlignment="1">
      <alignment horizontal="center" vertical="center"/>
    </xf>
    <xf numFmtId="0" fontId="27" fillId="2" borderId="11" xfId="0" applyFont="1" applyFill="1" applyBorder="1" applyAlignment="1">
      <alignment horizontal="center" vertical="center"/>
    </xf>
    <xf numFmtId="0" fontId="24" fillId="0" borderId="93" xfId="0" applyFont="1" applyFill="1" applyBorder="1" applyAlignment="1">
      <alignment horizontal="center"/>
    </xf>
    <xf numFmtId="0" fontId="24" fillId="0" borderId="65" xfId="0" applyFont="1" applyFill="1" applyBorder="1" applyAlignment="1">
      <alignment horizontal="center"/>
    </xf>
    <xf numFmtId="0" fontId="27" fillId="0" borderId="99" xfId="0" applyFont="1" applyBorder="1" applyAlignment="1">
      <alignment horizontal="center" vertical="center"/>
    </xf>
    <xf numFmtId="0" fontId="27" fillId="2" borderId="49" xfId="0" applyFont="1" applyFill="1" applyBorder="1" applyAlignment="1">
      <alignment horizontal="center" vertical="center"/>
    </xf>
    <xf numFmtId="0" fontId="30" fillId="2" borderId="16" xfId="0" applyFont="1" applyFill="1" applyBorder="1" applyAlignment="1">
      <alignment horizontal="center" vertical="center" wrapText="1"/>
    </xf>
    <xf numFmtId="3" fontId="30" fillId="2" borderId="16" xfId="0" applyNumberFormat="1" applyFont="1" applyFill="1" applyBorder="1" applyAlignment="1">
      <alignment horizontal="center" vertical="center" wrapText="1"/>
    </xf>
    <xf numFmtId="3" fontId="29" fillId="2" borderId="96" xfId="0" applyNumberFormat="1" applyFont="1" applyFill="1" applyBorder="1" applyAlignment="1">
      <alignment horizontal="center" vertical="center"/>
    </xf>
    <xf numFmtId="0" fontId="27" fillId="2" borderId="9" xfId="0" applyFont="1" applyFill="1" applyBorder="1" applyAlignment="1">
      <alignment horizontal="center" vertical="center"/>
    </xf>
    <xf numFmtId="0" fontId="30" fillId="2" borderId="7" xfId="0" applyFont="1" applyFill="1" applyBorder="1" applyAlignment="1">
      <alignment horizontal="center" vertical="center" wrapText="1"/>
    </xf>
    <xf numFmtId="3" fontId="30" fillId="2" borderId="4" xfId="0" applyNumberFormat="1" applyFont="1" applyFill="1" applyBorder="1" applyAlignment="1">
      <alignment horizontal="center" vertical="center" wrapText="1"/>
    </xf>
    <xf numFmtId="3" fontId="29" fillId="2" borderId="8" xfId="0" applyNumberFormat="1" applyFont="1" applyFill="1" applyBorder="1" applyAlignment="1">
      <alignment horizontal="center" vertical="center"/>
    </xf>
    <xf numFmtId="3" fontId="30" fillId="2" borderId="7" xfId="0" applyNumberFormat="1" applyFont="1" applyFill="1" applyBorder="1" applyAlignment="1">
      <alignment horizontal="center" vertical="center" wrapText="1"/>
    </xf>
    <xf numFmtId="0" fontId="27" fillId="2" borderId="24" xfId="0" applyFont="1" applyFill="1" applyBorder="1" applyAlignment="1">
      <alignment horizontal="center" vertical="center"/>
    </xf>
    <xf numFmtId="0" fontId="30" fillId="2" borderId="10" xfId="0" applyFont="1" applyFill="1" applyBorder="1" applyAlignment="1">
      <alignment horizontal="center" vertical="center" wrapText="1"/>
    </xf>
    <xf numFmtId="3" fontId="30" fillId="2" borderId="10" xfId="0" applyNumberFormat="1" applyFont="1" applyFill="1" applyBorder="1" applyAlignment="1">
      <alignment horizontal="center" vertical="center"/>
    </xf>
    <xf numFmtId="3" fontId="30" fillId="2" borderId="11" xfId="0" applyNumberFormat="1" applyFont="1" applyFill="1" applyBorder="1" applyAlignment="1">
      <alignment horizontal="center" vertical="center"/>
    </xf>
    <xf numFmtId="0" fontId="27" fillId="0" borderId="89" xfId="0" applyFont="1" applyFill="1" applyBorder="1" applyAlignment="1">
      <alignment horizontal="center" vertical="center"/>
    </xf>
    <xf numFmtId="0" fontId="30" fillId="0" borderId="53" xfId="0" applyFont="1" applyBorder="1" applyAlignment="1">
      <alignment horizontal="center" vertical="center" wrapText="1"/>
    </xf>
    <xf numFmtId="3" fontId="30" fillId="0" borderId="53" xfId="0" applyNumberFormat="1" applyFont="1" applyFill="1" applyBorder="1" applyAlignment="1">
      <alignment horizontal="center" vertical="center" wrapText="1"/>
    </xf>
    <xf numFmtId="3" fontId="29" fillId="0" borderId="99" xfId="0" applyNumberFormat="1" applyFont="1" applyBorder="1" applyAlignment="1">
      <alignment horizontal="center" vertical="center"/>
    </xf>
    <xf numFmtId="0" fontId="27" fillId="0" borderId="35" xfId="0" applyFont="1" applyFill="1" applyBorder="1" applyAlignment="1">
      <alignment horizontal="center" vertical="center" wrapText="1"/>
    </xf>
    <xf numFmtId="1" fontId="26" fillId="0" borderId="4" xfId="0" applyNumberFormat="1" applyFont="1" applyFill="1" applyBorder="1" applyAlignment="1">
      <alignment horizontal="center" vertical="center" wrapText="1"/>
    </xf>
    <xf numFmtId="0" fontId="27" fillId="2" borderId="16" xfId="0" applyFont="1" applyFill="1" applyBorder="1" applyAlignment="1">
      <alignment horizontal="center" vertical="center"/>
    </xf>
    <xf numFmtId="169" fontId="30" fillId="2" borderId="16" xfId="0" applyNumberFormat="1" applyFont="1" applyFill="1" applyBorder="1" applyAlignment="1">
      <alignment horizontal="center" vertical="center" wrapText="1"/>
    </xf>
    <xf numFmtId="0" fontId="27" fillId="2" borderId="7" xfId="0" applyFont="1" applyFill="1" applyBorder="1" applyAlignment="1">
      <alignment horizontal="center" vertical="center"/>
    </xf>
    <xf numFmtId="1" fontId="27" fillId="2" borderId="7" xfId="0" applyNumberFormat="1" applyFont="1" applyFill="1" applyBorder="1" applyAlignment="1">
      <alignment horizontal="center" vertical="center"/>
    </xf>
    <xf numFmtId="164" fontId="26" fillId="2" borderId="7" xfId="0" applyNumberFormat="1" applyFont="1" applyFill="1" applyBorder="1" applyAlignment="1">
      <alignment horizontal="center" vertical="center" wrapText="1"/>
    </xf>
    <xf numFmtId="1" fontId="26" fillId="2" borderId="8" xfId="0" applyNumberFormat="1" applyFont="1" applyFill="1" applyBorder="1" applyAlignment="1">
      <alignment horizontal="center" vertical="center"/>
    </xf>
    <xf numFmtId="0" fontId="27" fillId="2" borderId="10" xfId="0" applyFont="1" applyFill="1" applyBorder="1" applyAlignment="1">
      <alignment horizontal="center" vertical="center"/>
    </xf>
    <xf numFmtId="169" fontId="26" fillId="2" borderId="31" xfId="0" applyNumberFormat="1" applyFont="1" applyFill="1" applyBorder="1" applyAlignment="1">
      <alignment horizontal="center" vertical="center" wrapText="1"/>
    </xf>
    <xf numFmtId="1" fontId="26" fillId="2" borderId="11" xfId="0" applyNumberFormat="1" applyFont="1" applyFill="1" applyBorder="1" applyAlignment="1">
      <alignment horizontal="center" vertical="center"/>
    </xf>
    <xf numFmtId="0" fontId="24" fillId="6" borderId="27" xfId="0" applyFont="1" applyFill="1" applyBorder="1" applyAlignment="1">
      <alignment horizontal="center"/>
    </xf>
    <xf numFmtId="0" fontId="24" fillId="6" borderId="25" xfId="0" applyFont="1" applyFill="1" applyBorder="1" applyAlignment="1">
      <alignment horizontal="center"/>
    </xf>
    <xf numFmtId="0" fontId="24" fillId="6" borderId="18" xfId="0" applyFont="1" applyFill="1" applyBorder="1" applyAlignment="1">
      <alignment horizontal="center" vertical="center"/>
    </xf>
    <xf numFmtId="0" fontId="24" fillId="6" borderId="19" xfId="0" applyFont="1" applyFill="1" applyBorder="1" applyAlignment="1">
      <alignment horizontal="center" vertical="center"/>
    </xf>
    <xf numFmtId="0" fontId="27" fillId="0" borderId="53" xfId="0" applyFont="1" applyFill="1" applyBorder="1" applyAlignment="1">
      <alignment horizontal="center" vertical="center" wrapText="1"/>
    </xf>
    <xf numFmtId="1" fontId="26" fillId="0" borderId="53" xfId="0" applyNumberFormat="1" applyFont="1" applyFill="1" applyBorder="1" applyAlignment="1">
      <alignment horizontal="center" vertical="center" wrapText="1"/>
    </xf>
    <xf numFmtId="2" fontId="26" fillId="0" borderId="53" xfId="0" applyNumberFormat="1" applyFont="1" applyFill="1" applyBorder="1" applyAlignment="1">
      <alignment horizontal="center" vertical="center" wrapText="1"/>
    </xf>
    <xf numFmtId="1" fontId="26" fillId="0" borderId="99" xfId="0" applyNumberFormat="1" applyFont="1" applyBorder="1" applyAlignment="1">
      <alignment horizontal="center" vertical="center"/>
    </xf>
    <xf numFmtId="164" fontId="27" fillId="2" borderId="96" xfId="0" applyNumberFormat="1" applyFont="1" applyFill="1" applyBorder="1" applyAlignment="1">
      <alignment horizontal="center" vertical="center"/>
    </xf>
    <xf numFmtId="0" fontId="26" fillId="2" borderId="10" xfId="0" applyFont="1" applyFill="1" applyBorder="1" applyAlignment="1">
      <alignment horizontal="center" vertical="center" wrapText="1"/>
    </xf>
    <xf numFmtId="164" fontId="26" fillId="2" borderId="10" xfId="0" applyNumberFormat="1" applyFont="1" applyFill="1" applyBorder="1" applyAlignment="1">
      <alignment horizontal="center" vertical="center" wrapText="1"/>
    </xf>
    <xf numFmtId="164" fontId="27" fillId="2" borderId="11" xfId="0" applyNumberFormat="1" applyFont="1" applyFill="1" applyBorder="1" applyAlignment="1">
      <alignment horizontal="center" vertical="center"/>
    </xf>
    <xf numFmtId="0" fontId="49" fillId="0" borderId="0" xfId="0" applyFont="1" applyBorder="1" applyAlignment="1">
      <alignment horizontal="right" vertical="top"/>
    </xf>
    <xf numFmtId="0" fontId="49" fillId="0" borderId="0" xfId="0" applyFont="1" applyAlignment="1">
      <alignment vertical="top"/>
    </xf>
    <xf numFmtId="0" fontId="32" fillId="6" borderId="36" xfId="2" applyFont="1" applyFill="1" applyBorder="1" applyAlignment="1">
      <alignment horizontal="center" vertical="center" wrapText="1"/>
    </xf>
    <xf numFmtId="0" fontId="32" fillId="6" borderId="37" xfId="2" applyFont="1" applyFill="1" applyBorder="1" applyAlignment="1">
      <alignment horizontal="center" vertical="center" wrapText="1"/>
    </xf>
    <xf numFmtId="0" fontId="33" fillId="6" borderId="3" xfId="2" applyFont="1" applyFill="1" applyBorder="1" applyAlignment="1">
      <alignment horizontal="center" vertical="center" wrapText="1"/>
    </xf>
    <xf numFmtId="0" fontId="4" fillId="2" borderId="76" xfId="2" applyFont="1" applyFill="1" applyBorder="1" applyAlignment="1">
      <alignment vertical="center"/>
    </xf>
    <xf numFmtId="0" fontId="53" fillId="0" borderId="0" xfId="0" applyFont="1" applyAlignment="1">
      <alignment horizontal="center"/>
    </xf>
    <xf numFmtId="44" fontId="0" fillId="0" borderId="57" xfId="0" applyNumberFormat="1" applyBorder="1"/>
    <xf numFmtId="0" fontId="24" fillId="0" borderId="0" xfId="0" applyFont="1" applyAlignment="1">
      <alignment horizontal="center" wrapText="1"/>
    </xf>
    <xf numFmtId="0" fontId="26" fillId="0" borderId="29" xfId="0" applyFont="1" applyBorder="1" applyAlignment="1">
      <alignment horizontal="center" vertical="center"/>
    </xf>
    <xf numFmtId="0" fontId="26" fillId="0" borderId="5" xfId="0" applyFont="1" applyBorder="1" applyAlignment="1">
      <alignment horizontal="center" vertical="center"/>
    </xf>
    <xf numFmtId="0" fontId="26" fillId="0" borderId="6" xfId="0" applyFont="1" applyBorder="1" applyAlignment="1">
      <alignment horizontal="center" vertical="center"/>
    </xf>
    <xf numFmtId="0" fontId="26" fillId="2" borderId="16"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26" fillId="2" borderId="10" xfId="0" applyFont="1" applyFill="1" applyBorder="1" applyAlignment="1">
      <alignment horizontal="center" vertical="center" wrapText="1"/>
    </xf>
    <xf numFmtId="0" fontId="26" fillId="0" borderId="4"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10" xfId="0" applyFont="1" applyBorder="1" applyAlignment="1">
      <alignment horizontal="center" vertical="center" wrapText="1"/>
    </xf>
    <xf numFmtId="0" fontId="24" fillId="6" borderId="17" xfId="0" applyFont="1" applyFill="1" applyBorder="1" applyAlignment="1">
      <alignment horizontal="center" vertical="center"/>
    </xf>
    <xf numFmtId="0" fontId="24" fillId="6" borderId="20" xfId="0" applyFont="1" applyFill="1" applyBorder="1" applyAlignment="1">
      <alignment horizontal="center" vertical="center"/>
    </xf>
    <xf numFmtId="0" fontId="24" fillId="6" borderId="26" xfId="0" applyFont="1" applyFill="1" applyBorder="1" applyAlignment="1">
      <alignment horizontal="center"/>
    </xf>
    <xf numFmtId="0" fontId="24" fillId="6" borderId="28" xfId="0" applyFont="1" applyFill="1" applyBorder="1" applyAlignment="1">
      <alignment horizontal="center"/>
    </xf>
    <xf numFmtId="0" fontId="26" fillId="2" borderId="15" xfId="0" applyFont="1" applyFill="1" applyBorder="1" applyAlignment="1">
      <alignment horizontal="center" vertical="center"/>
    </xf>
    <xf numFmtId="0" fontId="26" fillId="2" borderId="5" xfId="0" applyFont="1" applyFill="1" applyBorder="1" applyAlignment="1">
      <alignment horizontal="center" vertical="center"/>
    </xf>
    <xf numFmtId="0" fontId="26" fillId="2" borderId="6" xfId="0" applyFont="1" applyFill="1" applyBorder="1" applyAlignment="1">
      <alignment horizontal="center" vertical="center"/>
    </xf>
    <xf numFmtId="0" fontId="26" fillId="0" borderId="51" xfId="0" applyFont="1" applyBorder="1" applyAlignment="1">
      <alignment horizontal="center" vertical="center"/>
    </xf>
    <xf numFmtId="0" fontId="26" fillId="0" borderId="21" xfId="0" applyFont="1" applyBorder="1" applyAlignment="1">
      <alignment horizontal="center" vertical="center" wrapText="1"/>
    </xf>
    <xf numFmtId="0" fontId="26" fillId="2" borderId="15" xfId="0" quotePrefix="1" applyFont="1" applyFill="1" applyBorder="1" applyAlignment="1">
      <alignment horizontal="center" vertical="center"/>
    </xf>
    <xf numFmtId="0" fontId="26" fillId="2" borderId="5" xfId="0" quotePrefix="1" applyFont="1" applyFill="1" applyBorder="1" applyAlignment="1">
      <alignment horizontal="center" vertical="center"/>
    </xf>
    <xf numFmtId="0" fontId="26" fillId="2" borderId="6" xfId="0" quotePrefix="1" applyFont="1" applyFill="1" applyBorder="1" applyAlignment="1">
      <alignment horizontal="center" vertical="center"/>
    </xf>
    <xf numFmtId="0" fontId="26" fillId="0" borderId="29" xfId="0" quotePrefix="1" applyFont="1" applyBorder="1" applyAlignment="1">
      <alignment horizontal="center" vertical="center"/>
    </xf>
    <xf numFmtId="0" fontId="24" fillId="6" borderId="15" xfId="0" applyFont="1" applyFill="1" applyBorder="1" applyAlignment="1">
      <alignment horizontal="center" vertical="center"/>
    </xf>
    <xf numFmtId="0" fontId="24" fillId="6" borderId="16" xfId="0" applyFont="1" applyFill="1" applyBorder="1" applyAlignment="1">
      <alignment horizontal="center" vertical="center"/>
    </xf>
    <xf numFmtId="0" fontId="26" fillId="0" borderId="15" xfId="0" quotePrefix="1" applyFont="1" applyBorder="1" applyAlignment="1">
      <alignment horizontal="center" vertical="center"/>
    </xf>
    <xf numFmtId="0" fontId="26" fillId="0" borderId="16" xfId="0" applyFont="1" applyBorder="1" applyAlignment="1">
      <alignment horizontal="center" vertical="center" wrapText="1"/>
    </xf>
    <xf numFmtId="0" fontId="27" fillId="0" borderId="0"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24" fillId="6" borderId="22" xfId="0" applyFont="1" applyFill="1" applyBorder="1" applyAlignment="1">
      <alignment horizontal="center" vertical="center" wrapText="1"/>
    </xf>
    <xf numFmtId="0" fontId="24" fillId="6" borderId="23" xfId="0" applyFont="1" applyFill="1" applyBorder="1" applyAlignment="1">
      <alignment horizontal="center" vertical="center" wrapText="1"/>
    </xf>
    <xf numFmtId="0" fontId="24" fillId="6" borderId="22" xfId="0" applyFont="1" applyFill="1" applyBorder="1" applyAlignment="1">
      <alignment horizontal="center" vertical="center"/>
    </xf>
    <xf numFmtId="0" fontId="24" fillId="6" borderId="23" xfId="0" applyFont="1" applyFill="1" applyBorder="1" applyAlignment="1">
      <alignment horizontal="center" vertical="center"/>
    </xf>
    <xf numFmtId="0" fontId="26" fillId="0" borderId="33" xfId="0" quotePrefix="1" applyFont="1" applyBorder="1" applyAlignment="1">
      <alignment horizontal="center" vertical="center"/>
    </xf>
    <xf numFmtId="0" fontId="26" fillId="0" borderId="53" xfId="0" applyFont="1" applyBorder="1" applyAlignment="1">
      <alignment horizontal="center" vertical="center" wrapText="1"/>
    </xf>
    <xf numFmtId="0" fontId="26" fillId="0" borderId="33" xfId="0" applyFont="1" applyBorder="1" applyAlignment="1">
      <alignment horizontal="center" vertical="center"/>
    </xf>
    <xf numFmtId="0" fontId="26" fillId="2" borderId="22" xfId="0" applyFont="1" applyFill="1" applyBorder="1" applyAlignment="1">
      <alignment horizontal="center" vertical="center" wrapText="1"/>
    </xf>
    <xf numFmtId="0" fontId="26" fillId="2" borderId="21" xfId="0" applyFont="1" applyFill="1" applyBorder="1" applyAlignment="1">
      <alignment horizontal="center" vertical="center" wrapText="1"/>
    </xf>
    <xf numFmtId="0" fontId="26" fillId="2" borderId="31" xfId="0" applyFont="1" applyFill="1" applyBorder="1" applyAlignment="1">
      <alignment horizontal="center" vertical="center" wrapText="1"/>
    </xf>
    <xf numFmtId="0" fontId="24" fillId="0" borderId="0" xfId="0" applyFont="1" applyAlignment="1">
      <alignment horizontal="center"/>
    </xf>
    <xf numFmtId="0" fontId="24" fillId="6" borderId="17" xfId="0" applyFont="1" applyFill="1" applyBorder="1" applyAlignment="1">
      <alignment horizontal="center" vertical="center" wrapText="1"/>
    </xf>
    <xf numFmtId="0" fontId="24" fillId="6" borderId="20" xfId="0" applyFont="1" applyFill="1" applyBorder="1" applyAlignment="1">
      <alignment horizontal="center" vertical="center" wrapText="1"/>
    </xf>
    <xf numFmtId="0" fontId="26" fillId="2" borderId="36" xfId="0" quotePrefix="1" applyFont="1" applyFill="1" applyBorder="1" applyAlignment="1">
      <alignment horizontal="center" vertical="center"/>
    </xf>
    <xf numFmtId="0" fontId="26" fillId="2" borderId="51" xfId="0" quotePrefix="1" applyFont="1" applyFill="1" applyBorder="1" applyAlignment="1">
      <alignment horizontal="center" vertical="center"/>
    </xf>
    <xf numFmtId="0" fontId="26" fillId="2" borderId="54" xfId="0" quotePrefix="1" applyFont="1" applyFill="1" applyBorder="1" applyAlignment="1">
      <alignment horizontal="center" vertical="center"/>
    </xf>
    <xf numFmtId="0" fontId="53" fillId="0" borderId="0" xfId="0" applyFont="1" applyAlignment="1">
      <alignment horizontal="center"/>
    </xf>
    <xf numFmtId="0" fontId="0" fillId="5" borderId="53" xfId="0" applyFill="1" applyBorder="1" applyAlignment="1">
      <alignment horizontal="center"/>
    </xf>
    <xf numFmtId="0" fontId="0" fillId="5" borderId="7" xfId="0" applyFill="1" applyBorder="1" applyAlignment="1">
      <alignment horizontal="center"/>
    </xf>
    <xf numFmtId="0" fontId="15" fillId="6" borderId="68" xfId="0" applyFont="1" applyFill="1" applyBorder="1" applyAlignment="1">
      <alignment horizontal="center" vertical="center"/>
    </xf>
    <xf numFmtId="0" fontId="15" fillId="6" borderId="25" xfId="0" applyFont="1" applyFill="1" applyBorder="1" applyAlignment="1">
      <alignment horizontal="center" vertical="center"/>
    </xf>
    <xf numFmtId="0" fontId="15" fillId="6" borderId="67" xfId="0" applyFont="1" applyFill="1" applyBorder="1" applyAlignment="1">
      <alignment horizontal="center" vertical="center"/>
    </xf>
    <xf numFmtId="0" fontId="0" fillId="0" borderId="42" xfId="0" applyBorder="1" applyAlignment="1">
      <alignment horizontal="center"/>
    </xf>
    <xf numFmtId="0" fontId="3" fillId="0" borderId="65" xfId="0" applyFont="1" applyFill="1" applyBorder="1" applyAlignment="1">
      <alignment horizontal="center" vertical="top" wrapText="1"/>
    </xf>
    <xf numFmtId="0" fontId="3" fillId="0" borderId="0" xfId="0" applyFont="1" applyFill="1" applyBorder="1" applyAlignment="1">
      <alignment horizontal="center" vertical="top" wrapText="1"/>
    </xf>
    <xf numFmtId="0" fontId="0" fillId="0" borderId="0" xfId="0" applyAlignment="1">
      <alignment vertical="top" wrapText="1"/>
    </xf>
    <xf numFmtId="0" fontId="0" fillId="0" borderId="0" xfId="0" applyAlignment="1">
      <alignment horizontal="left" vertical="top" wrapText="1"/>
    </xf>
    <xf numFmtId="0" fontId="0" fillId="5" borderId="89" xfId="0" applyFill="1" applyBorder="1" applyAlignment="1">
      <alignment horizontal="right"/>
    </xf>
    <xf numFmtId="0" fontId="0" fillId="5" borderId="88" xfId="0" applyFill="1" applyBorder="1" applyAlignment="1">
      <alignment horizontal="right"/>
    </xf>
    <xf numFmtId="0" fontId="0" fillId="5" borderId="87" xfId="0" applyFill="1" applyBorder="1" applyAlignment="1">
      <alignment horizontal="right"/>
    </xf>
    <xf numFmtId="0" fontId="11" fillId="6" borderId="61" xfId="0" applyFont="1" applyFill="1" applyBorder="1" applyAlignment="1">
      <alignment horizontal="center"/>
    </xf>
    <xf numFmtId="0" fontId="11" fillId="6" borderId="0" xfId="0" applyFont="1" applyFill="1" applyBorder="1" applyAlignment="1">
      <alignment horizontal="center"/>
    </xf>
    <xf numFmtId="0" fontId="11" fillId="6" borderId="60" xfId="0" applyFont="1" applyFill="1" applyBorder="1" applyAlignment="1">
      <alignment horizontal="center"/>
    </xf>
    <xf numFmtId="0" fontId="0" fillId="0" borderId="0" xfId="0" applyBorder="1" applyAlignment="1">
      <alignment horizontal="left"/>
    </xf>
    <xf numFmtId="0" fontId="0" fillId="0" borderId="52" xfId="0" applyBorder="1" applyAlignment="1">
      <alignment horizontal="left"/>
    </xf>
    <xf numFmtId="0" fontId="11" fillId="6" borderId="84" xfId="0" applyFont="1" applyFill="1" applyBorder="1" applyAlignment="1">
      <alignment horizontal="center"/>
    </xf>
    <xf numFmtId="0" fontId="11" fillId="6" borderId="83" xfId="0" applyFont="1" applyFill="1" applyBorder="1" applyAlignment="1">
      <alignment horizontal="center"/>
    </xf>
    <xf numFmtId="0" fontId="11" fillId="6" borderId="82" xfId="0" applyFont="1" applyFill="1" applyBorder="1" applyAlignment="1">
      <alignment horizontal="center"/>
    </xf>
    <xf numFmtId="0" fontId="3" fillId="0" borderId="42" xfId="0" applyFont="1" applyBorder="1" applyAlignment="1">
      <alignment horizontal="center"/>
    </xf>
    <xf numFmtId="0" fontId="0" fillId="0" borderId="0" xfId="0" applyAlignment="1">
      <alignment wrapText="1"/>
    </xf>
    <xf numFmtId="0" fontId="39" fillId="0" borderId="0" xfId="4" applyFont="1" applyAlignment="1">
      <alignment horizontal="center"/>
    </xf>
    <xf numFmtId="0" fontId="4" fillId="0" borderId="0" xfId="2" applyFont="1" applyAlignment="1">
      <alignment horizontal="left" wrapText="1"/>
    </xf>
    <xf numFmtId="0" fontId="38" fillId="0" borderId="0" xfId="2" applyFont="1" applyFill="1" applyAlignment="1">
      <alignment horizontal="left" wrapText="1"/>
    </xf>
    <xf numFmtId="0" fontId="24" fillId="0" borderId="0" xfId="2" applyFont="1" applyFill="1" applyAlignment="1">
      <alignment horizontal="center"/>
    </xf>
    <xf numFmtId="0" fontId="24" fillId="0" borderId="0" xfId="2" applyFont="1" applyAlignment="1">
      <alignment horizontal="center"/>
    </xf>
    <xf numFmtId="0" fontId="38" fillId="0" borderId="0" xfId="2" applyFont="1" applyAlignment="1">
      <alignment horizontal="left" wrapText="1"/>
    </xf>
    <xf numFmtId="0" fontId="33" fillId="2" borderId="41" xfId="2" applyFont="1" applyFill="1" applyBorder="1" applyAlignment="1">
      <alignment horizontal="center" vertical="center" wrapText="1"/>
    </xf>
    <xf numFmtId="0" fontId="33" fillId="2" borderId="42" xfId="2" applyFont="1" applyFill="1" applyBorder="1" applyAlignment="1">
      <alignment horizontal="center" vertical="center" wrapText="1"/>
    </xf>
    <xf numFmtId="0" fontId="33" fillId="2" borderId="43" xfId="2" applyFont="1" applyFill="1" applyBorder="1" applyAlignment="1">
      <alignment horizontal="center" vertical="center" wrapText="1"/>
    </xf>
    <xf numFmtId="0" fontId="39" fillId="0" borderId="0" xfId="2" applyFont="1" applyFill="1" applyAlignment="1">
      <alignment horizontal="center" wrapText="1"/>
    </xf>
    <xf numFmtId="0" fontId="24" fillId="0" borderId="0" xfId="2" applyFont="1" applyAlignment="1">
      <alignment horizontal="center" wrapText="1"/>
    </xf>
    <xf numFmtId="0" fontId="32" fillId="2" borderId="22" xfId="2" applyFont="1" applyFill="1" applyBorder="1" applyAlignment="1">
      <alignment horizontal="center" vertical="center" wrapText="1"/>
    </xf>
    <xf numFmtId="0" fontId="32" fillId="2" borderId="23" xfId="2" applyFont="1" applyFill="1" applyBorder="1" applyAlignment="1">
      <alignment horizontal="center" vertical="center" wrapText="1"/>
    </xf>
  </cellXfs>
  <cellStyles count="6">
    <cellStyle name="Comma" xfId="5" builtinId="3"/>
    <cellStyle name="Normal" xfId="0" builtinId="0"/>
    <cellStyle name="Normal 12" xfId="4"/>
    <cellStyle name="Normal 2" xfId="2"/>
    <cellStyle name="Normal_Sheet2 (2)" xfId="3"/>
    <cellStyle name="Percent" xfId="1" builtinId="5"/>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Medium9">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8</xdr:row>
      <xdr:rowOff>126965</xdr:rowOff>
    </xdr:to>
    <xdr:sp macro="" textlink="">
      <xdr:nvSpPr>
        <xdr:cNvPr id="2" name="EsriDoNotEdit"/>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2"/>
  <sheetViews>
    <sheetView zoomScaleNormal="100" zoomScalePageLayoutView="85" workbookViewId="0">
      <selection activeCell="J15" sqref="J15"/>
    </sheetView>
  </sheetViews>
  <sheetFormatPr defaultColWidth="8.81640625" defaultRowHeight="14" x14ac:dyDescent="0.3"/>
  <cols>
    <col min="1" max="1" width="10.54296875" style="166" customWidth="1"/>
    <col min="2" max="2" width="34.7265625" style="166" customWidth="1"/>
    <col min="3" max="3" width="40.26953125" style="166" customWidth="1"/>
    <col min="4" max="16384" width="8.81640625" style="166"/>
  </cols>
  <sheetData>
    <row r="1" spans="1:3" ht="30" customHeight="1" x14ac:dyDescent="0.3">
      <c r="A1" s="394" t="s">
        <v>280</v>
      </c>
      <c r="B1" s="394"/>
      <c r="C1" s="394"/>
    </row>
    <row r="2" spans="1:3" ht="14.5" thickBot="1" x14ac:dyDescent="0.35">
      <c r="A2" s="162"/>
      <c r="B2" s="162"/>
      <c r="C2" s="162"/>
    </row>
    <row r="3" spans="1:3" x14ac:dyDescent="0.3">
      <c r="A3" s="406" t="s">
        <v>12</v>
      </c>
      <c r="B3" s="407"/>
      <c r="C3" s="404" t="s">
        <v>281</v>
      </c>
    </row>
    <row r="4" spans="1:3" ht="17.25" customHeight="1" thickBot="1" x14ac:dyDescent="0.35">
      <c r="A4" s="374" t="s">
        <v>13</v>
      </c>
      <c r="B4" s="375" t="s">
        <v>30</v>
      </c>
      <c r="C4" s="405"/>
    </row>
    <row r="5" spans="1:3" ht="17.25" customHeight="1" thickTop="1" thickBot="1" x14ac:dyDescent="0.35">
      <c r="A5" s="343"/>
      <c r="B5" s="344"/>
      <c r="C5" s="333"/>
    </row>
    <row r="6" spans="1:3" s="280" customFormat="1" ht="18.75" customHeight="1" x14ac:dyDescent="0.35">
      <c r="A6" s="408" t="s">
        <v>27</v>
      </c>
      <c r="B6" s="398" t="s">
        <v>22</v>
      </c>
      <c r="C6" s="340" t="s">
        <v>7</v>
      </c>
    </row>
    <row r="7" spans="1:3" s="280" customFormat="1" ht="18.75" customHeight="1" x14ac:dyDescent="0.35">
      <c r="A7" s="409"/>
      <c r="B7" s="399"/>
      <c r="C7" s="341" t="s">
        <v>2</v>
      </c>
    </row>
    <row r="8" spans="1:3" s="280" customFormat="1" ht="18.75" customHeight="1" x14ac:dyDescent="0.35">
      <c r="A8" s="409"/>
      <c r="B8" s="399"/>
      <c r="C8" s="341" t="s">
        <v>5</v>
      </c>
    </row>
    <row r="9" spans="1:3" s="280" customFormat="1" ht="18.75" customHeight="1" thickBot="1" x14ac:dyDescent="0.4">
      <c r="A9" s="410"/>
      <c r="B9" s="400"/>
      <c r="C9" s="342" t="s">
        <v>3</v>
      </c>
    </row>
    <row r="10" spans="1:3" s="280" customFormat="1" ht="18.75" customHeight="1" x14ac:dyDescent="0.35">
      <c r="A10" s="411" t="s">
        <v>29</v>
      </c>
      <c r="B10" s="412" t="s">
        <v>15</v>
      </c>
      <c r="C10" s="269" t="s">
        <v>7</v>
      </c>
    </row>
    <row r="11" spans="1:3" s="280" customFormat="1" ht="18.75" customHeight="1" x14ac:dyDescent="0.35">
      <c r="A11" s="411"/>
      <c r="B11" s="412"/>
      <c r="C11" s="163" t="s">
        <v>2</v>
      </c>
    </row>
    <row r="12" spans="1:3" s="280" customFormat="1" ht="18.75" customHeight="1" thickBot="1" x14ac:dyDescent="0.4">
      <c r="A12" s="411"/>
      <c r="B12" s="412"/>
      <c r="C12" s="345" t="s">
        <v>3</v>
      </c>
    </row>
    <row r="13" spans="1:3" s="280" customFormat="1" ht="18.75" customHeight="1" x14ac:dyDescent="0.35">
      <c r="A13" s="408">
        <v>7</v>
      </c>
      <c r="B13" s="398" t="s">
        <v>40</v>
      </c>
      <c r="C13" s="340" t="s">
        <v>7</v>
      </c>
    </row>
    <row r="14" spans="1:3" s="280" customFormat="1" ht="18.75" customHeight="1" x14ac:dyDescent="0.35">
      <c r="A14" s="409"/>
      <c r="B14" s="399"/>
      <c r="C14" s="341" t="s">
        <v>20</v>
      </c>
    </row>
    <row r="15" spans="1:3" s="280" customFormat="1" ht="18.75" customHeight="1" x14ac:dyDescent="0.35">
      <c r="A15" s="409"/>
      <c r="B15" s="399"/>
      <c r="C15" s="341" t="s">
        <v>272</v>
      </c>
    </row>
    <row r="16" spans="1:3" s="280" customFormat="1" ht="18.75" customHeight="1" x14ac:dyDescent="0.35">
      <c r="A16" s="409"/>
      <c r="B16" s="399"/>
      <c r="C16" s="341" t="s">
        <v>273</v>
      </c>
    </row>
    <row r="17" spans="1:3" s="280" customFormat="1" ht="18.75" customHeight="1" x14ac:dyDescent="0.35">
      <c r="A17" s="409"/>
      <c r="B17" s="399"/>
      <c r="C17" s="341" t="s">
        <v>5</v>
      </c>
    </row>
    <row r="18" spans="1:3" s="280" customFormat="1" ht="18.75" customHeight="1" thickBot="1" x14ac:dyDescent="0.4">
      <c r="A18" s="410"/>
      <c r="B18" s="400"/>
      <c r="C18" s="342" t="s">
        <v>3</v>
      </c>
    </row>
    <row r="19" spans="1:3" s="280" customFormat="1" ht="18.75" customHeight="1" x14ac:dyDescent="0.35">
      <c r="A19" s="395" t="s">
        <v>28</v>
      </c>
      <c r="B19" s="401" t="s">
        <v>31</v>
      </c>
      <c r="C19" s="336" t="s">
        <v>229</v>
      </c>
    </row>
    <row r="20" spans="1:3" s="280" customFormat="1" ht="18.75" customHeight="1" x14ac:dyDescent="0.35">
      <c r="A20" s="396"/>
      <c r="B20" s="402"/>
      <c r="C20" s="164" t="s">
        <v>11</v>
      </c>
    </row>
    <row r="21" spans="1:3" s="280" customFormat="1" ht="18.75" customHeight="1" x14ac:dyDescent="0.35">
      <c r="A21" s="396"/>
      <c r="B21" s="402"/>
      <c r="C21" s="164" t="s">
        <v>9</v>
      </c>
    </row>
    <row r="22" spans="1:3" s="280" customFormat="1" ht="18.75" customHeight="1" thickBot="1" x14ac:dyDescent="0.4">
      <c r="A22" s="397"/>
      <c r="B22" s="403"/>
      <c r="C22" s="165" t="s">
        <v>3</v>
      </c>
    </row>
  </sheetData>
  <mergeCells count="11">
    <mergeCell ref="A1:C1"/>
    <mergeCell ref="A19:A22"/>
    <mergeCell ref="B6:B9"/>
    <mergeCell ref="B13:B18"/>
    <mergeCell ref="B19:B22"/>
    <mergeCell ref="C3:C4"/>
    <mergeCell ref="A3:B3"/>
    <mergeCell ref="A6:A9"/>
    <mergeCell ref="A13:A18"/>
    <mergeCell ref="A10:A12"/>
    <mergeCell ref="B10:B12"/>
  </mergeCells>
  <printOptions horizontalCentered="1"/>
  <pageMargins left="0.38" right="0.4" top="0.48" bottom="0.75" header="0.3" footer="0.3"/>
  <pageSetup firstPageNumber="45" orientation="portrait" useFirstPageNumber="1" r:id="rId1"/>
  <headerFooter>
    <oddFooter>&amp;L&amp;"Arial,Regular"&amp;8GVEA - North Pole Facility
PM2.5 NAA BACT Analysis&amp;C&amp;"Arial,Regular"&amp;8Page 47&amp;R&amp;"Arial,Regular"&amp;8August 2017</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79998168889431442"/>
    <pageSetUpPr fitToPage="1"/>
  </sheetPr>
  <dimension ref="B1:K74"/>
  <sheetViews>
    <sheetView topLeftCell="A16" zoomScale="90" zoomScaleNormal="90" zoomScalePageLayoutView="50" workbookViewId="0">
      <selection activeCell="M25" sqref="M25"/>
    </sheetView>
  </sheetViews>
  <sheetFormatPr defaultRowHeight="14.5" x14ac:dyDescent="0.35"/>
  <cols>
    <col min="1" max="1" width="2.26953125" customWidth="1"/>
    <col min="2" max="2" width="5.26953125" customWidth="1"/>
    <col min="3" max="3" width="6" customWidth="1"/>
    <col min="4" max="4" width="63.7265625" customWidth="1"/>
    <col min="6" max="6" width="19.26953125" customWidth="1"/>
    <col min="7" max="7" width="13" customWidth="1"/>
    <col min="8" max="8" width="18.26953125" customWidth="1"/>
    <col min="9" max="9" width="15" customWidth="1"/>
    <col min="10" max="10" width="14.7265625" customWidth="1"/>
    <col min="11" max="11" width="17.26953125" customWidth="1"/>
    <col min="13" max="13" width="29.81640625" customWidth="1"/>
  </cols>
  <sheetData>
    <row r="1" spans="2:11" x14ac:dyDescent="0.35">
      <c r="B1" s="439" t="s">
        <v>359</v>
      </c>
      <c r="C1" s="439"/>
      <c r="D1" s="439"/>
      <c r="E1" s="439"/>
      <c r="F1" s="439"/>
      <c r="G1" s="439"/>
      <c r="H1" s="439"/>
      <c r="I1" s="439"/>
      <c r="J1" s="439"/>
      <c r="K1" s="439"/>
    </row>
    <row r="3" spans="2:11" ht="15" thickBot="1" x14ac:dyDescent="0.4">
      <c r="J3" s="440" t="s">
        <v>139</v>
      </c>
      <c r="K3" s="441"/>
    </row>
    <row r="4" spans="2:11" ht="19" thickTop="1" x14ac:dyDescent="0.45">
      <c r="B4" s="98" t="s">
        <v>206</v>
      </c>
      <c r="C4" s="97"/>
      <c r="D4" s="97"/>
      <c r="E4" s="96"/>
      <c r="F4" s="96"/>
      <c r="G4" s="96"/>
      <c r="H4" s="96"/>
      <c r="I4" s="96"/>
      <c r="J4" s="95" t="s">
        <v>137</v>
      </c>
      <c r="K4" s="94"/>
    </row>
    <row r="5" spans="2:11" x14ac:dyDescent="0.35">
      <c r="B5" s="92" t="s">
        <v>136</v>
      </c>
      <c r="C5" s="11"/>
      <c r="D5" s="93" t="s">
        <v>308</v>
      </c>
      <c r="E5" s="11"/>
      <c r="F5" s="11"/>
      <c r="G5" s="11"/>
      <c r="H5" s="11"/>
      <c r="I5" s="11"/>
      <c r="J5" s="40" t="s">
        <v>135</v>
      </c>
      <c r="K5" s="91"/>
    </row>
    <row r="6" spans="2:11" x14ac:dyDescent="0.35">
      <c r="B6" s="92"/>
      <c r="C6" s="11"/>
      <c r="D6" s="11"/>
      <c r="E6" s="11"/>
      <c r="F6" s="11"/>
      <c r="G6" s="11"/>
      <c r="H6" s="11"/>
      <c r="I6" s="11"/>
      <c r="J6" s="40" t="s">
        <v>133</v>
      </c>
      <c r="K6" s="91"/>
    </row>
    <row r="7" spans="2:11" ht="15" thickBot="1" x14ac:dyDescent="0.4">
      <c r="B7" s="90" t="s">
        <v>299</v>
      </c>
      <c r="C7" s="89"/>
      <c r="D7" s="89"/>
      <c r="E7" s="89"/>
      <c r="F7" s="89"/>
      <c r="G7" s="89"/>
      <c r="H7" s="89"/>
      <c r="I7" s="89"/>
      <c r="J7" s="88" t="s">
        <v>132</v>
      </c>
      <c r="K7" s="87"/>
    </row>
    <row r="8" spans="2:11" ht="36.75" customHeight="1" thickBot="1" x14ac:dyDescent="0.4">
      <c r="B8" s="442" t="s">
        <v>131</v>
      </c>
      <c r="C8" s="443"/>
      <c r="D8" s="443"/>
      <c r="E8" s="443"/>
      <c r="F8" s="443"/>
      <c r="G8" s="443"/>
      <c r="H8" s="443"/>
      <c r="I8" s="443"/>
      <c r="J8" s="443"/>
      <c r="K8" s="444"/>
    </row>
    <row r="9" spans="2:11" ht="29.5" thickTop="1" x14ac:dyDescent="0.35">
      <c r="B9" s="311" t="s">
        <v>130</v>
      </c>
      <c r="C9" s="312"/>
      <c r="D9" s="312"/>
      <c r="E9" s="313" t="s">
        <v>129</v>
      </c>
      <c r="F9" s="313" t="s">
        <v>128</v>
      </c>
      <c r="G9" s="314" t="s">
        <v>127</v>
      </c>
      <c r="H9" s="322" t="s">
        <v>126</v>
      </c>
      <c r="I9" s="322" t="s">
        <v>125</v>
      </c>
      <c r="J9" s="312"/>
      <c r="K9" s="81"/>
    </row>
    <row r="10" spans="2:11" ht="15.5" x14ac:dyDescent="0.35">
      <c r="B10" s="15"/>
      <c r="C10" s="11"/>
      <c r="D10" s="11"/>
      <c r="E10" s="80"/>
      <c r="F10" s="80"/>
      <c r="G10" s="79"/>
      <c r="H10" s="78"/>
      <c r="I10" s="78"/>
      <c r="J10" s="11"/>
      <c r="K10" s="77"/>
    </row>
    <row r="11" spans="2:11" ht="15.5" x14ac:dyDescent="0.35">
      <c r="B11" s="43" t="s">
        <v>124</v>
      </c>
      <c r="C11" s="41" t="s">
        <v>123</v>
      </c>
      <c r="D11" s="41"/>
      <c r="E11" s="11"/>
      <c r="F11" s="11"/>
      <c r="G11" s="11"/>
      <c r="H11" s="11"/>
      <c r="I11" s="11"/>
      <c r="J11" s="76"/>
      <c r="K11" s="75"/>
    </row>
    <row r="12" spans="2:11" ht="15.5" x14ac:dyDescent="0.35">
      <c r="B12" s="15"/>
      <c r="C12" s="41" t="s">
        <v>99</v>
      </c>
      <c r="D12" s="41" t="s">
        <v>122</v>
      </c>
      <c r="E12" s="11"/>
      <c r="F12" s="11"/>
      <c r="G12" s="11"/>
      <c r="H12" s="11"/>
      <c r="I12" s="11"/>
      <c r="J12" s="74"/>
      <c r="K12" s="47"/>
    </row>
    <row r="13" spans="2:11" ht="16.5" x14ac:dyDescent="0.35">
      <c r="B13" s="70"/>
      <c r="C13" s="69"/>
      <c r="D13" s="54" t="s">
        <v>311</v>
      </c>
      <c r="E13" s="294">
        <v>1</v>
      </c>
      <c r="F13" s="26" t="s">
        <v>63</v>
      </c>
      <c r="G13" s="73">
        <v>5000000</v>
      </c>
      <c r="H13" s="24">
        <f>E13*G13</f>
        <v>5000000</v>
      </c>
      <c r="I13" s="68"/>
      <c r="K13" s="102"/>
    </row>
    <row r="14" spans="2:11" x14ac:dyDescent="0.35">
      <c r="B14" s="70"/>
      <c r="C14" s="69"/>
      <c r="D14" s="54" t="s">
        <v>368</v>
      </c>
      <c r="E14" s="325">
        <v>1</v>
      </c>
      <c r="F14" s="26" t="s">
        <v>63</v>
      </c>
      <c r="G14" s="73">
        <v>4669000</v>
      </c>
      <c r="H14" s="24">
        <f>E14*G14</f>
        <v>4669000</v>
      </c>
      <c r="I14" s="68"/>
      <c r="J14" s="48" t="s">
        <v>105</v>
      </c>
      <c r="K14" s="47">
        <f>SUM(H13:H14)</f>
        <v>9669000</v>
      </c>
    </row>
    <row r="15" spans="2:11" x14ac:dyDescent="0.35">
      <c r="B15" s="70"/>
      <c r="C15" s="69"/>
      <c r="D15" s="54"/>
      <c r="E15" s="62"/>
      <c r="F15" s="62"/>
      <c r="G15" s="326"/>
      <c r="H15" s="24"/>
      <c r="I15" s="68"/>
      <c r="J15" s="48"/>
      <c r="K15" s="47"/>
    </row>
    <row r="16" spans="2:11" ht="15.5" x14ac:dyDescent="0.35">
      <c r="B16" s="70"/>
      <c r="C16" s="72" t="s">
        <v>96</v>
      </c>
      <c r="D16" s="72" t="s">
        <v>121</v>
      </c>
      <c r="E16" s="62"/>
      <c r="F16" s="62"/>
      <c r="G16" s="71"/>
      <c r="H16" s="68"/>
      <c r="I16" s="68"/>
      <c r="J16" s="48"/>
      <c r="K16" s="38"/>
    </row>
    <row r="17" spans="2:11" ht="16.5" x14ac:dyDescent="0.35">
      <c r="B17" s="70"/>
      <c r="C17" s="69"/>
      <c r="D17" s="54" t="s">
        <v>312</v>
      </c>
      <c r="E17" s="294"/>
      <c r="F17" s="62" t="s">
        <v>63</v>
      </c>
      <c r="G17" s="294"/>
      <c r="H17" s="24">
        <f>E17*G17</f>
        <v>0</v>
      </c>
      <c r="I17" s="68"/>
      <c r="J17" s="23"/>
      <c r="K17" s="38"/>
    </row>
    <row r="18" spans="2:11" x14ac:dyDescent="0.35">
      <c r="B18" s="67"/>
      <c r="C18" s="66"/>
      <c r="D18" s="64"/>
      <c r="E18" s="65"/>
      <c r="F18" s="65"/>
      <c r="G18" s="64"/>
      <c r="H18" s="63"/>
      <c r="I18" s="63"/>
      <c r="J18" s="48" t="s">
        <v>105</v>
      </c>
      <c r="K18" s="47">
        <f>SUM(H17:H17)</f>
        <v>0</v>
      </c>
    </row>
    <row r="19" spans="2:11" ht="15.5" x14ac:dyDescent="0.35">
      <c r="B19" s="52"/>
      <c r="C19" s="41" t="s">
        <v>94</v>
      </c>
      <c r="D19" s="41" t="s">
        <v>119</v>
      </c>
      <c r="E19" s="26"/>
      <c r="F19" s="26"/>
      <c r="G19" s="11"/>
      <c r="H19" s="24"/>
      <c r="I19" s="24"/>
      <c r="J19" s="23"/>
      <c r="K19" s="38"/>
    </row>
    <row r="20" spans="2:11" x14ac:dyDescent="0.35">
      <c r="B20" s="52"/>
      <c r="C20" s="37"/>
      <c r="D20" s="50"/>
      <c r="E20" s="294"/>
      <c r="F20" s="26" t="s">
        <v>117</v>
      </c>
      <c r="G20" s="36"/>
      <c r="H20" s="24"/>
      <c r="I20" s="24">
        <v>0</v>
      </c>
      <c r="J20" s="23"/>
      <c r="K20" s="38"/>
    </row>
    <row r="21" spans="2:11" x14ac:dyDescent="0.35">
      <c r="B21" s="56"/>
      <c r="C21" s="54"/>
      <c r="D21" s="54"/>
      <c r="E21" s="55"/>
      <c r="F21" s="55"/>
      <c r="G21" s="54"/>
      <c r="H21" s="53"/>
      <c r="I21" s="53"/>
      <c r="J21" s="48" t="s">
        <v>105</v>
      </c>
      <c r="K21" s="47">
        <f>SUM(I20:I20)</f>
        <v>0</v>
      </c>
    </row>
    <row r="22" spans="2:11" ht="15.5" x14ac:dyDescent="0.35">
      <c r="B22" s="52"/>
      <c r="C22" s="41" t="s">
        <v>91</v>
      </c>
      <c r="D22" s="41" t="s">
        <v>116</v>
      </c>
      <c r="E22" s="26"/>
      <c r="F22" s="26"/>
      <c r="G22" s="11"/>
      <c r="H22" s="24"/>
      <c r="I22" s="24"/>
      <c r="J22" s="23"/>
      <c r="K22" s="38"/>
    </row>
    <row r="23" spans="2:11" x14ac:dyDescent="0.35">
      <c r="B23" s="60"/>
      <c r="C23" s="50"/>
      <c r="D23" s="54" t="s">
        <v>115</v>
      </c>
      <c r="E23" s="35"/>
      <c r="F23" s="51" t="s">
        <v>113</v>
      </c>
      <c r="G23" s="61"/>
      <c r="H23" s="49"/>
      <c r="I23" s="49">
        <f>E23*G23</f>
        <v>0</v>
      </c>
      <c r="J23" s="58"/>
      <c r="K23" s="57"/>
    </row>
    <row r="24" spans="2:11" x14ac:dyDescent="0.35">
      <c r="B24" s="60"/>
      <c r="C24" s="50"/>
      <c r="D24" s="54" t="s">
        <v>114</v>
      </c>
      <c r="E24" s="35"/>
      <c r="F24" s="51" t="s">
        <v>113</v>
      </c>
      <c r="G24" s="61"/>
      <c r="H24" s="49"/>
      <c r="I24" s="49">
        <f>E24*G24</f>
        <v>0</v>
      </c>
      <c r="J24" s="58"/>
      <c r="K24" s="57"/>
    </row>
    <row r="25" spans="2:11" ht="15.5" x14ac:dyDescent="0.35">
      <c r="B25" s="60"/>
      <c r="C25" s="41" t="s">
        <v>89</v>
      </c>
      <c r="D25" s="41" t="s">
        <v>112</v>
      </c>
      <c r="E25" s="11"/>
      <c r="F25" s="11"/>
      <c r="G25" s="11"/>
      <c r="H25" s="24"/>
      <c r="I25" s="49"/>
      <c r="J25" s="58"/>
      <c r="K25" s="57"/>
    </row>
    <row r="26" spans="2:11" x14ac:dyDescent="0.35">
      <c r="B26" s="60"/>
      <c r="C26" s="50"/>
      <c r="D26" s="50" t="s">
        <v>111</v>
      </c>
      <c r="E26" s="59">
        <v>5.0000000000000001E-3</v>
      </c>
      <c r="F26" s="26" t="s">
        <v>110</v>
      </c>
      <c r="G26" s="294"/>
      <c r="H26" s="49">
        <f>E26*G13</f>
        <v>25000</v>
      </c>
      <c r="I26" s="49"/>
      <c r="J26" s="58"/>
      <c r="K26" s="57"/>
    </row>
    <row r="27" spans="2:11" x14ac:dyDescent="0.35">
      <c r="B27" s="56"/>
      <c r="C27" s="54"/>
      <c r="D27" s="54"/>
      <c r="E27" s="55"/>
      <c r="F27" s="55"/>
      <c r="G27" s="54"/>
      <c r="H27" s="53"/>
      <c r="I27" s="53"/>
      <c r="J27" s="48" t="s">
        <v>105</v>
      </c>
      <c r="K27" s="47">
        <f>H26</f>
        <v>25000</v>
      </c>
    </row>
    <row r="28" spans="2:11" ht="15.5" x14ac:dyDescent="0.35">
      <c r="B28" s="52"/>
      <c r="C28" s="41" t="s">
        <v>86</v>
      </c>
      <c r="D28" s="41" t="s">
        <v>109</v>
      </c>
      <c r="E28" s="26"/>
      <c r="F28" s="26"/>
      <c r="G28" s="11"/>
      <c r="H28" s="24"/>
      <c r="I28" s="24"/>
      <c r="J28" s="23"/>
      <c r="K28" s="38"/>
    </row>
    <row r="29" spans="2:11" x14ac:dyDescent="0.35">
      <c r="B29" s="52"/>
      <c r="C29" s="37"/>
      <c r="D29" s="50" t="s">
        <v>108</v>
      </c>
      <c r="E29" s="35">
        <v>10</v>
      </c>
      <c r="F29" s="51" t="s">
        <v>106</v>
      </c>
      <c r="G29" s="35">
        <v>1800</v>
      </c>
      <c r="H29" s="49"/>
      <c r="I29" s="49">
        <f>G29*E29</f>
        <v>18000</v>
      </c>
      <c r="J29" s="23"/>
      <c r="K29" s="38"/>
    </row>
    <row r="30" spans="2:11" x14ac:dyDescent="0.35">
      <c r="B30" s="52"/>
      <c r="C30" s="37"/>
      <c r="D30" s="50" t="s">
        <v>107</v>
      </c>
      <c r="E30" s="35">
        <v>8</v>
      </c>
      <c r="F30" s="51" t="s">
        <v>106</v>
      </c>
      <c r="G30" s="35">
        <v>2500</v>
      </c>
      <c r="H30" s="49"/>
      <c r="I30" s="49">
        <f>G30*E30</f>
        <v>20000</v>
      </c>
      <c r="J30" s="23"/>
      <c r="K30" s="38"/>
    </row>
    <row r="31" spans="2:11" x14ac:dyDescent="0.35">
      <c r="B31" s="52"/>
      <c r="C31" s="37"/>
      <c r="D31" s="37"/>
      <c r="E31" s="51"/>
      <c r="F31" s="51"/>
      <c r="G31" s="50"/>
      <c r="H31" s="49"/>
      <c r="I31" s="49"/>
      <c r="J31" s="48" t="s">
        <v>105</v>
      </c>
      <c r="K31" s="47">
        <f>SUM(I29:I30)</f>
        <v>38000</v>
      </c>
    </row>
    <row r="32" spans="2:11" ht="15.5" x14ac:dyDescent="0.35">
      <c r="B32" s="21" t="s">
        <v>104</v>
      </c>
      <c r="C32" s="46"/>
      <c r="D32" s="46"/>
      <c r="E32" s="297" t="s">
        <v>103</v>
      </c>
      <c r="F32" s="45"/>
      <c r="G32" s="45"/>
      <c r="H32" s="45"/>
      <c r="I32" s="44"/>
      <c r="J32" s="17" t="s">
        <v>102</v>
      </c>
      <c r="K32" s="29">
        <f>SUM(K14:K31)</f>
        <v>9732000</v>
      </c>
    </row>
    <row r="33" spans="2:11" ht="15.5" x14ac:dyDescent="0.35">
      <c r="B33" s="13"/>
      <c r="C33" s="12"/>
      <c r="D33" s="12"/>
      <c r="E33" s="26"/>
      <c r="F33" s="26"/>
      <c r="G33" s="11"/>
      <c r="H33" s="24"/>
      <c r="I33" s="24"/>
      <c r="J33" s="10"/>
      <c r="K33" s="38"/>
    </row>
    <row r="34" spans="2:11" ht="17.5" x14ac:dyDescent="0.35">
      <c r="B34" s="43" t="s">
        <v>101</v>
      </c>
      <c r="C34" s="41" t="s">
        <v>313</v>
      </c>
      <c r="D34" s="41"/>
      <c r="E34" s="26"/>
      <c r="F34" s="26"/>
      <c r="G34" s="11"/>
      <c r="H34" s="24"/>
      <c r="I34" s="24"/>
      <c r="J34" s="10"/>
      <c r="K34" s="38"/>
    </row>
    <row r="35" spans="2:11" ht="15.5" x14ac:dyDescent="0.35">
      <c r="B35" s="15"/>
      <c r="C35" s="41" t="s">
        <v>99</v>
      </c>
      <c r="D35" s="41" t="s">
        <v>98</v>
      </c>
      <c r="E35" s="35"/>
      <c r="F35" s="26" t="s">
        <v>97</v>
      </c>
      <c r="G35" s="35"/>
      <c r="H35" s="24">
        <f>E35*G35</f>
        <v>0</v>
      </c>
      <c r="I35" s="24"/>
      <c r="J35" s="23"/>
      <c r="K35" s="38">
        <f>H35+I35</f>
        <v>0</v>
      </c>
    </row>
    <row r="36" spans="2:11" ht="15.5" x14ac:dyDescent="0.35">
      <c r="B36" s="15"/>
      <c r="C36" s="41" t="s">
        <v>96</v>
      </c>
      <c r="D36" s="41" t="s">
        <v>95</v>
      </c>
      <c r="E36" s="35"/>
      <c r="F36" s="26" t="s">
        <v>92</v>
      </c>
      <c r="G36" s="35"/>
      <c r="H36" s="24">
        <f t="shared" ref="H36:H41" si="0">E36*G36</f>
        <v>0</v>
      </c>
      <c r="I36" s="24"/>
      <c r="J36" s="23"/>
      <c r="K36" s="38">
        <f t="shared" ref="K36:K45" si="1">H36+I36</f>
        <v>0</v>
      </c>
    </row>
    <row r="37" spans="2:11" ht="15.5" x14ac:dyDescent="0.35">
      <c r="B37" s="15"/>
      <c r="C37" s="41" t="s">
        <v>94</v>
      </c>
      <c r="D37" s="41" t="s">
        <v>93</v>
      </c>
      <c r="E37" s="35"/>
      <c r="F37" s="26" t="s">
        <v>92</v>
      </c>
      <c r="G37" s="35"/>
      <c r="H37" s="24">
        <f t="shared" si="0"/>
        <v>0</v>
      </c>
      <c r="I37" s="24"/>
      <c r="J37" s="23"/>
      <c r="K37" s="38">
        <f t="shared" si="1"/>
        <v>0</v>
      </c>
    </row>
    <row r="38" spans="2:11" ht="15.5" x14ac:dyDescent="0.35">
      <c r="B38" s="15"/>
      <c r="C38" s="41" t="s">
        <v>91</v>
      </c>
      <c r="D38" s="41" t="s">
        <v>90</v>
      </c>
      <c r="E38" s="35"/>
      <c r="F38" s="26" t="s">
        <v>84</v>
      </c>
      <c r="G38" s="35"/>
      <c r="H38" s="24">
        <f t="shared" si="0"/>
        <v>0</v>
      </c>
      <c r="I38" s="24"/>
      <c r="J38" s="23"/>
      <c r="K38" s="38">
        <f t="shared" si="1"/>
        <v>0</v>
      </c>
    </row>
    <row r="39" spans="2:11" ht="15.5" x14ac:dyDescent="0.35">
      <c r="B39" s="15"/>
      <c r="C39" s="41" t="s">
        <v>89</v>
      </c>
      <c r="D39" s="41" t="s">
        <v>88</v>
      </c>
      <c r="E39" s="35"/>
      <c r="F39" s="26" t="s">
        <v>87</v>
      </c>
      <c r="G39" s="35"/>
      <c r="H39" s="24">
        <f t="shared" si="0"/>
        <v>0</v>
      </c>
      <c r="I39" s="24"/>
      <c r="J39" s="23"/>
      <c r="K39" s="38">
        <f t="shared" si="1"/>
        <v>0</v>
      </c>
    </row>
    <row r="40" spans="2:11" ht="15.5" x14ac:dyDescent="0.35">
      <c r="B40" s="15"/>
      <c r="C40" s="41" t="s">
        <v>86</v>
      </c>
      <c r="D40" s="41" t="s">
        <v>85</v>
      </c>
      <c r="E40" s="35"/>
      <c r="F40" s="26" t="s">
        <v>84</v>
      </c>
      <c r="G40" s="35"/>
      <c r="H40" s="24">
        <f t="shared" si="0"/>
        <v>0</v>
      </c>
      <c r="I40" s="24"/>
      <c r="J40" s="23"/>
      <c r="K40" s="38">
        <f t="shared" si="1"/>
        <v>0</v>
      </c>
    </row>
    <row r="41" spans="2:11" ht="15.5" x14ac:dyDescent="0.35">
      <c r="B41" s="15"/>
      <c r="C41" s="41" t="s">
        <v>83</v>
      </c>
      <c r="D41" s="41" t="s">
        <v>82</v>
      </c>
      <c r="E41" s="35"/>
      <c r="F41" s="26" t="s">
        <v>81</v>
      </c>
      <c r="G41" s="35"/>
      <c r="H41" s="24">
        <f t="shared" si="0"/>
        <v>0</v>
      </c>
      <c r="I41" s="24"/>
      <c r="J41" s="23"/>
      <c r="K41" s="38">
        <f t="shared" si="1"/>
        <v>0</v>
      </c>
    </row>
    <row r="42" spans="2:11" ht="15.5" x14ac:dyDescent="0.35">
      <c r="B42" s="15"/>
      <c r="C42" s="41" t="s">
        <v>80</v>
      </c>
      <c r="D42" s="41" t="s">
        <v>79</v>
      </c>
      <c r="E42" s="26"/>
      <c r="F42" s="26"/>
      <c r="G42" s="10"/>
      <c r="H42" s="24"/>
      <c r="I42" s="24"/>
      <c r="J42" s="23"/>
      <c r="K42" s="38"/>
    </row>
    <row r="43" spans="2:11" ht="15.5" x14ac:dyDescent="0.35">
      <c r="B43" s="15"/>
      <c r="C43" s="41"/>
      <c r="D43" s="12" t="s">
        <v>78</v>
      </c>
      <c r="F43" s="40" t="s">
        <v>77</v>
      </c>
      <c r="G43" s="36"/>
      <c r="H43" s="42"/>
      <c r="I43" s="24">
        <f>G43*I23</f>
        <v>0</v>
      </c>
      <c r="J43" s="23"/>
      <c r="K43" s="38">
        <f t="shared" si="1"/>
        <v>0</v>
      </c>
    </row>
    <row r="44" spans="2:11" ht="15.5" x14ac:dyDescent="0.35">
      <c r="B44" s="15"/>
      <c r="C44" s="41"/>
      <c r="D44" s="12" t="s">
        <v>76</v>
      </c>
      <c r="F44" s="40" t="s">
        <v>75</v>
      </c>
      <c r="G44" s="36"/>
      <c r="H44" s="42"/>
      <c r="I44" s="24">
        <f>G44*I24</f>
        <v>0</v>
      </c>
      <c r="J44" s="23"/>
      <c r="K44" s="38">
        <f t="shared" si="1"/>
        <v>0</v>
      </c>
    </row>
    <row r="45" spans="2:11" ht="15.5" x14ac:dyDescent="0.35">
      <c r="B45" s="15"/>
      <c r="C45" s="41"/>
      <c r="D45" s="12" t="s">
        <v>74</v>
      </c>
      <c r="F45" s="40" t="s">
        <v>73</v>
      </c>
      <c r="G45" s="36"/>
      <c r="H45" s="24"/>
      <c r="I45" s="24">
        <f>G45*K14</f>
        <v>0</v>
      </c>
      <c r="J45" s="23"/>
      <c r="K45" s="38">
        <f t="shared" si="1"/>
        <v>0</v>
      </c>
    </row>
    <row r="46" spans="2:11" ht="15.5" x14ac:dyDescent="0.35">
      <c r="B46" s="21" t="s">
        <v>72</v>
      </c>
      <c r="C46" s="39"/>
      <c r="D46" s="39"/>
      <c r="E46" s="445"/>
      <c r="F46" s="445"/>
      <c r="G46" s="445"/>
      <c r="H46" s="445"/>
      <c r="I46" s="30"/>
      <c r="J46" s="17" t="s">
        <v>71</v>
      </c>
      <c r="K46" s="29">
        <f>(H13*2)</f>
        <v>10000000</v>
      </c>
    </row>
    <row r="47" spans="2:11" ht="15.5" x14ac:dyDescent="0.35">
      <c r="B47" s="13"/>
      <c r="C47" s="12"/>
      <c r="D47" s="12"/>
      <c r="E47" s="11"/>
      <c r="F47" s="11"/>
      <c r="G47" s="11"/>
      <c r="H47" s="10"/>
      <c r="I47" s="10"/>
      <c r="J47" s="10"/>
      <c r="K47" s="38"/>
    </row>
    <row r="48" spans="2:11" ht="15.5" x14ac:dyDescent="0.35">
      <c r="B48" s="13"/>
      <c r="C48" s="12"/>
      <c r="D48" s="12"/>
      <c r="E48" s="11"/>
      <c r="F48" s="11"/>
      <c r="G48" s="11"/>
      <c r="H48" s="10"/>
      <c r="I48" s="10"/>
      <c r="J48" s="10"/>
      <c r="K48" s="38"/>
    </row>
    <row r="49" spans="2:11" ht="15.5" x14ac:dyDescent="0.35">
      <c r="B49" s="21" t="s">
        <v>70</v>
      </c>
      <c r="C49" s="34"/>
      <c r="D49" s="34"/>
      <c r="E49" s="445"/>
      <c r="F49" s="445"/>
      <c r="G49" s="445"/>
      <c r="H49" s="445"/>
      <c r="I49" s="31"/>
      <c r="J49" s="17" t="s">
        <v>69</v>
      </c>
      <c r="K49" s="29">
        <f>K32+K46</f>
        <v>19732000</v>
      </c>
    </row>
    <row r="50" spans="2:11" ht="15.5" x14ac:dyDescent="0.35">
      <c r="B50" s="15"/>
      <c r="C50" s="12"/>
      <c r="D50" s="12"/>
      <c r="E50" s="11"/>
      <c r="F50" s="11"/>
      <c r="G50" s="37"/>
      <c r="H50" s="10"/>
      <c r="I50" s="10"/>
      <c r="J50" s="10"/>
      <c r="K50" s="9"/>
    </row>
    <row r="51" spans="2:11" ht="15.5" x14ac:dyDescent="0.35">
      <c r="B51" s="13"/>
      <c r="C51" s="12"/>
      <c r="D51" s="12"/>
      <c r="E51" s="11"/>
      <c r="F51" s="11"/>
      <c r="G51" s="11"/>
      <c r="H51" s="10"/>
      <c r="I51" s="10"/>
      <c r="J51" s="10"/>
      <c r="K51" s="9"/>
    </row>
    <row r="52" spans="2:11" ht="15.5" x14ac:dyDescent="0.35">
      <c r="B52" s="15" t="s">
        <v>68</v>
      </c>
      <c r="C52" s="12"/>
      <c r="D52" s="12"/>
      <c r="E52" s="11"/>
      <c r="F52" s="11"/>
      <c r="G52" s="11"/>
      <c r="H52" s="10"/>
      <c r="I52" s="10"/>
      <c r="J52" s="10"/>
      <c r="K52" s="9"/>
    </row>
    <row r="53" spans="2:11" ht="15.5" x14ac:dyDescent="0.35">
      <c r="B53" s="28" t="s">
        <v>67</v>
      </c>
      <c r="C53" s="12" t="s">
        <v>66</v>
      </c>
      <c r="D53" s="12"/>
      <c r="E53" s="36">
        <v>0.18</v>
      </c>
      <c r="F53" s="26" t="s">
        <v>54</v>
      </c>
      <c r="G53" s="294"/>
      <c r="H53" s="10"/>
      <c r="I53" s="24">
        <f>E53*K49</f>
        <v>3551760</v>
      </c>
      <c r="J53" s="23"/>
      <c r="K53" s="22"/>
    </row>
    <row r="54" spans="2:11" ht="15.5" x14ac:dyDescent="0.35">
      <c r="B54" s="28" t="s">
        <v>65</v>
      </c>
      <c r="C54" s="12" t="s">
        <v>64</v>
      </c>
      <c r="D54" s="12"/>
      <c r="E54" s="35">
        <v>1</v>
      </c>
      <c r="F54" s="26" t="s">
        <v>63</v>
      </c>
      <c r="G54" s="244">
        <v>10000</v>
      </c>
      <c r="H54" s="10"/>
      <c r="I54" s="24">
        <f>E54*G54</f>
        <v>10000</v>
      </c>
      <c r="J54" s="23"/>
      <c r="K54" s="22"/>
    </row>
    <row r="55" spans="2:11" ht="15.5" x14ac:dyDescent="0.35">
      <c r="B55" s="21" t="s">
        <v>62</v>
      </c>
      <c r="C55" s="34"/>
      <c r="D55" s="34"/>
      <c r="E55" s="32"/>
      <c r="F55" s="33"/>
      <c r="G55" s="32"/>
      <c r="H55" s="31"/>
      <c r="I55" s="30"/>
      <c r="J55" s="17" t="s">
        <v>61</v>
      </c>
      <c r="K55" s="29">
        <f>SUM(I53:I54)</f>
        <v>3561760</v>
      </c>
    </row>
    <row r="56" spans="2:11" ht="15.5" x14ac:dyDescent="0.35">
      <c r="B56" s="15"/>
      <c r="C56" s="12"/>
      <c r="D56" s="12"/>
      <c r="E56" s="11"/>
      <c r="F56" s="26"/>
      <c r="G56" s="11"/>
      <c r="H56" s="10"/>
      <c r="I56" s="24"/>
      <c r="J56" s="14"/>
      <c r="K56" s="9"/>
    </row>
    <row r="57" spans="2:11" ht="15.5" x14ac:dyDescent="0.35">
      <c r="B57" s="13"/>
      <c r="C57" s="12"/>
      <c r="D57" s="12"/>
      <c r="E57" s="11"/>
      <c r="F57" s="26"/>
      <c r="G57" s="11"/>
      <c r="H57" s="10"/>
      <c r="I57" s="24"/>
      <c r="J57" s="10"/>
      <c r="K57" s="9"/>
    </row>
    <row r="58" spans="2:11" ht="15.5" x14ac:dyDescent="0.35">
      <c r="B58" s="15" t="s">
        <v>60</v>
      </c>
      <c r="C58" s="12"/>
      <c r="D58" s="12"/>
      <c r="E58" s="11"/>
      <c r="F58" s="26"/>
      <c r="G58" s="11"/>
      <c r="H58" s="10"/>
      <c r="I58" s="24"/>
      <c r="J58" s="10"/>
      <c r="K58" s="9"/>
    </row>
    <row r="59" spans="2:11" ht="17.5" x14ac:dyDescent="0.35">
      <c r="B59" s="28" t="s">
        <v>59</v>
      </c>
      <c r="C59" s="12" t="s">
        <v>314</v>
      </c>
      <c r="D59" s="12"/>
      <c r="E59" s="294"/>
      <c r="F59" s="26" t="s">
        <v>54</v>
      </c>
      <c r="G59" s="294"/>
      <c r="H59" s="10"/>
      <c r="I59" s="24"/>
      <c r="J59" s="23"/>
      <c r="K59" s="302" t="s">
        <v>57</v>
      </c>
    </row>
    <row r="60" spans="2:11" ht="15.5" x14ac:dyDescent="0.35">
      <c r="B60" s="28" t="s">
        <v>56</v>
      </c>
      <c r="C60" s="12" t="s">
        <v>55</v>
      </c>
      <c r="D60" s="12"/>
      <c r="E60" s="27">
        <v>0.3</v>
      </c>
      <c r="F60" s="26" t="s">
        <v>267</v>
      </c>
      <c r="G60" s="294"/>
      <c r="H60" s="10"/>
      <c r="I60" s="24">
        <f>E60*K32</f>
        <v>2919600</v>
      </c>
      <c r="J60" s="23"/>
      <c r="K60" s="22"/>
    </row>
    <row r="61" spans="2:11" ht="15.5" x14ac:dyDescent="0.35">
      <c r="B61" s="21" t="s">
        <v>53</v>
      </c>
      <c r="C61" s="20"/>
      <c r="D61" s="20"/>
      <c r="E61" s="19"/>
      <c r="F61" s="19"/>
      <c r="G61" s="19"/>
      <c r="H61" s="18"/>
      <c r="I61" s="18"/>
      <c r="J61" s="17" t="s">
        <v>52</v>
      </c>
      <c r="K61" s="16">
        <f>SUM(I59:I60)</f>
        <v>2919600</v>
      </c>
    </row>
    <row r="62" spans="2:11" ht="15.5" x14ac:dyDescent="0.35">
      <c r="B62" s="15"/>
      <c r="C62" s="12"/>
      <c r="D62" s="12"/>
      <c r="E62" s="11"/>
      <c r="F62" s="11"/>
      <c r="G62" s="11"/>
      <c r="H62" s="10"/>
      <c r="I62" s="10"/>
      <c r="J62" s="14"/>
      <c r="K62" s="9"/>
    </row>
    <row r="63" spans="2:11" ht="15.5" x14ac:dyDescent="0.35">
      <c r="B63" s="13"/>
      <c r="C63" s="12"/>
      <c r="D63" s="12"/>
      <c r="E63" s="11"/>
      <c r="F63" s="11"/>
      <c r="G63" s="11"/>
      <c r="H63" s="10"/>
      <c r="I63" s="10"/>
      <c r="J63" s="10"/>
      <c r="K63" s="9"/>
    </row>
    <row r="64" spans="2:11" ht="34.5" customHeight="1" thickBot="1" x14ac:dyDescent="0.5">
      <c r="B64" s="8" t="s">
        <v>51</v>
      </c>
      <c r="C64" s="7"/>
      <c r="D64" s="7"/>
      <c r="E64" s="7"/>
      <c r="F64" s="7"/>
      <c r="G64" s="6"/>
      <c r="H64" s="5"/>
      <c r="I64" s="4"/>
      <c r="J64" s="3" t="s">
        <v>50</v>
      </c>
      <c r="K64" s="2">
        <f>K49+K55+K61</f>
        <v>26213360</v>
      </c>
    </row>
    <row r="65" spans="2:11" ht="15" thickTop="1" x14ac:dyDescent="0.35"/>
    <row r="66" spans="2:11" ht="34.5" customHeight="1" x14ac:dyDescent="0.35">
      <c r="B66" s="386">
        <v>1</v>
      </c>
      <c r="C66" s="448" t="s">
        <v>375</v>
      </c>
      <c r="D66" s="448"/>
      <c r="E66" s="448"/>
      <c r="F66" s="448"/>
      <c r="G66" s="448"/>
      <c r="H66" s="448"/>
      <c r="I66" s="448"/>
      <c r="J66" s="448"/>
      <c r="K66" s="448"/>
    </row>
    <row r="67" spans="2:11" ht="35.25" customHeight="1" x14ac:dyDescent="0.35">
      <c r="B67" s="386">
        <v>2</v>
      </c>
      <c r="C67" s="448" t="s">
        <v>376</v>
      </c>
      <c r="D67" s="448"/>
      <c r="E67" s="448"/>
      <c r="F67" s="448"/>
      <c r="G67" s="448"/>
      <c r="H67" s="448"/>
      <c r="I67" s="448"/>
      <c r="J67" s="448"/>
      <c r="K67" s="448"/>
    </row>
    <row r="68" spans="2:11" ht="16.5" x14ac:dyDescent="0.35">
      <c r="B68" s="386">
        <v>3</v>
      </c>
      <c r="C68" s="448" t="s">
        <v>377</v>
      </c>
      <c r="D68" s="448"/>
      <c r="E68" s="448"/>
      <c r="F68" s="448"/>
      <c r="G68" s="448"/>
      <c r="H68" s="448"/>
      <c r="I68" s="448"/>
      <c r="J68" s="448"/>
      <c r="K68" s="448"/>
    </row>
    <row r="69" spans="2:11" ht="34.5" customHeight="1" x14ac:dyDescent="0.35">
      <c r="B69" s="386">
        <v>4</v>
      </c>
      <c r="C69" s="448" t="s">
        <v>378</v>
      </c>
      <c r="D69" s="448"/>
      <c r="E69" s="448"/>
      <c r="F69" s="448"/>
      <c r="G69" s="448"/>
      <c r="H69" s="448"/>
      <c r="I69" s="448"/>
      <c r="J69" s="448"/>
      <c r="K69" s="448"/>
    </row>
    <row r="70" spans="2:11" ht="16.5" x14ac:dyDescent="0.35">
      <c r="B70" s="386">
        <v>5</v>
      </c>
      <c r="C70" s="448" t="s">
        <v>379</v>
      </c>
      <c r="D70" s="448"/>
      <c r="E70" s="448"/>
      <c r="F70" s="448"/>
      <c r="G70" s="448"/>
      <c r="H70" s="448"/>
      <c r="I70" s="448"/>
      <c r="J70" s="448"/>
      <c r="K70" s="448"/>
    </row>
    <row r="71" spans="2:11" ht="35.25" customHeight="1" x14ac:dyDescent="0.35">
      <c r="B71" s="386">
        <v>6</v>
      </c>
      <c r="C71" s="448" t="s">
        <v>381</v>
      </c>
      <c r="D71" s="448"/>
      <c r="E71" s="448"/>
      <c r="F71" s="448"/>
      <c r="G71" s="448"/>
      <c r="H71" s="448"/>
      <c r="I71" s="448"/>
      <c r="J71" s="448"/>
      <c r="K71" s="448"/>
    </row>
    <row r="72" spans="2:11" ht="17.25" customHeight="1" x14ac:dyDescent="0.35">
      <c r="B72" s="386">
        <v>7</v>
      </c>
      <c r="C72" s="448" t="s">
        <v>383</v>
      </c>
      <c r="D72" s="448"/>
      <c r="E72" s="448"/>
      <c r="F72" s="448"/>
      <c r="G72" s="448"/>
      <c r="H72" s="448"/>
      <c r="I72" s="448"/>
      <c r="J72" s="448"/>
      <c r="K72" s="448"/>
    </row>
    <row r="73" spans="2:11" ht="16.5" x14ac:dyDescent="0.35">
      <c r="B73" s="300"/>
    </row>
    <row r="74" spans="2:11" ht="16.5" x14ac:dyDescent="0.35">
      <c r="B74" s="300"/>
    </row>
  </sheetData>
  <mergeCells count="12">
    <mergeCell ref="C71:K71"/>
    <mergeCell ref="C72:K72"/>
    <mergeCell ref="C66:K66"/>
    <mergeCell ref="C67:K67"/>
    <mergeCell ref="C68:K68"/>
    <mergeCell ref="C69:K69"/>
    <mergeCell ref="C70:K70"/>
    <mergeCell ref="J3:K3"/>
    <mergeCell ref="B8:K8"/>
    <mergeCell ref="E46:H46"/>
    <mergeCell ref="E49:H49"/>
    <mergeCell ref="B1:K1"/>
  </mergeCells>
  <printOptions horizontalCentered="1"/>
  <pageMargins left="0.38" right="0.4" top="0.48" bottom="0.75" header="0.3" footer="0.3"/>
  <pageSetup scale="53" firstPageNumber="45" orientation="portrait" useFirstPageNumber="1" r:id="rId1"/>
  <headerFooter>
    <oddFooter>&amp;L&amp;"Arial,Regular"&amp;8GVEA - North Pole Facility
PM2.5 NAA BACT Analysis&amp;C&amp;"Arial,Regular"&amp;8Page 56&amp;R&amp;"Arial,Regular"&amp;8August 2017</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79998168889431442"/>
    <pageSetUpPr fitToPage="1"/>
  </sheetPr>
  <dimension ref="B1:L59"/>
  <sheetViews>
    <sheetView topLeftCell="A13" zoomScaleNormal="100" zoomScalePageLayoutView="50" workbookViewId="0">
      <selection activeCell="J44" sqref="J44"/>
    </sheetView>
  </sheetViews>
  <sheetFormatPr defaultRowHeight="14.5" x14ac:dyDescent="0.35"/>
  <cols>
    <col min="1" max="1" width="3" customWidth="1"/>
    <col min="2" max="3" width="6" customWidth="1"/>
    <col min="4" max="4" width="55.81640625" customWidth="1"/>
    <col min="5" max="5" width="11.54296875" bestFit="1" customWidth="1"/>
    <col min="6" max="6" width="14.26953125" customWidth="1"/>
    <col min="7" max="7" width="15.453125" customWidth="1"/>
    <col min="8" max="9" width="24" customWidth="1"/>
    <col min="10" max="10" width="11.81640625" customWidth="1"/>
    <col min="11" max="11" width="13.26953125" customWidth="1"/>
  </cols>
  <sheetData>
    <row r="1" spans="2:11" x14ac:dyDescent="0.35">
      <c r="B1" s="439" t="s">
        <v>404</v>
      </c>
      <c r="C1" s="439"/>
      <c r="D1" s="439"/>
      <c r="E1" s="439"/>
      <c r="F1" s="439"/>
      <c r="G1" s="439"/>
      <c r="H1" s="439"/>
      <c r="I1" s="439"/>
      <c r="J1" s="439"/>
      <c r="K1" s="439"/>
    </row>
    <row r="2" spans="2:11" x14ac:dyDescent="0.35">
      <c r="B2" s="392"/>
      <c r="C2" s="392"/>
      <c r="D2" s="392"/>
      <c r="E2" s="392"/>
      <c r="F2" s="392"/>
      <c r="G2" s="392"/>
      <c r="H2" s="392"/>
      <c r="I2" s="392"/>
      <c r="J2" s="392"/>
      <c r="K2" s="392"/>
    </row>
    <row r="3" spans="2:11" ht="15" thickBot="1" x14ac:dyDescent="0.4">
      <c r="I3" s="450" t="s">
        <v>205</v>
      </c>
      <c r="J3" s="451"/>
      <c r="K3" s="452"/>
    </row>
    <row r="4" spans="2:11" ht="19" thickTop="1" x14ac:dyDescent="0.45">
      <c r="B4" s="98" t="s">
        <v>208</v>
      </c>
      <c r="C4" s="158"/>
      <c r="D4" s="96"/>
      <c r="E4" s="96"/>
      <c r="F4" s="96"/>
      <c r="G4" s="96"/>
      <c r="H4" s="96"/>
      <c r="I4" s="96"/>
      <c r="J4" s="95" t="s">
        <v>137</v>
      </c>
      <c r="K4" s="94"/>
    </row>
    <row r="5" spans="2:11" x14ac:dyDescent="0.35">
      <c r="B5" s="92" t="s">
        <v>203</v>
      </c>
      <c r="C5" s="11"/>
      <c r="D5" s="93" t="s">
        <v>308</v>
      </c>
      <c r="E5" s="11"/>
      <c r="F5" s="11"/>
      <c r="G5" s="11"/>
      <c r="H5" s="11"/>
      <c r="I5" s="11"/>
      <c r="J5" s="40" t="s">
        <v>135</v>
      </c>
      <c r="K5" s="91"/>
    </row>
    <row r="6" spans="2:11" x14ac:dyDescent="0.35">
      <c r="B6" s="92"/>
      <c r="C6" s="11"/>
      <c r="D6" s="11"/>
      <c r="E6" s="11"/>
      <c r="F6" s="11"/>
      <c r="G6" s="11"/>
      <c r="H6" s="11"/>
      <c r="I6" s="11"/>
      <c r="J6" s="40" t="s">
        <v>133</v>
      </c>
      <c r="K6" s="91"/>
    </row>
    <row r="7" spans="2:11" ht="15" thickBot="1" x14ac:dyDescent="0.4">
      <c r="B7" s="90" t="s">
        <v>299</v>
      </c>
      <c r="C7" s="89"/>
      <c r="D7" s="89"/>
      <c r="E7" s="89"/>
      <c r="F7" s="89"/>
      <c r="G7" s="89"/>
      <c r="H7" s="89"/>
      <c r="I7" s="89"/>
      <c r="J7" s="88" t="s">
        <v>132</v>
      </c>
      <c r="K7" s="87"/>
    </row>
    <row r="8" spans="2:11" ht="16" thickBot="1" x14ac:dyDescent="0.4">
      <c r="B8" s="453" t="s">
        <v>202</v>
      </c>
      <c r="C8" s="454"/>
      <c r="D8" s="454"/>
      <c r="E8" s="454"/>
      <c r="F8" s="454"/>
      <c r="G8" s="454"/>
      <c r="H8" s="454"/>
      <c r="I8" s="454"/>
      <c r="J8" s="454"/>
      <c r="K8" s="455"/>
    </row>
    <row r="9" spans="2:11" ht="15.5" x14ac:dyDescent="0.35">
      <c r="B9" s="157" t="s">
        <v>201</v>
      </c>
      <c r="C9" s="156"/>
      <c r="D9" s="107"/>
      <c r="E9" s="155" t="s">
        <v>129</v>
      </c>
      <c r="F9" s="155" t="s">
        <v>128</v>
      </c>
      <c r="G9" s="154" t="s">
        <v>127</v>
      </c>
      <c r="H9" s="153" t="s">
        <v>126</v>
      </c>
      <c r="I9" s="153" t="s">
        <v>125</v>
      </c>
      <c r="J9" s="107"/>
      <c r="K9" s="152" t="s">
        <v>200</v>
      </c>
    </row>
    <row r="10" spans="2:11" x14ac:dyDescent="0.35">
      <c r="B10" s="134" t="s">
        <v>124</v>
      </c>
      <c r="C10" s="11" t="s">
        <v>199</v>
      </c>
      <c r="D10" s="11"/>
      <c r="E10" s="151">
        <f>E12*2</f>
        <v>730</v>
      </c>
      <c r="F10" s="26" t="s">
        <v>113</v>
      </c>
      <c r="G10" s="294">
        <v>105</v>
      </c>
      <c r="H10" s="23"/>
      <c r="I10" s="24">
        <f>E10*G10</f>
        <v>76650</v>
      </c>
      <c r="J10" s="136"/>
      <c r="K10" s="38">
        <f>I10</f>
        <v>76650</v>
      </c>
    </row>
    <row r="11" spans="2:11" x14ac:dyDescent="0.35">
      <c r="B11" s="134" t="s">
        <v>101</v>
      </c>
      <c r="C11" s="11" t="s">
        <v>198</v>
      </c>
      <c r="D11" s="11"/>
      <c r="E11" s="151">
        <f>E12/2</f>
        <v>182.5</v>
      </c>
      <c r="F11" s="26" t="s">
        <v>113</v>
      </c>
      <c r="G11" s="294">
        <v>125</v>
      </c>
      <c r="H11" s="23"/>
      <c r="I11" s="24">
        <f>E11*G11</f>
        <v>22812.5</v>
      </c>
      <c r="J11" s="136"/>
      <c r="K11" s="38">
        <f t="shared" ref="K11" si="0">I11</f>
        <v>22812.5</v>
      </c>
    </row>
    <row r="12" spans="2:11" x14ac:dyDescent="0.35">
      <c r="B12" s="134" t="s">
        <v>67</v>
      </c>
      <c r="C12" s="456" t="s">
        <v>196</v>
      </c>
      <c r="D12" s="457"/>
      <c r="E12" s="151">
        <f>365*E48/100</f>
        <v>365</v>
      </c>
      <c r="F12" s="62" t="s">
        <v>113</v>
      </c>
      <c r="G12" s="294">
        <v>105</v>
      </c>
      <c r="H12" s="24"/>
      <c r="I12" s="24">
        <f>E12*G12</f>
        <v>38325</v>
      </c>
      <c r="J12" s="136"/>
      <c r="K12" s="38">
        <f>I12</f>
        <v>38325</v>
      </c>
    </row>
    <row r="13" spans="2:11" ht="16.5" x14ac:dyDescent="0.35">
      <c r="B13" s="134" t="s">
        <v>65</v>
      </c>
      <c r="C13" s="11" t="s">
        <v>195</v>
      </c>
      <c r="D13" s="11"/>
      <c r="E13" s="294"/>
      <c r="F13" s="62" t="s">
        <v>84</v>
      </c>
      <c r="G13" s="294"/>
      <c r="H13" s="24">
        <f>E13*G13</f>
        <v>0</v>
      </c>
      <c r="I13" s="303" t="s">
        <v>309</v>
      </c>
      <c r="J13" s="136"/>
      <c r="K13" s="38">
        <f>H13</f>
        <v>0</v>
      </c>
    </row>
    <row r="14" spans="2:11" x14ac:dyDescent="0.35">
      <c r="B14" s="134" t="s">
        <v>59</v>
      </c>
      <c r="C14" s="11" t="s">
        <v>193</v>
      </c>
      <c r="D14" s="11"/>
      <c r="E14" s="26"/>
      <c r="F14" s="26"/>
      <c r="G14" s="24"/>
      <c r="H14" s="24"/>
      <c r="I14" s="24"/>
      <c r="J14" s="136"/>
      <c r="K14" s="38"/>
    </row>
    <row r="15" spans="2:11" x14ac:dyDescent="0.35">
      <c r="B15" s="92"/>
      <c r="C15" s="138" t="s">
        <v>192</v>
      </c>
      <c r="D15" s="138" t="s">
        <v>176</v>
      </c>
      <c r="E15" s="104">
        <f>(K39)*(60)*2*2.2/2000</f>
        <v>280.73325772800007</v>
      </c>
      <c r="F15" s="26" t="s">
        <v>92</v>
      </c>
      <c r="G15" s="294">
        <v>356</v>
      </c>
      <c r="H15" s="24">
        <f>E15*G15</f>
        <v>99941.03975116802</v>
      </c>
      <c r="I15" s="24"/>
      <c r="J15" s="136"/>
      <c r="K15" s="38">
        <f>H15</f>
        <v>99941.03975116802</v>
      </c>
    </row>
    <row r="16" spans="2:11" ht="16.5" x14ac:dyDescent="0.35">
      <c r="B16" s="92"/>
      <c r="C16" s="138" t="s">
        <v>190</v>
      </c>
      <c r="D16" s="138" t="s">
        <v>315</v>
      </c>
      <c r="E16" s="104"/>
      <c r="F16" s="26" t="s">
        <v>188</v>
      </c>
      <c r="G16" s="294">
        <v>0.18</v>
      </c>
      <c r="H16" s="299" t="s">
        <v>57</v>
      </c>
      <c r="I16" s="24"/>
      <c r="J16" s="136"/>
      <c r="K16" s="38">
        <f>G16*E16</f>
        <v>0</v>
      </c>
    </row>
    <row r="17" spans="2:12" x14ac:dyDescent="0.35">
      <c r="B17" s="134" t="s">
        <v>56</v>
      </c>
      <c r="C17" s="138" t="s">
        <v>257</v>
      </c>
      <c r="D17" s="11"/>
      <c r="E17" s="26"/>
      <c r="F17" s="26"/>
      <c r="G17" s="24"/>
      <c r="H17" s="24"/>
      <c r="I17" s="24"/>
      <c r="J17" s="136"/>
      <c r="K17" s="38"/>
    </row>
    <row r="18" spans="2:12" x14ac:dyDescent="0.35">
      <c r="B18" s="92"/>
      <c r="C18" s="149" t="s">
        <v>99</v>
      </c>
      <c r="D18" s="138" t="s">
        <v>174</v>
      </c>
      <c r="E18" s="36">
        <v>0.3</v>
      </c>
      <c r="F18" s="26" t="s">
        <v>173</v>
      </c>
      <c r="G18" s="24">
        <f>'3-10 EU 2 SCR TCI'!H13</f>
        <v>5000000</v>
      </c>
      <c r="H18" s="10">
        <f>G18*E18</f>
        <v>1500000</v>
      </c>
      <c r="I18" s="24"/>
      <c r="J18" s="136"/>
      <c r="K18" s="38">
        <f>H18*E23</f>
        <v>475812.84694686718</v>
      </c>
    </row>
    <row r="19" spans="2:12" x14ac:dyDescent="0.35">
      <c r="B19" s="92"/>
      <c r="C19" s="149" t="s">
        <v>96</v>
      </c>
      <c r="D19" s="138" t="s">
        <v>172</v>
      </c>
      <c r="E19" s="294">
        <v>180</v>
      </c>
      <c r="F19" s="26" t="s">
        <v>113</v>
      </c>
      <c r="G19" s="294">
        <v>105</v>
      </c>
      <c r="H19" s="147"/>
      <c r="I19" s="24">
        <f>E19*G19</f>
        <v>18900</v>
      </c>
      <c r="J19" s="136"/>
      <c r="K19" s="38">
        <f>I19*E23</f>
        <v>5995.2418715305266</v>
      </c>
    </row>
    <row r="20" spans="2:12" x14ac:dyDescent="0.35">
      <c r="B20" s="92"/>
      <c r="C20" s="149" t="s">
        <v>94</v>
      </c>
      <c r="D20" s="138" t="s">
        <v>171</v>
      </c>
      <c r="E20" s="36">
        <v>0.13</v>
      </c>
      <c r="F20" s="26" t="s">
        <v>169</v>
      </c>
      <c r="G20" s="24"/>
      <c r="H20" s="147"/>
      <c r="I20" s="24">
        <f>E20*(H18)</f>
        <v>195000</v>
      </c>
      <c r="J20" s="136"/>
      <c r="K20" s="38">
        <f>I20*E23</f>
        <v>61855.670103092736</v>
      </c>
    </row>
    <row r="21" spans="2:12" x14ac:dyDescent="0.35">
      <c r="B21" s="92"/>
      <c r="C21" s="149" t="s">
        <v>91</v>
      </c>
      <c r="D21" s="138" t="s">
        <v>170</v>
      </c>
      <c r="E21" s="36">
        <v>0.13</v>
      </c>
      <c r="F21" s="26" t="s">
        <v>169</v>
      </c>
      <c r="G21" s="24"/>
      <c r="H21" s="147"/>
      <c r="I21" s="24">
        <f>E21*H18</f>
        <v>195000</v>
      </c>
      <c r="J21" s="136"/>
      <c r="K21" s="38">
        <f>I21*E23</f>
        <v>61855.670103092736</v>
      </c>
    </row>
    <row r="22" spans="2:12" x14ac:dyDescent="0.35">
      <c r="B22" s="92"/>
      <c r="C22" s="149"/>
      <c r="D22" s="138"/>
      <c r="E22" s="148"/>
      <c r="F22" s="26"/>
      <c r="G22" s="24"/>
      <c r="H22" s="147"/>
      <c r="I22" s="24"/>
      <c r="J22" s="136"/>
      <c r="K22" s="38"/>
    </row>
    <row r="23" spans="2:12" x14ac:dyDescent="0.35">
      <c r="B23" s="146" t="s">
        <v>168</v>
      </c>
      <c r="C23" s="142"/>
      <c r="D23" s="11"/>
      <c r="E23" s="137">
        <f>($E$45/100)/(POWER(1+($E$45/100),($E$47)/($E$48/100))-1)</f>
        <v>0.3172085646312448</v>
      </c>
      <c r="F23" s="40"/>
      <c r="G23" s="136"/>
      <c r="H23" s="24"/>
      <c r="I23" s="141"/>
      <c r="J23" s="24"/>
      <c r="K23" s="38"/>
    </row>
    <row r="24" spans="2:12" x14ac:dyDescent="0.35">
      <c r="B24" s="146"/>
      <c r="C24" s="142"/>
      <c r="D24" s="11"/>
      <c r="E24" s="137"/>
      <c r="F24" s="40"/>
      <c r="G24" s="136"/>
      <c r="H24" s="24"/>
      <c r="I24" s="141"/>
      <c r="J24" s="24"/>
      <c r="K24" s="38"/>
    </row>
    <row r="25" spans="2:12" x14ac:dyDescent="0.35">
      <c r="B25" s="130" t="s">
        <v>167</v>
      </c>
      <c r="C25" s="129"/>
      <c r="D25" s="145"/>
      <c r="E25" s="144"/>
      <c r="F25" s="126"/>
      <c r="G25" s="143"/>
      <c r="H25" s="44"/>
      <c r="I25" s="124"/>
      <c r="J25" s="117" t="s">
        <v>166</v>
      </c>
      <c r="K25" s="116">
        <f>SUM(K10:K24)</f>
        <v>843247.96877575107</v>
      </c>
    </row>
    <row r="26" spans="2:12" x14ac:dyDescent="0.35">
      <c r="B26" s="92"/>
      <c r="C26" s="142"/>
      <c r="D26" s="11"/>
      <c r="E26" s="26"/>
      <c r="F26" s="11"/>
      <c r="G26" s="24"/>
      <c r="H26" s="24"/>
      <c r="I26" s="141"/>
      <c r="J26" s="140"/>
      <c r="K26" s="38"/>
    </row>
    <row r="27" spans="2:12" ht="15.5" x14ac:dyDescent="0.35">
      <c r="B27" s="15" t="s">
        <v>165</v>
      </c>
      <c r="C27" s="41"/>
      <c r="D27" s="11"/>
      <c r="E27" s="26"/>
      <c r="F27" s="26"/>
      <c r="G27" s="24"/>
      <c r="H27" s="24"/>
      <c r="I27" s="24"/>
      <c r="J27" s="24"/>
      <c r="K27" s="38"/>
    </row>
    <row r="28" spans="2:12" ht="16.5" x14ac:dyDescent="0.35">
      <c r="B28" s="134" t="s">
        <v>175</v>
      </c>
      <c r="C28" s="11" t="s">
        <v>316</v>
      </c>
      <c r="D28" s="11"/>
      <c r="E28" s="139">
        <v>0</v>
      </c>
      <c r="F28" s="26"/>
      <c r="G28" s="303" t="s">
        <v>57</v>
      </c>
      <c r="H28" s="23"/>
      <c r="I28" s="24">
        <v>0</v>
      </c>
      <c r="J28" s="136"/>
      <c r="K28" s="38">
        <f>I28</f>
        <v>0</v>
      </c>
    </row>
    <row r="29" spans="2:12" x14ac:dyDescent="0.35">
      <c r="B29" s="134" t="s">
        <v>164</v>
      </c>
      <c r="C29" s="11" t="s">
        <v>160</v>
      </c>
      <c r="D29" s="11"/>
      <c r="E29" s="139">
        <v>0.04</v>
      </c>
      <c r="F29" s="26" t="s">
        <v>159</v>
      </c>
      <c r="G29" s="24"/>
      <c r="H29" s="23"/>
      <c r="I29" s="24">
        <f>E29*'3-10 EU 2 SCR TCI'!K64</f>
        <v>1048534.4</v>
      </c>
      <c r="J29" s="136"/>
      <c r="K29" s="38">
        <f>I29</f>
        <v>1048534.4</v>
      </c>
    </row>
    <row r="30" spans="2:12" x14ac:dyDescent="0.35">
      <c r="B30" s="134"/>
      <c r="C30" s="138" t="s">
        <v>158</v>
      </c>
      <c r="D30" s="11"/>
      <c r="E30" s="137">
        <f>($E$45/100*POWER((1+($E$45/100)),$E$46))/((POWER(((1+$E$45/100)),$E$46))-1)</f>
        <v>8.0242587190691314E-2</v>
      </c>
      <c r="F30" s="62"/>
      <c r="G30" s="24"/>
      <c r="H30" s="24"/>
      <c r="I30" s="24"/>
      <c r="J30" s="136"/>
      <c r="K30" s="135"/>
      <c r="L30" s="131"/>
    </row>
    <row r="31" spans="2:12" x14ac:dyDescent="0.35">
      <c r="B31" s="134" t="s">
        <v>161</v>
      </c>
      <c r="C31" s="11" t="s">
        <v>156</v>
      </c>
      <c r="D31" s="11"/>
      <c r="E31" s="11"/>
      <c r="F31" s="11"/>
      <c r="G31" s="24"/>
      <c r="H31" s="133"/>
      <c r="I31" s="24"/>
      <c r="J31" s="132" t="s">
        <v>155</v>
      </c>
      <c r="K31" s="38">
        <f>E30*'3-10 EU 2 SCR TCI'!K64</f>
        <v>2103427.8253609799</v>
      </c>
      <c r="L31" s="131"/>
    </row>
    <row r="32" spans="2:12" x14ac:dyDescent="0.35">
      <c r="B32" s="92"/>
      <c r="C32" s="11"/>
      <c r="D32" s="11"/>
      <c r="E32" s="26"/>
      <c r="F32" s="11"/>
      <c r="G32" s="24"/>
      <c r="H32" s="24"/>
      <c r="I32" s="24"/>
      <c r="J32" s="24"/>
      <c r="K32" s="38"/>
    </row>
    <row r="33" spans="2:11" x14ac:dyDescent="0.35">
      <c r="B33" s="130" t="s">
        <v>154</v>
      </c>
      <c r="C33" s="129"/>
      <c r="D33" s="128"/>
      <c r="E33" s="127"/>
      <c r="F33" s="126"/>
      <c r="G33" s="124"/>
      <c r="H33" s="125"/>
      <c r="I33" s="124"/>
      <c r="J33" s="117" t="s">
        <v>153</v>
      </c>
      <c r="K33" s="116">
        <f>SUM(K26:K31)</f>
        <v>3151962.2253609798</v>
      </c>
    </row>
    <row r="34" spans="2:11" x14ac:dyDescent="0.35">
      <c r="B34" s="123"/>
      <c r="C34" s="122"/>
      <c r="D34" s="11"/>
      <c r="E34" s="26"/>
      <c r="F34" s="11"/>
      <c r="G34" s="24"/>
      <c r="H34" s="24"/>
      <c r="I34" s="24"/>
      <c r="J34" s="24"/>
      <c r="K34" s="38"/>
    </row>
    <row r="35" spans="2:11" ht="15.5" x14ac:dyDescent="0.35">
      <c r="B35" s="121" t="s">
        <v>152</v>
      </c>
      <c r="C35" s="120"/>
      <c r="D35" s="119"/>
      <c r="E35" s="295"/>
      <c r="F35" s="119"/>
      <c r="G35" s="44"/>
      <c r="H35" s="118"/>
      <c r="I35" s="44"/>
      <c r="J35" s="117" t="s">
        <v>151</v>
      </c>
      <c r="K35" s="116">
        <f>K25+K33</f>
        <v>3995210.1941367309</v>
      </c>
    </row>
    <row r="36" spans="2:11" ht="15" thickBot="1" x14ac:dyDescent="0.4">
      <c r="B36" s="92"/>
      <c r="C36" s="11"/>
      <c r="D36" s="11"/>
      <c r="E36" s="26"/>
      <c r="F36" s="11"/>
      <c r="G36" s="11"/>
      <c r="H36" s="11"/>
      <c r="I36" s="11"/>
      <c r="J36" s="11"/>
      <c r="K36" s="75"/>
    </row>
    <row r="37" spans="2:11" ht="16" thickBot="1" x14ac:dyDescent="0.4">
      <c r="B37" s="458" t="s">
        <v>150</v>
      </c>
      <c r="C37" s="459"/>
      <c r="D37" s="459"/>
      <c r="E37" s="459"/>
      <c r="F37" s="459"/>
      <c r="G37" s="459"/>
      <c r="H37" s="459"/>
      <c r="I37" s="459"/>
      <c r="J37" s="459"/>
      <c r="K37" s="460"/>
    </row>
    <row r="38" spans="2:11" x14ac:dyDescent="0.35">
      <c r="B38" s="92"/>
      <c r="C38" s="11"/>
      <c r="D38" s="11"/>
      <c r="E38" s="11"/>
      <c r="F38" s="11"/>
      <c r="G38" s="11"/>
      <c r="H38" s="11"/>
      <c r="I38" s="11"/>
      <c r="J38" s="11"/>
      <c r="K38" s="75"/>
    </row>
    <row r="39" spans="2:11" ht="15.5" x14ac:dyDescent="0.35">
      <c r="B39" s="15" t="s">
        <v>149</v>
      </c>
      <c r="C39" s="41"/>
      <c r="D39" s="11"/>
      <c r="E39" s="11"/>
      <c r="F39" s="11"/>
      <c r="G39" s="11"/>
      <c r="H39" s="11"/>
      <c r="I39" s="11"/>
      <c r="J39" s="115" t="s">
        <v>148</v>
      </c>
      <c r="K39" s="301">
        <f>'3-3 Ranking-NOx'!F12</f>
        <v>2126.767104</v>
      </c>
    </row>
    <row r="40" spans="2:11" x14ac:dyDescent="0.35">
      <c r="B40" s="92"/>
      <c r="C40" s="11"/>
      <c r="D40" s="11"/>
      <c r="E40" s="11"/>
      <c r="F40" s="11"/>
      <c r="G40" s="11"/>
      <c r="H40" s="11"/>
      <c r="I40" s="11"/>
      <c r="J40" s="11"/>
      <c r="K40" s="75"/>
    </row>
    <row r="41" spans="2:11" ht="15.5" x14ac:dyDescent="0.35">
      <c r="B41" s="15" t="s">
        <v>369</v>
      </c>
      <c r="C41" s="41"/>
      <c r="D41" s="11"/>
      <c r="E41" s="11"/>
      <c r="F41" s="11"/>
      <c r="G41" s="11"/>
      <c r="H41" s="327"/>
      <c r="I41" s="11"/>
      <c r="J41" s="328" t="s">
        <v>146</v>
      </c>
      <c r="K41" s="9">
        <f>K35/K39</f>
        <v>1878.5367643794114</v>
      </c>
    </row>
    <row r="42" spans="2:11" ht="18" thickBot="1" x14ac:dyDescent="0.4">
      <c r="B42" s="114" t="s">
        <v>373</v>
      </c>
      <c r="C42" s="113"/>
      <c r="D42" s="111"/>
      <c r="E42" s="111"/>
      <c r="F42" s="111"/>
      <c r="G42" s="111"/>
      <c r="H42" s="112"/>
      <c r="I42" s="111"/>
      <c r="J42" s="110" t="s">
        <v>146</v>
      </c>
      <c r="K42" s="109">
        <f>+K35/621</f>
        <v>6433.5107796082621</v>
      </c>
    </row>
    <row r="43" spans="2:11" ht="15.5" thickTop="1" thickBot="1" x14ac:dyDescent="0.4"/>
    <row r="44" spans="2:11" x14ac:dyDescent="0.35">
      <c r="D44" s="108" t="s">
        <v>145</v>
      </c>
      <c r="E44" s="107"/>
      <c r="F44" s="106"/>
      <c r="G44" s="105"/>
    </row>
    <row r="45" spans="2:11" x14ac:dyDescent="0.35">
      <c r="D45" s="103" t="s">
        <v>144</v>
      </c>
      <c r="E45" s="104">
        <v>5</v>
      </c>
      <c r="F45" s="102" t="s">
        <v>110</v>
      </c>
    </row>
    <row r="46" spans="2:11" x14ac:dyDescent="0.35">
      <c r="D46" s="103" t="s">
        <v>143</v>
      </c>
      <c r="E46" s="293">
        <v>20</v>
      </c>
      <c r="F46" s="102" t="s">
        <v>141</v>
      </c>
    </row>
    <row r="47" spans="2:11" x14ac:dyDescent="0.35">
      <c r="D47" s="103" t="s">
        <v>142</v>
      </c>
      <c r="E47" s="294">
        <v>3</v>
      </c>
      <c r="F47" s="102" t="s">
        <v>141</v>
      </c>
    </row>
    <row r="48" spans="2:11" ht="15" thickBot="1" x14ac:dyDescent="0.4">
      <c r="D48" s="101" t="s">
        <v>140</v>
      </c>
      <c r="E48" s="100">
        <v>100</v>
      </c>
      <c r="F48" s="99" t="s">
        <v>110</v>
      </c>
    </row>
    <row r="50" spans="2:11" ht="34.5" customHeight="1" x14ac:dyDescent="0.35">
      <c r="B50" s="386">
        <v>1</v>
      </c>
      <c r="C50" s="448" t="s">
        <v>375</v>
      </c>
      <c r="D50" s="448"/>
      <c r="E50" s="448"/>
      <c r="F50" s="448"/>
      <c r="G50" s="448"/>
      <c r="H50" s="448"/>
      <c r="I50" s="448"/>
      <c r="J50" s="448"/>
      <c r="K50" s="448"/>
    </row>
    <row r="51" spans="2:11" ht="34.5" customHeight="1" x14ac:dyDescent="0.35">
      <c r="B51" s="386">
        <v>2</v>
      </c>
      <c r="C51" s="448" t="s">
        <v>376</v>
      </c>
      <c r="D51" s="448"/>
      <c r="E51" s="448"/>
      <c r="F51" s="448"/>
      <c r="G51" s="448"/>
      <c r="H51" s="448"/>
      <c r="I51" s="448"/>
      <c r="J51" s="448"/>
      <c r="K51" s="448"/>
    </row>
    <row r="52" spans="2:11" ht="17.25" customHeight="1" x14ac:dyDescent="0.35">
      <c r="B52" s="386">
        <v>3</v>
      </c>
      <c r="C52" s="448" t="s">
        <v>377</v>
      </c>
      <c r="D52" s="448"/>
      <c r="E52" s="448"/>
      <c r="F52" s="448"/>
      <c r="G52" s="448"/>
      <c r="H52" s="448"/>
      <c r="I52" s="448"/>
      <c r="J52" s="448"/>
      <c r="K52" s="448"/>
    </row>
    <row r="53" spans="2:11" ht="34.5" customHeight="1" x14ac:dyDescent="0.35">
      <c r="B53" s="386">
        <v>4</v>
      </c>
      <c r="C53" s="448" t="s">
        <v>378</v>
      </c>
      <c r="D53" s="448"/>
      <c r="E53" s="448"/>
      <c r="F53" s="448"/>
      <c r="G53" s="448"/>
      <c r="H53" s="448"/>
      <c r="I53" s="448"/>
      <c r="J53" s="448"/>
      <c r="K53" s="448"/>
    </row>
    <row r="54" spans="2:11" ht="17.25" customHeight="1" x14ac:dyDescent="0.35">
      <c r="B54" s="386">
        <v>5</v>
      </c>
      <c r="C54" s="448" t="s">
        <v>379</v>
      </c>
      <c r="D54" s="448"/>
      <c r="E54" s="448"/>
      <c r="F54" s="448"/>
      <c r="G54" s="448"/>
      <c r="H54" s="448"/>
      <c r="I54" s="448"/>
      <c r="J54" s="448"/>
      <c r="K54" s="448"/>
    </row>
    <row r="55" spans="2:11" ht="34.5" customHeight="1" x14ac:dyDescent="0.35">
      <c r="B55" s="386">
        <v>6</v>
      </c>
      <c r="C55" s="448" t="s">
        <v>381</v>
      </c>
      <c r="D55" s="448"/>
      <c r="E55" s="448"/>
      <c r="F55" s="448"/>
      <c r="G55" s="448"/>
      <c r="H55" s="448"/>
      <c r="I55" s="448"/>
      <c r="J55" s="448"/>
      <c r="K55" s="448"/>
    </row>
    <row r="56" spans="2:11" ht="17.25" customHeight="1" x14ac:dyDescent="0.35">
      <c r="B56" s="386">
        <v>7</v>
      </c>
      <c r="C56" s="448" t="s">
        <v>383</v>
      </c>
      <c r="D56" s="448"/>
      <c r="E56" s="448"/>
      <c r="F56" s="448"/>
      <c r="G56" s="448"/>
      <c r="H56" s="448"/>
      <c r="I56" s="448"/>
      <c r="J56" s="448"/>
      <c r="K56" s="448"/>
    </row>
    <row r="57" spans="2:11" ht="16.5" x14ac:dyDescent="0.35">
      <c r="B57" s="386">
        <v>8</v>
      </c>
      <c r="C57" s="448" t="s">
        <v>382</v>
      </c>
      <c r="D57" s="448"/>
      <c r="E57" s="448"/>
      <c r="F57" s="448"/>
      <c r="G57" s="448"/>
      <c r="H57" s="448"/>
      <c r="I57" s="448"/>
      <c r="J57" s="448"/>
      <c r="K57" s="448"/>
    </row>
    <row r="58" spans="2:11" ht="16.5" x14ac:dyDescent="0.35">
      <c r="B58" s="300"/>
    </row>
    <row r="59" spans="2:11" ht="16.5" x14ac:dyDescent="0.35">
      <c r="B59" s="300"/>
    </row>
  </sheetData>
  <mergeCells count="13">
    <mergeCell ref="B1:K1"/>
    <mergeCell ref="C56:K56"/>
    <mergeCell ref="C57:K57"/>
    <mergeCell ref="C51:K51"/>
    <mergeCell ref="C52:K52"/>
    <mergeCell ref="C53:K53"/>
    <mergeCell ref="C54:K54"/>
    <mergeCell ref="C55:K55"/>
    <mergeCell ref="I3:K3"/>
    <mergeCell ref="B8:K8"/>
    <mergeCell ref="C12:D12"/>
    <mergeCell ref="B37:K37"/>
    <mergeCell ref="C50:K50"/>
  </mergeCells>
  <printOptions horizontalCentered="1"/>
  <pageMargins left="0.38" right="0.4" top="0.48" bottom="0.75" header="0.3" footer="0.3"/>
  <pageSetup scale="53" firstPageNumber="45" orientation="portrait" useFirstPageNumber="1" r:id="rId1"/>
  <headerFooter>
    <oddFooter>&amp;L&amp;"Arial,Regular"&amp;8GVEA - North Pole Facility
PM2.5 NAA BACT Analysis&amp;C&amp;"Arial,Regular"&amp;8Page 57&amp;R&amp;"Arial,Regular"&amp;8August 2017</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79998168889431442"/>
    <pageSetUpPr fitToPage="1"/>
  </sheetPr>
  <dimension ref="B1:K72"/>
  <sheetViews>
    <sheetView zoomScale="90" zoomScaleNormal="90" zoomScalePageLayoutView="50" workbookViewId="0">
      <selection activeCell="M69" sqref="M69"/>
    </sheetView>
  </sheetViews>
  <sheetFormatPr defaultRowHeight="14.5" x14ac:dyDescent="0.35"/>
  <cols>
    <col min="1" max="1" width="2.26953125" customWidth="1"/>
    <col min="2" max="2" width="5.26953125" customWidth="1"/>
    <col min="3" max="3" width="6" customWidth="1"/>
    <col min="4" max="4" width="63.7265625" customWidth="1"/>
    <col min="6" max="6" width="19.26953125" customWidth="1"/>
    <col min="7" max="7" width="13" customWidth="1"/>
    <col min="8" max="8" width="24.1796875" customWidth="1"/>
    <col min="9" max="9" width="20.453125" customWidth="1"/>
    <col min="10" max="10" width="14.7265625" customWidth="1"/>
    <col min="11" max="11" width="17.26953125" customWidth="1"/>
    <col min="13" max="13" width="29.81640625" customWidth="1"/>
  </cols>
  <sheetData>
    <row r="1" spans="2:11" x14ac:dyDescent="0.35">
      <c r="B1" s="439" t="s">
        <v>360</v>
      </c>
      <c r="C1" s="439"/>
      <c r="D1" s="439"/>
      <c r="E1" s="439"/>
      <c r="F1" s="439"/>
      <c r="G1" s="439"/>
      <c r="H1" s="439"/>
      <c r="I1" s="439"/>
      <c r="J1" s="439"/>
      <c r="K1" s="439"/>
    </row>
    <row r="3" spans="2:11" ht="15" thickBot="1" x14ac:dyDescent="0.4">
      <c r="J3" s="440" t="s">
        <v>139</v>
      </c>
      <c r="K3" s="441"/>
    </row>
    <row r="4" spans="2:11" ht="19" thickTop="1" x14ac:dyDescent="0.45">
      <c r="B4" s="98" t="s">
        <v>264</v>
      </c>
      <c r="C4" s="97"/>
      <c r="D4" s="97"/>
      <c r="E4" s="96"/>
      <c r="F4" s="96"/>
      <c r="G4" s="96"/>
      <c r="H4" s="96"/>
      <c r="I4" s="96"/>
      <c r="J4" s="95" t="s">
        <v>137</v>
      </c>
      <c r="K4" s="94"/>
    </row>
    <row r="5" spans="2:11" x14ac:dyDescent="0.35">
      <c r="B5" s="92" t="s">
        <v>136</v>
      </c>
      <c r="C5" s="11"/>
      <c r="D5" s="93" t="s">
        <v>298</v>
      </c>
      <c r="E5" s="11"/>
      <c r="F5" s="11"/>
      <c r="G5" s="11"/>
      <c r="H5" s="11"/>
      <c r="I5" s="11"/>
      <c r="J5" s="40" t="s">
        <v>135</v>
      </c>
      <c r="K5" s="91"/>
    </row>
    <row r="6" spans="2:11" x14ac:dyDescent="0.35">
      <c r="B6" s="92"/>
      <c r="C6" s="11"/>
      <c r="D6" s="11"/>
      <c r="E6" s="11"/>
      <c r="F6" s="11"/>
      <c r="G6" s="11"/>
      <c r="H6" s="11"/>
      <c r="I6" s="11"/>
      <c r="J6" s="40" t="s">
        <v>133</v>
      </c>
      <c r="K6" s="91"/>
    </row>
    <row r="7" spans="2:11" ht="15" thickBot="1" x14ac:dyDescent="0.4">
      <c r="B7" s="90" t="s">
        <v>299</v>
      </c>
      <c r="C7" s="89"/>
      <c r="D7" s="89"/>
      <c r="E7" s="89"/>
      <c r="F7" s="89"/>
      <c r="G7" s="89"/>
      <c r="H7" s="89"/>
      <c r="I7" s="89"/>
      <c r="J7" s="88" t="s">
        <v>132</v>
      </c>
      <c r="K7" s="87"/>
    </row>
    <row r="8" spans="2:11" ht="36.75" customHeight="1" thickBot="1" x14ac:dyDescent="0.4">
      <c r="B8" s="442" t="s">
        <v>131</v>
      </c>
      <c r="C8" s="443"/>
      <c r="D8" s="443"/>
      <c r="E8" s="443"/>
      <c r="F8" s="443"/>
      <c r="G8" s="443"/>
      <c r="H8" s="443"/>
      <c r="I8" s="443"/>
      <c r="J8" s="443"/>
      <c r="K8" s="444"/>
    </row>
    <row r="9" spans="2:11" ht="19" thickTop="1" x14ac:dyDescent="0.45">
      <c r="B9" s="86" t="s">
        <v>130</v>
      </c>
      <c r="C9" s="82"/>
      <c r="D9" s="82"/>
      <c r="E9" s="85" t="s">
        <v>129</v>
      </c>
      <c r="F9" s="85" t="s">
        <v>128</v>
      </c>
      <c r="G9" s="84" t="s">
        <v>127</v>
      </c>
      <c r="H9" s="83" t="s">
        <v>126</v>
      </c>
      <c r="I9" s="83" t="s">
        <v>125</v>
      </c>
      <c r="J9" s="82"/>
      <c r="K9" s="81"/>
    </row>
    <row r="10" spans="2:11" ht="15.5" x14ac:dyDescent="0.35">
      <c r="B10" s="15"/>
      <c r="C10" s="11"/>
      <c r="D10" s="11"/>
      <c r="E10" s="80"/>
      <c r="F10" s="80"/>
      <c r="G10" s="79"/>
      <c r="H10" s="78"/>
      <c r="I10" s="78"/>
      <c r="J10" s="11"/>
      <c r="K10" s="77"/>
    </row>
    <row r="11" spans="2:11" ht="15.5" x14ac:dyDescent="0.35">
      <c r="B11" s="43" t="s">
        <v>124</v>
      </c>
      <c r="C11" s="41" t="s">
        <v>123</v>
      </c>
      <c r="D11" s="41"/>
      <c r="E11" s="11"/>
      <c r="F11" s="11"/>
      <c r="G11" s="11"/>
      <c r="H11" s="11"/>
      <c r="I11" s="11"/>
      <c r="J11" s="76"/>
      <c r="K11" s="75"/>
    </row>
    <row r="12" spans="2:11" ht="15.5" x14ac:dyDescent="0.35">
      <c r="B12" s="15"/>
      <c r="C12" s="41" t="s">
        <v>99</v>
      </c>
      <c r="D12" s="41" t="s">
        <v>122</v>
      </c>
      <c r="E12" s="11"/>
      <c r="F12" s="11"/>
      <c r="G12" s="11"/>
      <c r="H12" s="11"/>
      <c r="I12" s="11"/>
      <c r="J12" s="74"/>
      <c r="K12" s="47"/>
    </row>
    <row r="13" spans="2:11" ht="16.5" x14ac:dyDescent="0.35">
      <c r="B13" s="52"/>
      <c r="C13" s="37"/>
      <c r="D13" s="50" t="s">
        <v>300</v>
      </c>
      <c r="E13" s="294">
        <v>1</v>
      </c>
      <c r="F13" s="26" t="s">
        <v>63</v>
      </c>
      <c r="G13" s="73">
        <v>2000000</v>
      </c>
      <c r="H13" s="24">
        <f>E13*G13</f>
        <v>2000000</v>
      </c>
      <c r="I13" s="24"/>
      <c r="J13" s="23"/>
      <c r="K13" s="9"/>
    </row>
    <row r="14" spans="2:11" x14ac:dyDescent="0.35">
      <c r="B14" s="70"/>
      <c r="C14" s="69"/>
      <c r="D14" s="54"/>
      <c r="E14" s="294"/>
      <c r="F14" s="26" t="s">
        <v>63</v>
      </c>
      <c r="G14" s="73"/>
      <c r="H14" s="24">
        <f>E14*G14</f>
        <v>0</v>
      </c>
      <c r="I14" s="68"/>
      <c r="J14" s="48" t="s">
        <v>105</v>
      </c>
      <c r="K14" s="47">
        <f>SUM(H13:H14)</f>
        <v>2000000</v>
      </c>
    </row>
    <row r="15" spans="2:11" ht="15.5" x14ac:dyDescent="0.35">
      <c r="B15" s="70"/>
      <c r="C15" s="72" t="s">
        <v>96</v>
      </c>
      <c r="D15" s="72" t="s">
        <v>121</v>
      </c>
      <c r="E15" s="62"/>
      <c r="F15" s="62"/>
      <c r="G15" s="71"/>
      <c r="H15" s="68"/>
      <c r="I15" s="68"/>
      <c r="J15" s="48"/>
      <c r="K15" s="38"/>
    </row>
    <row r="16" spans="2:11" ht="16.5" x14ac:dyDescent="0.35">
      <c r="B16" s="70"/>
      <c r="C16" s="69"/>
      <c r="D16" s="54" t="s">
        <v>317</v>
      </c>
      <c r="E16" s="294"/>
      <c r="F16" s="62" t="s">
        <v>63</v>
      </c>
      <c r="G16" s="294"/>
      <c r="H16" s="24">
        <f>E16*G16</f>
        <v>0</v>
      </c>
      <c r="I16" s="68"/>
      <c r="J16" s="23"/>
      <c r="K16" s="38"/>
    </row>
    <row r="17" spans="2:11" x14ac:dyDescent="0.35">
      <c r="B17" s="67"/>
      <c r="C17" s="66"/>
      <c r="D17" s="64"/>
      <c r="E17" s="65"/>
      <c r="F17" s="65"/>
      <c r="G17" s="64"/>
      <c r="H17" s="63"/>
      <c r="I17" s="63"/>
      <c r="J17" s="48" t="s">
        <v>105</v>
      </c>
      <c r="K17" s="47">
        <f>SUM(H16:H16)</f>
        <v>0</v>
      </c>
    </row>
    <row r="18" spans="2:11" ht="15.5" x14ac:dyDescent="0.35">
      <c r="B18" s="52"/>
      <c r="C18" s="41" t="s">
        <v>94</v>
      </c>
      <c r="D18" s="41" t="s">
        <v>119</v>
      </c>
      <c r="E18" s="26"/>
      <c r="F18" s="26"/>
      <c r="G18" s="11"/>
      <c r="H18" s="24"/>
      <c r="I18" s="24"/>
      <c r="J18" s="23"/>
      <c r="K18" s="38"/>
    </row>
    <row r="19" spans="2:11" x14ac:dyDescent="0.35">
      <c r="B19" s="52"/>
      <c r="C19" s="37"/>
      <c r="D19" s="50" t="s">
        <v>118</v>
      </c>
      <c r="E19" s="294"/>
      <c r="F19" s="26" t="s">
        <v>117</v>
      </c>
      <c r="G19" s="36"/>
      <c r="H19" s="24"/>
      <c r="I19" s="24">
        <f>G19*H13</f>
        <v>0</v>
      </c>
      <c r="J19" s="23"/>
      <c r="K19" s="38"/>
    </row>
    <row r="20" spans="2:11" x14ac:dyDescent="0.35">
      <c r="B20" s="56"/>
      <c r="C20" s="54"/>
      <c r="D20" s="54"/>
      <c r="E20" s="55"/>
      <c r="F20" s="55"/>
      <c r="G20" s="54"/>
      <c r="H20" s="53"/>
      <c r="I20" s="53"/>
      <c r="J20" s="48" t="s">
        <v>105</v>
      </c>
      <c r="K20" s="47">
        <f>SUM(I19:I19)</f>
        <v>0</v>
      </c>
    </row>
    <row r="21" spans="2:11" ht="15.5" x14ac:dyDescent="0.35">
      <c r="B21" s="52"/>
      <c r="C21" s="41" t="s">
        <v>91</v>
      </c>
      <c r="D21" s="41" t="s">
        <v>116</v>
      </c>
      <c r="E21" s="26"/>
      <c r="F21" s="26"/>
      <c r="G21" s="11"/>
      <c r="H21" s="24"/>
      <c r="I21" s="24"/>
      <c r="J21" s="23"/>
      <c r="K21" s="38"/>
    </row>
    <row r="22" spans="2:11" x14ac:dyDescent="0.35">
      <c r="B22" s="60"/>
      <c r="C22" s="50"/>
      <c r="D22" s="54" t="s">
        <v>115</v>
      </c>
      <c r="E22" s="35"/>
      <c r="F22" s="51" t="s">
        <v>113</v>
      </c>
      <c r="G22" s="61"/>
      <c r="H22" s="49"/>
      <c r="I22" s="49">
        <f>E22*G22</f>
        <v>0</v>
      </c>
      <c r="J22" s="58"/>
      <c r="K22" s="57"/>
    </row>
    <row r="23" spans="2:11" x14ac:dyDescent="0.35">
      <c r="B23" s="60"/>
      <c r="C23" s="50"/>
      <c r="D23" s="54" t="s">
        <v>114</v>
      </c>
      <c r="E23" s="35"/>
      <c r="F23" s="51" t="s">
        <v>113</v>
      </c>
      <c r="G23" s="61"/>
      <c r="H23" s="49"/>
      <c r="I23" s="49">
        <f>E23*G23</f>
        <v>0</v>
      </c>
      <c r="J23" s="58"/>
      <c r="K23" s="57"/>
    </row>
    <row r="24" spans="2:11" ht="15.5" x14ac:dyDescent="0.35">
      <c r="B24" s="60"/>
      <c r="C24" s="41" t="s">
        <v>89</v>
      </c>
      <c r="D24" s="41" t="s">
        <v>112</v>
      </c>
      <c r="E24" s="11"/>
      <c r="F24" s="11"/>
      <c r="G24" s="11"/>
      <c r="H24" s="24"/>
      <c r="I24" s="49"/>
      <c r="J24" s="58"/>
      <c r="K24" s="57"/>
    </row>
    <row r="25" spans="2:11" x14ac:dyDescent="0.35">
      <c r="B25" s="60"/>
      <c r="C25" s="50"/>
      <c r="D25" s="50" t="s">
        <v>111</v>
      </c>
      <c r="E25" s="59"/>
      <c r="F25" s="26" t="s">
        <v>110</v>
      </c>
      <c r="G25" s="55"/>
      <c r="H25" s="49">
        <f>E25*G14</f>
        <v>0</v>
      </c>
      <c r="I25" s="49"/>
      <c r="J25" s="58"/>
      <c r="K25" s="57"/>
    </row>
    <row r="26" spans="2:11" x14ac:dyDescent="0.35">
      <c r="B26" s="56"/>
      <c r="C26" s="54"/>
      <c r="D26" s="54"/>
      <c r="E26" s="55"/>
      <c r="F26" s="55"/>
      <c r="G26" s="54"/>
      <c r="H26" s="53"/>
      <c r="I26" s="53"/>
      <c r="J26" s="48" t="s">
        <v>105</v>
      </c>
      <c r="K26" s="47">
        <f>H25</f>
        <v>0</v>
      </c>
    </row>
    <row r="27" spans="2:11" ht="15.5" x14ac:dyDescent="0.35">
      <c r="B27" s="52"/>
      <c r="C27" s="41" t="s">
        <v>86</v>
      </c>
      <c r="D27" s="41" t="s">
        <v>109</v>
      </c>
      <c r="E27" s="26"/>
      <c r="F27" s="26"/>
      <c r="G27" s="11"/>
      <c r="H27" s="24"/>
      <c r="I27" s="24"/>
      <c r="J27" s="23"/>
      <c r="K27" s="38"/>
    </row>
    <row r="28" spans="2:11" x14ac:dyDescent="0.35">
      <c r="B28" s="52"/>
      <c r="C28" s="37"/>
      <c r="D28" s="50" t="s">
        <v>108</v>
      </c>
      <c r="E28" s="35"/>
      <c r="F28" s="51" t="s">
        <v>106</v>
      </c>
      <c r="G28" s="35"/>
      <c r="H28" s="49"/>
      <c r="I28" s="49">
        <f>G28*E28</f>
        <v>0</v>
      </c>
      <c r="J28" s="23"/>
      <c r="K28" s="38"/>
    </row>
    <row r="29" spans="2:11" x14ac:dyDescent="0.35">
      <c r="B29" s="52"/>
      <c r="C29" s="37"/>
      <c r="D29" s="50" t="s">
        <v>107</v>
      </c>
      <c r="E29" s="35"/>
      <c r="F29" s="51" t="s">
        <v>106</v>
      </c>
      <c r="G29" s="35"/>
      <c r="H29" s="49"/>
      <c r="I29" s="49">
        <f>G29*E29</f>
        <v>0</v>
      </c>
      <c r="J29" s="23"/>
      <c r="K29" s="38"/>
    </row>
    <row r="30" spans="2:11" x14ac:dyDescent="0.35">
      <c r="B30" s="52"/>
      <c r="C30" s="37"/>
      <c r="D30" s="37"/>
      <c r="E30" s="51"/>
      <c r="F30" s="51"/>
      <c r="G30" s="50"/>
      <c r="H30" s="49"/>
      <c r="I30" s="49"/>
      <c r="J30" s="48" t="s">
        <v>105</v>
      </c>
      <c r="K30" s="47">
        <f>SUM(I28:I29)</f>
        <v>0</v>
      </c>
    </row>
    <row r="31" spans="2:11" ht="15.5" x14ac:dyDescent="0.35">
      <c r="B31" s="21" t="s">
        <v>104</v>
      </c>
      <c r="C31" s="46"/>
      <c r="D31" s="46"/>
      <c r="E31" s="461" t="s">
        <v>265</v>
      </c>
      <c r="F31" s="461"/>
      <c r="G31" s="461"/>
      <c r="H31" s="461"/>
      <c r="I31" s="44"/>
      <c r="J31" s="17" t="s">
        <v>102</v>
      </c>
      <c r="K31" s="29">
        <f>SUM(K13:K30)</f>
        <v>2000000</v>
      </c>
    </row>
    <row r="32" spans="2:11" ht="15.5" x14ac:dyDescent="0.35">
      <c r="B32" s="13"/>
      <c r="C32" s="12"/>
      <c r="D32" s="12"/>
      <c r="E32" s="26"/>
      <c r="F32" s="26"/>
      <c r="G32" s="11"/>
      <c r="H32" s="24"/>
      <c r="I32" s="24"/>
      <c r="J32" s="10"/>
      <c r="K32" s="38"/>
    </row>
    <row r="33" spans="2:11" ht="17.5" x14ac:dyDescent="0.35">
      <c r="B33" s="43" t="s">
        <v>101</v>
      </c>
      <c r="C33" s="41" t="s">
        <v>318</v>
      </c>
      <c r="D33" s="41"/>
      <c r="E33" s="26"/>
      <c r="F33" s="26"/>
      <c r="G33" s="11"/>
      <c r="H33" s="24"/>
      <c r="I33" s="24"/>
      <c r="J33" s="10"/>
      <c r="K33" s="38"/>
    </row>
    <row r="34" spans="2:11" ht="15.5" x14ac:dyDescent="0.35">
      <c r="B34" s="15"/>
      <c r="C34" s="41" t="s">
        <v>99</v>
      </c>
      <c r="D34" s="41" t="s">
        <v>98</v>
      </c>
      <c r="E34" s="35"/>
      <c r="F34" s="26" t="s">
        <v>97</v>
      </c>
      <c r="G34" s="35"/>
      <c r="H34" s="24">
        <f>E34*G34</f>
        <v>0</v>
      </c>
      <c r="I34" s="24"/>
      <c r="J34" s="23"/>
      <c r="K34" s="38">
        <f>H34+I34</f>
        <v>0</v>
      </c>
    </row>
    <row r="35" spans="2:11" ht="15.5" x14ac:dyDescent="0.35">
      <c r="B35" s="15"/>
      <c r="C35" s="41" t="s">
        <v>96</v>
      </c>
      <c r="D35" s="41" t="s">
        <v>95</v>
      </c>
      <c r="E35" s="35"/>
      <c r="F35" s="26" t="s">
        <v>92</v>
      </c>
      <c r="G35" s="35"/>
      <c r="H35" s="24">
        <f t="shared" ref="H35:H40" si="0">E35*G35</f>
        <v>0</v>
      </c>
      <c r="I35" s="24"/>
      <c r="J35" s="23"/>
      <c r="K35" s="38">
        <f t="shared" ref="K35:K44" si="1">H35+I35</f>
        <v>0</v>
      </c>
    </row>
    <row r="36" spans="2:11" ht="15.5" x14ac:dyDescent="0.35">
      <c r="B36" s="15"/>
      <c r="C36" s="41" t="s">
        <v>94</v>
      </c>
      <c r="D36" s="41" t="s">
        <v>93</v>
      </c>
      <c r="E36" s="35"/>
      <c r="F36" s="26" t="s">
        <v>92</v>
      </c>
      <c r="G36" s="35"/>
      <c r="H36" s="24">
        <f t="shared" si="0"/>
        <v>0</v>
      </c>
      <c r="I36" s="24"/>
      <c r="J36" s="23"/>
      <c r="K36" s="38">
        <f t="shared" si="1"/>
        <v>0</v>
      </c>
    </row>
    <row r="37" spans="2:11" ht="15.5" x14ac:dyDescent="0.35">
      <c r="B37" s="15"/>
      <c r="C37" s="41" t="s">
        <v>91</v>
      </c>
      <c r="D37" s="41" t="s">
        <v>90</v>
      </c>
      <c r="E37" s="35"/>
      <c r="F37" s="26" t="s">
        <v>84</v>
      </c>
      <c r="G37" s="35"/>
      <c r="H37" s="24">
        <f t="shared" si="0"/>
        <v>0</v>
      </c>
      <c r="I37" s="24"/>
      <c r="J37" s="23"/>
      <c r="K37" s="38">
        <f t="shared" si="1"/>
        <v>0</v>
      </c>
    </row>
    <row r="38" spans="2:11" ht="15.5" x14ac:dyDescent="0.35">
      <c r="B38" s="15"/>
      <c r="C38" s="41" t="s">
        <v>89</v>
      </c>
      <c r="D38" s="41" t="s">
        <v>88</v>
      </c>
      <c r="E38" s="35"/>
      <c r="F38" s="26" t="s">
        <v>87</v>
      </c>
      <c r="G38" s="35"/>
      <c r="H38" s="24">
        <f t="shared" si="0"/>
        <v>0</v>
      </c>
      <c r="I38" s="24"/>
      <c r="J38" s="23"/>
      <c r="K38" s="38">
        <f t="shared" si="1"/>
        <v>0</v>
      </c>
    </row>
    <row r="39" spans="2:11" ht="15.5" x14ac:dyDescent="0.35">
      <c r="B39" s="15"/>
      <c r="C39" s="41" t="s">
        <v>86</v>
      </c>
      <c r="D39" s="41" t="s">
        <v>85</v>
      </c>
      <c r="E39" s="35"/>
      <c r="F39" s="26" t="s">
        <v>84</v>
      </c>
      <c r="G39" s="35"/>
      <c r="H39" s="24">
        <f t="shared" si="0"/>
        <v>0</v>
      </c>
      <c r="I39" s="24"/>
      <c r="J39" s="23"/>
      <c r="K39" s="38">
        <f t="shared" si="1"/>
        <v>0</v>
      </c>
    </row>
    <row r="40" spans="2:11" ht="15.5" x14ac:dyDescent="0.35">
      <c r="B40" s="15"/>
      <c r="C40" s="41" t="s">
        <v>83</v>
      </c>
      <c r="D40" s="41" t="s">
        <v>82</v>
      </c>
      <c r="E40" s="35"/>
      <c r="F40" s="26" t="s">
        <v>81</v>
      </c>
      <c r="G40" s="35"/>
      <c r="H40" s="24">
        <f t="shared" si="0"/>
        <v>0</v>
      </c>
      <c r="I40" s="24"/>
      <c r="J40" s="23"/>
      <c r="K40" s="38">
        <f t="shared" si="1"/>
        <v>0</v>
      </c>
    </row>
    <row r="41" spans="2:11" ht="15.5" x14ac:dyDescent="0.35">
      <c r="B41" s="15"/>
      <c r="C41" s="41" t="s">
        <v>80</v>
      </c>
      <c r="D41" s="41" t="s">
        <v>79</v>
      </c>
      <c r="E41" s="26"/>
      <c r="F41" s="26"/>
      <c r="G41" s="10"/>
      <c r="H41" s="24"/>
      <c r="I41" s="24"/>
      <c r="J41" s="23"/>
      <c r="K41" s="38"/>
    </row>
    <row r="42" spans="2:11" ht="15.5" x14ac:dyDescent="0.35">
      <c r="B42" s="15"/>
      <c r="C42" s="41"/>
      <c r="D42" s="12" t="s">
        <v>78</v>
      </c>
      <c r="F42" s="40" t="s">
        <v>77</v>
      </c>
      <c r="G42" s="36"/>
      <c r="H42" s="42"/>
      <c r="I42" s="24">
        <f>G42*I22</f>
        <v>0</v>
      </c>
      <c r="J42" s="23"/>
      <c r="K42" s="38">
        <f t="shared" si="1"/>
        <v>0</v>
      </c>
    </row>
    <row r="43" spans="2:11" ht="15.5" x14ac:dyDescent="0.35">
      <c r="B43" s="15"/>
      <c r="C43" s="41"/>
      <c r="D43" s="12" t="s">
        <v>307</v>
      </c>
      <c r="F43" s="40" t="s">
        <v>75</v>
      </c>
      <c r="G43" s="36"/>
      <c r="H43" s="42"/>
      <c r="I43" s="24">
        <f>G43*I23</f>
        <v>0</v>
      </c>
      <c r="J43" s="23"/>
      <c r="K43" s="38">
        <f t="shared" si="1"/>
        <v>0</v>
      </c>
    </row>
    <row r="44" spans="2:11" ht="15.5" x14ac:dyDescent="0.35">
      <c r="B44" s="15"/>
      <c r="C44" s="41"/>
      <c r="D44" s="12" t="s">
        <v>74</v>
      </c>
      <c r="F44" s="40" t="s">
        <v>73</v>
      </c>
      <c r="G44" s="36"/>
      <c r="H44" s="24"/>
      <c r="I44" s="24">
        <f>G44*K14</f>
        <v>0</v>
      </c>
      <c r="J44" s="23"/>
      <c r="K44" s="38">
        <f t="shared" si="1"/>
        <v>0</v>
      </c>
    </row>
    <row r="45" spans="2:11" ht="15.5" x14ac:dyDescent="0.35">
      <c r="B45" s="21" t="s">
        <v>72</v>
      </c>
      <c r="C45" s="39"/>
      <c r="D45" s="39"/>
      <c r="E45" s="445"/>
      <c r="F45" s="445"/>
      <c r="G45" s="445"/>
      <c r="H45" s="445"/>
      <c r="I45" s="30"/>
      <c r="J45" s="17" t="s">
        <v>71</v>
      </c>
      <c r="K45" s="29">
        <f>K14/2</f>
        <v>1000000</v>
      </c>
    </row>
    <row r="46" spans="2:11" ht="15.5" x14ac:dyDescent="0.35">
      <c r="B46" s="13"/>
      <c r="C46" s="12"/>
      <c r="D46" s="12"/>
      <c r="E46" s="11"/>
      <c r="F46" s="11"/>
      <c r="G46" s="11"/>
      <c r="H46" s="10"/>
      <c r="I46" s="10"/>
      <c r="J46" s="10"/>
      <c r="K46" s="38"/>
    </row>
    <row r="47" spans="2:11" ht="15.5" x14ac:dyDescent="0.35">
      <c r="B47" s="13"/>
      <c r="C47" s="12"/>
      <c r="D47" s="12"/>
      <c r="E47" s="11"/>
      <c r="F47" s="11"/>
      <c r="G47" s="11"/>
      <c r="H47" s="10"/>
      <c r="I47" s="10"/>
      <c r="J47" s="10"/>
      <c r="K47" s="38"/>
    </row>
    <row r="48" spans="2:11" ht="15.5" x14ac:dyDescent="0.35">
      <c r="B48" s="21" t="s">
        <v>70</v>
      </c>
      <c r="C48" s="34"/>
      <c r="D48" s="34"/>
      <c r="E48" s="445"/>
      <c r="F48" s="445"/>
      <c r="G48" s="445"/>
      <c r="H48" s="445"/>
      <c r="I48" s="31"/>
      <c r="J48" s="17" t="s">
        <v>69</v>
      </c>
      <c r="K48" s="29">
        <f>K31+K45</f>
        <v>3000000</v>
      </c>
    </row>
    <row r="49" spans="2:11" ht="15.5" x14ac:dyDescent="0.35">
      <c r="B49" s="15"/>
      <c r="C49" s="12"/>
      <c r="D49" s="12"/>
      <c r="E49" s="11"/>
      <c r="F49" s="11"/>
      <c r="G49" s="37"/>
      <c r="H49" s="10"/>
      <c r="I49" s="10"/>
      <c r="J49" s="10"/>
      <c r="K49" s="9"/>
    </row>
    <row r="50" spans="2:11" ht="15.5" x14ac:dyDescent="0.35">
      <c r="B50" s="13"/>
      <c r="C50" s="12"/>
      <c r="D50" s="12"/>
      <c r="E50" s="11"/>
      <c r="F50" s="11"/>
      <c r="G50" s="11"/>
      <c r="H50" s="10"/>
      <c r="I50" s="10"/>
      <c r="J50" s="10"/>
      <c r="K50" s="9"/>
    </row>
    <row r="51" spans="2:11" ht="15.5" x14ac:dyDescent="0.35">
      <c r="B51" s="15" t="s">
        <v>68</v>
      </c>
      <c r="C51" s="12"/>
      <c r="D51" s="12"/>
      <c r="E51" s="11"/>
      <c r="F51" s="11"/>
      <c r="G51" s="11"/>
      <c r="H51" s="10"/>
      <c r="I51" s="10"/>
      <c r="J51" s="10"/>
      <c r="K51" s="9"/>
    </row>
    <row r="52" spans="2:11" ht="15.5" x14ac:dyDescent="0.35">
      <c r="B52" s="28" t="s">
        <v>67</v>
      </c>
      <c r="C52" s="12" t="s">
        <v>66</v>
      </c>
      <c r="D52" s="12"/>
      <c r="E52" s="36">
        <v>0.33</v>
      </c>
      <c r="F52" s="26" t="s">
        <v>54</v>
      </c>
      <c r="G52" s="294"/>
      <c r="H52" s="10"/>
      <c r="I52" s="24">
        <f>E52*K48</f>
        <v>990000</v>
      </c>
      <c r="J52" s="23"/>
      <c r="K52" s="22"/>
    </row>
    <row r="53" spans="2:11" ht="15.5" x14ac:dyDescent="0.35">
      <c r="B53" s="28" t="s">
        <v>65</v>
      </c>
      <c r="C53" s="12" t="s">
        <v>266</v>
      </c>
      <c r="D53" s="12"/>
      <c r="E53" s="35">
        <v>1</v>
      </c>
      <c r="F53" s="26" t="s">
        <v>63</v>
      </c>
      <c r="G53" s="246">
        <v>10000</v>
      </c>
      <c r="H53" s="10"/>
      <c r="I53" s="24">
        <f>E53*G53</f>
        <v>10000</v>
      </c>
      <c r="J53" s="23"/>
      <c r="K53" s="22"/>
    </row>
    <row r="54" spans="2:11" ht="15.5" x14ac:dyDescent="0.35">
      <c r="B54" s="21" t="s">
        <v>62</v>
      </c>
      <c r="C54" s="34"/>
      <c r="D54" s="34"/>
      <c r="E54" s="32"/>
      <c r="F54" s="33"/>
      <c r="G54" s="32"/>
      <c r="H54" s="31"/>
      <c r="I54" s="30"/>
      <c r="J54" s="17" t="s">
        <v>61</v>
      </c>
      <c r="K54" s="29">
        <f>SUM(I52:I53)</f>
        <v>1000000</v>
      </c>
    </row>
    <row r="55" spans="2:11" ht="15.5" x14ac:dyDescent="0.35">
      <c r="B55" s="15"/>
      <c r="C55" s="12"/>
      <c r="D55" s="12"/>
      <c r="E55" s="11"/>
      <c r="F55" s="26"/>
      <c r="G55" s="11"/>
      <c r="H55" s="10"/>
      <c r="I55" s="24"/>
      <c r="J55" s="14"/>
      <c r="K55" s="9"/>
    </row>
    <row r="56" spans="2:11" ht="15.5" x14ac:dyDescent="0.35">
      <c r="B56" s="13"/>
      <c r="C56" s="12"/>
      <c r="D56" s="12"/>
      <c r="E56" s="11"/>
      <c r="F56" s="26"/>
      <c r="G56" s="11"/>
      <c r="H56" s="10"/>
      <c r="I56" s="24"/>
      <c r="J56" s="10"/>
      <c r="K56" s="9"/>
    </row>
    <row r="57" spans="2:11" ht="15.5" x14ac:dyDescent="0.35">
      <c r="B57" s="15" t="s">
        <v>60</v>
      </c>
      <c r="C57" s="12"/>
      <c r="D57" s="12"/>
      <c r="E57" s="11"/>
      <c r="F57" s="26"/>
      <c r="G57" s="11"/>
      <c r="H57" s="10"/>
      <c r="I57" s="24"/>
      <c r="J57" s="10"/>
      <c r="K57" s="9"/>
    </row>
    <row r="58" spans="2:11" ht="17.5" x14ac:dyDescent="0.35">
      <c r="B58" s="28" t="s">
        <v>59</v>
      </c>
      <c r="C58" s="12" t="s">
        <v>319</v>
      </c>
      <c r="D58" s="12"/>
      <c r="E58" s="294"/>
      <c r="F58" s="26" t="s">
        <v>54</v>
      </c>
      <c r="G58" s="294"/>
      <c r="H58" s="10"/>
      <c r="I58" s="24"/>
      <c r="J58" s="23"/>
      <c r="K58" s="298" t="s">
        <v>57</v>
      </c>
    </row>
    <row r="59" spans="2:11" ht="15.5" x14ac:dyDescent="0.35">
      <c r="B59" s="28" t="s">
        <v>56</v>
      </c>
      <c r="C59" s="12" t="s">
        <v>55</v>
      </c>
      <c r="D59" s="12"/>
      <c r="E59" s="36">
        <v>0.3</v>
      </c>
      <c r="F59" s="26" t="s">
        <v>267</v>
      </c>
      <c r="G59" s="294"/>
      <c r="H59" s="10"/>
      <c r="I59" s="24">
        <f>E59*K31</f>
        <v>600000</v>
      </c>
      <c r="J59" s="23"/>
      <c r="K59" s="22"/>
    </row>
    <row r="60" spans="2:11" ht="15.5" x14ac:dyDescent="0.35">
      <c r="B60" s="21" t="s">
        <v>53</v>
      </c>
      <c r="C60" s="20"/>
      <c r="D60" s="20"/>
      <c r="E60" s="19"/>
      <c r="F60" s="19"/>
      <c r="G60" s="19"/>
      <c r="H60" s="18"/>
      <c r="I60" s="18"/>
      <c r="J60" s="17" t="s">
        <v>52</v>
      </c>
      <c r="K60" s="16">
        <f>SUM(I58:I59)</f>
        <v>600000</v>
      </c>
    </row>
    <row r="61" spans="2:11" ht="15.5" x14ac:dyDescent="0.35">
      <c r="B61" s="15"/>
      <c r="C61" s="12"/>
      <c r="D61" s="12"/>
      <c r="E61" s="11"/>
      <c r="F61" s="11"/>
      <c r="G61" s="11"/>
      <c r="H61" s="10"/>
      <c r="I61" s="10"/>
      <c r="J61" s="14"/>
      <c r="K61" s="9"/>
    </row>
    <row r="62" spans="2:11" ht="15.5" x14ac:dyDescent="0.35">
      <c r="B62" s="13"/>
      <c r="C62" s="12"/>
      <c r="D62" s="12"/>
      <c r="E62" s="11"/>
      <c r="F62" s="11"/>
      <c r="G62" s="11"/>
      <c r="H62" s="10"/>
      <c r="I62" s="10"/>
      <c r="J62" s="10"/>
      <c r="K62" s="9"/>
    </row>
    <row r="63" spans="2:11" ht="34.5" customHeight="1" thickBot="1" x14ac:dyDescent="0.5">
      <c r="B63" s="8" t="s">
        <v>51</v>
      </c>
      <c r="C63" s="7"/>
      <c r="D63" s="7"/>
      <c r="E63" s="7"/>
      <c r="F63" s="7"/>
      <c r="G63" s="6"/>
      <c r="H63" s="5"/>
      <c r="I63" s="4"/>
      <c r="J63" s="3" t="s">
        <v>50</v>
      </c>
      <c r="K63" s="2">
        <f>K48+K54+K60</f>
        <v>4600000</v>
      </c>
    </row>
    <row r="64" spans="2:11" ht="15" thickTop="1" x14ac:dyDescent="0.35"/>
    <row r="66" spans="2:11" ht="16.5" x14ac:dyDescent="0.35">
      <c r="B66" s="386">
        <v>1</v>
      </c>
      <c r="C66" s="448" t="s">
        <v>374</v>
      </c>
      <c r="D66" s="448"/>
      <c r="E66" s="448"/>
      <c r="F66" s="448"/>
      <c r="G66" s="448"/>
      <c r="H66" s="448"/>
      <c r="I66" s="448"/>
      <c r="J66" s="448"/>
      <c r="K66" s="448"/>
    </row>
    <row r="67" spans="2:11" ht="16.5" x14ac:dyDescent="0.35">
      <c r="B67" s="386">
        <v>2</v>
      </c>
      <c r="C67" s="448" t="s">
        <v>384</v>
      </c>
      <c r="D67" s="448"/>
      <c r="E67" s="448"/>
      <c r="F67" s="448"/>
      <c r="G67" s="448"/>
      <c r="H67" s="448"/>
      <c r="I67" s="448"/>
      <c r="J67" s="448"/>
      <c r="K67" s="448"/>
    </row>
    <row r="68" spans="2:11" ht="36.75" customHeight="1" x14ac:dyDescent="0.35">
      <c r="B68" s="386">
        <v>3</v>
      </c>
      <c r="C68" s="448" t="s">
        <v>385</v>
      </c>
      <c r="D68" s="448"/>
      <c r="E68" s="448"/>
      <c r="F68" s="448"/>
      <c r="G68" s="448"/>
      <c r="H68" s="448"/>
      <c r="I68" s="448"/>
      <c r="J68" s="448"/>
      <c r="K68" s="448"/>
    </row>
    <row r="69" spans="2:11" ht="16.5" x14ac:dyDescent="0.35">
      <c r="B69" s="386">
        <v>4</v>
      </c>
      <c r="C69" s="448" t="s">
        <v>379</v>
      </c>
      <c r="D69" s="448"/>
      <c r="E69" s="448"/>
      <c r="F69" s="448"/>
      <c r="G69" s="448"/>
      <c r="H69" s="448"/>
      <c r="I69" s="448"/>
      <c r="J69" s="448"/>
      <c r="K69" s="448"/>
    </row>
    <row r="70" spans="2:11" ht="16.5" x14ac:dyDescent="0.35">
      <c r="B70" s="386">
        <v>5</v>
      </c>
      <c r="C70" s="448" t="s">
        <v>386</v>
      </c>
      <c r="D70" s="448"/>
      <c r="E70" s="448"/>
      <c r="F70" s="448"/>
      <c r="G70" s="448"/>
      <c r="H70" s="448"/>
      <c r="I70" s="448"/>
      <c r="J70" s="448"/>
      <c r="K70" s="448"/>
    </row>
    <row r="71" spans="2:11" ht="16.5" x14ac:dyDescent="0.35">
      <c r="B71" s="300"/>
    </row>
    <row r="72" spans="2:11" ht="16.5" x14ac:dyDescent="0.35">
      <c r="B72" s="300"/>
    </row>
  </sheetData>
  <mergeCells count="11">
    <mergeCell ref="C66:K66"/>
    <mergeCell ref="C67:K67"/>
    <mergeCell ref="C68:K68"/>
    <mergeCell ref="C69:K69"/>
    <mergeCell ref="C70:K70"/>
    <mergeCell ref="E48:H48"/>
    <mergeCell ref="B1:K1"/>
    <mergeCell ref="J3:K3"/>
    <mergeCell ref="B8:K8"/>
    <mergeCell ref="E31:H31"/>
    <mergeCell ref="E45:H45"/>
  </mergeCells>
  <printOptions horizontalCentered="1"/>
  <pageMargins left="0.38" right="0.4" top="0.48" bottom="0.75" header="0.3" footer="0.3"/>
  <pageSetup scale="50" firstPageNumber="45" orientation="portrait" useFirstPageNumber="1" r:id="rId1"/>
  <headerFooter>
    <oddFooter>&amp;L&amp;"Arial,Regular"&amp;8GVEA - North Pole Facility
PM2.5 NAA BACT Analysis&amp;C&amp;"Arial,Regular"&amp;8Page 58&amp;R&amp;"Arial,Regular"&amp;8August 2017</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79998168889431442"/>
    <pageSetUpPr fitToPage="1"/>
  </sheetPr>
  <dimension ref="B1:L53"/>
  <sheetViews>
    <sheetView zoomScale="80" zoomScaleNormal="80" zoomScalePageLayoutView="70" workbookViewId="0">
      <selection activeCell="P36" sqref="P36"/>
    </sheetView>
  </sheetViews>
  <sheetFormatPr defaultRowHeight="14.5" x14ac:dyDescent="0.35"/>
  <cols>
    <col min="1" max="1" width="3" customWidth="1"/>
    <col min="2" max="3" width="6" customWidth="1"/>
    <col min="4" max="4" width="55.81640625" customWidth="1"/>
    <col min="5" max="5" width="14.26953125" bestFit="1" customWidth="1"/>
    <col min="6" max="6" width="14.26953125" customWidth="1"/>
    <col min="7" max="7" width="15.453125" customWidth="1"/>
    <col min="8" max="8" width="24.54296875" customWidth="1"/>
    <col min="9" max="9" width="20.54296875" customWidth="1"/>
    <col min="10" max="10" width="11.81640625" customWidth="1"/>
    <col min="11" max="11" width="13.26953125" customWidth="1"/>
  </cols>
  <sheetData>
    <row r="1" spans="2:11" x14ac:dyDescent="0.35">
      <c r="B1" s="439" t="s">
        <v>361</v>
      </c>
      <c r="C1" s="439"/>
      <c r="D1" s="439"/>
      <c r="E1" s="439"/>
      <c r="F1" s="439"/>
      <c r="G1" s="439"/>
      <c r="H1" s="439"/>
      <c r="I1" s="439"/>
      <c r="J1" s="439"/>
      <c r="K1" s="439"/>
    </row>
    <row r="3" spans="2:11" ht="15" thickBot="1" x14ac:dyDescent="0.4">
      <c r="I3" s="450" t="s">
        <v>205</v>
      </c>
      <c r="J3" s="451"/>
      <c r="K3" s="452"/>
    </row>
    <row r="4" spans="2:11" ht="19" thickTop="1" x14ac:dyDescent="0.45">
      <c r="B4" s="98" t="s">
        <v>268</v>
      </c>
      <c r="C4" s="158"/>
      <c r="D4" s="96"/>
      <c r="E4" s="96"/>
      <c r="F4" s="96"/>
      <c r="G4" s="96"/>
      <c r="H4" s="96"/>
      <c r="I4" s="96"/>
      <c r="J4" s="95" t="s">
        <v>137</v>
      </c>
      <c r="K4" s="94">
        <v>42921</v>
      </c>
    </row>
    <row r="5" spans="2:11" x14ac:dyDescent="0.35">
      <c r="B5" s="92" t="s">
        <v>203</v>
      </c>
      <c r="C5" s="11"/>
      <c r="D5" s="93" t="s">
        <v>298</v>
      </c>
      <c r="E5" s="11"/>
      <c r="F5" s="11"/>
      <c r="G5" s="11"/>
      <c r="H5" s="11"/>
      <c r="I5" s="11"/>
      <c r="J5" s="40" t="s">
        <v>135</v>
      </c>
      <c r="K5" s="91" t="s">
        <v>134</v>
      </c>
    </row>
    <row r="6" spans="2:11" x14ac:dyDescent="0.35">
      <c r="B6" s="92"/>
      <c r="C6" s="11"/>
      <c r="D6" s="11"/>
      <c r="E6" s="11"/>
      <c r="F6" s="11"/>
      <c r="G6" s="11"/>
      <c r="H6" s="11"/>
      <c r="I6" s="11"/>
      <c r="J6" s="40" t="s">
        <v>133</v>
      </c>
      <c r="K6" s="91" t="s">
        <v>207</v>
      </c>
    </row>
    <row r="7" spans="2:11" ht="15" thickBot="1" x14ac:dyDescent="0.4">
      <c r="B7" s="90" t="s">
        <v>299</v>
      </c>
      <c r="C7" s="89"/>
      <c r="D7" s="89"/>
      <c r="E7" s="89"/>
      <c r="F7" s="89"/>
      <c r="G7" s="89"/>
      <c r="H7" s="89"/>
      <c r="I7" s="89"/>
      <c r="J7" s="88" t="s">
        <v>132</v>
      </c>
      <c r="K7" s="87"/>
    </row>
    <row r="8" spans="2:11" ht="16" thickBot="1" x14ac:dyDescent="0.4">
      <c r="B8" s="453" t="s">
        <v>202</v>
      </c>
      <c r="C8" s="454"/>
      <c r="D8" s="454"/>
      <c r="E8" s="454"/>
      <c r="F8" s="454"/>
      <c r="G8" s="454"/>
      <c r="H8" s="454"/>
      <c r="I8" s="454"/>
      <c r="J8" s="454"/>
      <c r="K8" s="455"/>
    </row>
    <row r="9" spans="2:11" ht="15.5" x14ac:dyDescent="0.35">
      <c r="B9" s="157" t="s">
        <v>201</v>
      </c>
      <c r="C9" s="156"/>
      <c r="D9" s="107"/>
      <c r="E9" s="155" t="s">
        <v>129</v>
      </c>
      <c r="F9" s="155" t="s">
        <v>128</v>
      </c>
      <c r="G9" s="154" t="s">
        <v>127</v>
      </c>
      <c r="H9" s="153" t="s">
        <v>126</v>
      </c>
      <c r="I9" s="153" t="s">
        <v>125</v>
      </c>
      <c r="J9" s="107"/>
      <c r="K9" s="152" t="s">
        <v>200</v>
      </c>
    </row>
    <row r="10" spans="2:11" ht="16.5" x14ac:dyDescent="0.35">
      <c r="B10" s="134" t="s">
        <v>124</v>
      </c>
      <c r="C10" s="11" t="s">
        <v>320</v>
      </c>
      <c r="D10" s="11"/>
      <c r="E10" s="151"/>
      <c r="F10" s="26" t="s">
        <v>113</v>
      </c>
      <c r="G10" s="294"/>
      <c r="H10" s="299" t="s">
        <v>57</v>
      </c>
      <c r="I10" s="24">
        <f>E10*G10</f>
        <v>0</v>
      </c>
      <c r="J10" s="136"/>
      <c r="K10" s="38">
        <f>I10</f>
        <v>0</v>
      </c>
    </row>
    <row r="11" spans="2:11" ht="16.5" x14ac:dyDescent="0.35">
      <c r="B11" s="134" t="s">
        <v>101</v>
      </c>
      <c r="C11" s="11" t="s">
        <v>321</v>
      </c>
      <c r="D11" s="11"/>
      <c r="E11" s="151"/>
      <c r="F11" s="26" t="s">
        <v>113</v>
      </c>
      <c r="G11" s="294"/>
      <c r="H11" s="299" t="s">
        <v>57</v>
      </c>
      <c r="I11" s="24">
        <f>E11*G11</f>
        <v>0</v>
      </c>
      <c r="J11" s="136"/>
      <c r="K11" s="38">
        <f t="shared" ref="K11:K12" si="0">I11</f>
        <v>0</v>
      </c>
    </row>
    <row r="12" spans="2:11" x14ac:dyDescent="0.35">
      <c r="B12" s="134" t="s">
        <v>67</v>
      </c>
      <c r="C12" s="11" t="s">
        <v>197</v>
      </c>
      <c r="D12" s="11"/>
      <c r="E12" s="247">
        <f>E15*1.29</f>
        <v>38814.746607572342</v>
      </c>
      <c r="F12" s="62" t="s">
        <v>178</v>
      </c>
      <c r="G12" s="104">
        <f>0.7*(1.05^25)</f>
        <v>2.37044845862957</v>
      </c>
      <c r="H12" s="24"/>
      <c r="I12" s="24">
        <f>E12*G12</f>
        <v>92008.356268017189</v>
      </c>
      <c r="J12" s="136"/>
      <c r="K12" s="38">
        <f t="shared" si="0"/>
        <v>92008.356268017189</v>
      </c>
    </row>
    <row r="13" spans="2:11" x14ac:dyDescent="0.35">
      <c r="B13" s="134" t="s">
        <v>65</v>
      </c>
      <c r="C13" s="11" t="s">
        <v>195</v>
      </c>
      <c r="D13" s="11"/>
      <c r="E13" s="294"/>
      <c r="F13" s="62" t="s">
        <v>84</v>
      </c>
      <c r="G13" s="294"/>
      <c r="H13" s="24">
        <f>E13*G13</f>
        <v>0</v>
      </c>
      <c r="I13" s="24" t="s">
        <v>194</v>
      </c>
      <c r="J13" s="136"/>
      <c r="K13" s="38">
        <f>H13</f>
        <v>0</v>
      </c>
    </row>
    <row r="14" spans="2:11" x14ac:dyDescent="0.35">
      <c r="B14" s="134" t="s">
        <v>59</v>
      </c>
      <c r="C14" s="11" t="s">
        <v>193</v>
      </c>
      <c r="D14" s="11"/>
      <c r="E14" s="26"/>
      <c r="F14" s="26"/>
      <c r="G14" s="24"/>
      <c r="H14" s="24"/>
      <c r="I14" s="24"/>
      <c r="J14" s="136"/>
      <c r="K14" s="38"/>
    </row>
    <row r="15" spans="2:11" x14ac:dyDescent="0.35">
      <c r="B15" s="92"/>
      <c r="C15" s="138" t="s">
        <v>192</v>
      </c>
      <c r="D15" s="11" t="s">
        <v>191</v>
      </c>
      <c r="E15" s="247">
        <f>E17*0.81*7.21/(8.34*1000)</f>
        <v>30088.950858583212</v>
      </c>
      <c r="F15" s="26" t="s">
        <v>178</v>
      </c>
      <c r="G15" s="104">
        <f>0.384*(1.05^25)</f>
        <v>1.3003602973053643</v>
      </c>
      <c r="H15" s="24">
        <f>E15*G15</f>
        <v>39126.477084073762</v>
      </c>
      <c r="I15" s="150"/>
      <c r="J15" s="136"/>
      <c r="K15" s="38">
        <f>H15</f>
        <v>39126.477084073762</v>
      </c>
    </row>
    <row r="16" spans="2:11" x14ac:dyDescent="0.35">
      <c r="B16" s="92"/>
      <c r="C16" s="138" t="s">
        <v>190</v>
      </c>
      <c r="D16" s="11" t="s">
        <v>189</v>
      </c>
      <c r="E16" s="247">
        <f>64.8*0.161*8760</f>
        <v>91391.328000000009</v>
      </c>
      <c r="F16" s="26" t="s">
        <v>188</v>
      </c>
      <c r="G16" s="294">
        <v>0.18</v>
      </c>
      <c r="H16" s="24">
        <f>E16*G16</f>
        <v>16450.439040000001</v>
      </c>
      <c r="I16" s="24"/>
      <c r="J16" s="136"/>
      <c r="K16" s="38">
        <f>H16</f>
        <v>16450.439040000001</v>
      </c>
    </row>
    <row r="17" spans="2:12" x14ac:dyDescent="0.35">
      <c r="B17" s="92"/>
      <c r="C17" s="138" t="s">
        <v>187</v>
      </c>
      <c r="D17" s="11" t="s">
        <v>186</v>
      </c>
      <c r="E17" s="247">
        <f>672/137*1000*8760</f>
        <v>42968759.124087594</v>
      </c>
      <c r="F17" s="26" t="s">
        <v>183</v>
      </c>
      <c r="G17" s="24"/>
      <c r="H17" s="24"/>
      <c r="I17" s="24"/>
      <c r="J17" s="136"/>
      <c r="K17" s="38"/>
    </row>
    <row r="18" spans="2:12" x14ac:dyDescent="0.35">
      <c r="B18" s="92"/>
      <c r="C18" s="138" t="s">
        <v>185</v>
      </c>
      <c r="D18" s="11" t="s">
        <v>184</v>
      </c>
      <c r="E18" s="247">
        <f>E17*0.035*0.81</f>
        <v>1218164.3211678835</v>
      </c>
      <c r="F18" s="26" t="s">
        <v>183</v>
      </c>
      <c r="G18" s="294">
        <v>1.7</v>
      </c>
      <c r="H18" s="24">
        <f>E18*G18</f>
        <v>2070879.3459854019</v>
      </c>
      <c r="I18" s="24"/>
      <c r="J18" s="136"/>
      <c r="K18" s="38">
        <f>H18</f>
        <v>2070879.3459854019</v>
      </c>
    </row>
    <row r="19" spans="2:12" x14ac:dyDescent="0.35">
      <c r="B19" s="92"/>
      <c r="C19" s="138" t="s">
        <v>182</v>
      </c>
      <c r="D19" s="138" t="s">
        <v>181</v>
      </c>
      <c r="E19" s="247">
        <f>E15*1.3*1.29</f>
        <v>50459.170589844049</v>
      </c>
      <c r="F19" s="26" t="s">
        <v>178</v>
      </c>
      <c r="G19" s="104">
        <f>1.97*(1.05^25)</f>
        <v>6.6711192335717904</v>
      </c>
      <c r="H19" s="24">
        <f>E19*G19</f>
        <v>336619.14343198866</v>
      </c>
      <c r="I19" s="24"/>
      <c r="J19" s="136"/>
      <c r="K19" s="38">
        <f>H19</f>
        <v>336619.14343198866</v>
      </c>
    </row>
    <row r="20" spans="2:12" x14ac:dyDescent="0.35">
      <c r="B20" s="92"/>
      <c r="C20" s="138" t="s">
        <v>180</v>
      </c>
      <c r="D20" s="138" t="s">
        <v>179</v>
      </c>
      <c r="E20" s="247">
        <f>E19*0.29</f>
        <v>14633.159471054772</v>
      </c>
      <c r="F20" s="26" t="s">
        <v>178</v>
      </c>
      <c r="G20" s="104">
        <f>3.82*(1.05^25)</f>
        <v>12.935875874235654</v>
      </c>
      <c r="H20" s="24">
        <f>E20*G20</f>
        <v>189292.73456546039</v>
      </c>
      <c r="I20" s="24"/>
      <c r="J20" s="136"/>
      <c r="K20" s="38">
        <f>H20</f>
        <v>189292.73456546039</v>
      </c>
    </row>
    <row r="21" spans="2:12" x14ac:dyDescent="0.35">
      <c r="B21" s="146"/>
      <c r="C21" s="142"/>
      <c r="D21" s="11"/>
      <c r="E21" s="137"/>
      <c r="F21" s="40"/>
      <c r="G21" s="136"/>
      <c r="H21" s="24"/>
      <c r="I21" s="141"/>
      <c r="J21" s="24"/>
      <c r="K21" s="38"/>
    </row>
    <row r="22" spans="2:12" x14ac:dyDescent="0.35">
      <c r="B22" s="130" t="s">
        <v>167</v>
      </c>
      <c r="C22" s="129"/>
      <c r="D22" s="145"/>
      <c r="E22" s="144"/>
      <c r="F22" s="126"/>
      <c r="G22" s="143"/>
      <c r="H22" s="44"/>
      <c r="I22" s="124"/>
      <c r="J22" s="117" t="s">
        <v>166</v>
      </c>
      <c r="K22" s="116">
        <f>SUM(K10:K21)</f>
        <v>2744376.4963749419</v>
      </c>
    </row>
    <row r="23" spans="2:12" x14ac:dyDescent="0.35">
      <c r="B23" s="92"/>
      <c r="C23" s="142"/>
      <c r="D23" s="11"/>
      <c r="E23" s="26"/>
      <c r="F23" s="11"/>
      <c r="G23" s="24"/>
      <c r="H23" s="24"/>
      <c r="I23" s="141"/>
      <c r="J23" s="140"/>
      <c r="K23" s="38"/>
    </row>
    <row r="24" spans="2:12" ht="15.5" x14ac:dyDescent="0.35">
      <c r="B24" s="15" t="s">
        <v>165</v>
      </c>
      <c r="C24" s="41"/>
      <c r="D24" s="11"/>
      <c r="E24" s="26"/>
      <c r="F24" s="26"/>
      <c r="G24" s="24"/>
      <c r="H24" s="24"/>
      <c r="I24" s="24"/>
      <c r="J24" s="24"/>
      <c r="K24" s="38"/>
    </row>
    <row r="25" spans="2:12" x14ac:dyDescent="0.35">
      <c r="B25" s="134" t="s">
        <v>56</v>
      </c>
      <c r="C25" s="11" t="s">
        <v>163</v>
      </c>
      <c r="D25" s="11"/>
      <c r="E25" s="139">
        <v>0.3</v>
      </c>
      <c r="F25" s="26" t="s">
        <v>162</v>
      </c>
      <c r="G25" s="24"/>
      <c r="H25" s="23"/>
      <c r="I25" s="24">
        <f>E25*I12</f>
        <v>27602.506880405155</v>
      </c>
      <c r="J25" s="136"/>
      <c r="K25" s="38">
        <f>I25</f>
        <v>27602.506880405155</v>
      </c>
    </row>
    <row r="26" spans="2:12" x14ac:dyDescent="0.35">
      <c r="B26" s="134" t="s">
        <v>175</v>
      </c>
      <c r="C26" s="11" t="s">
        <v>160</v>
      </c>
      <c r="D26" s="11"/>
      <c r="E26" s="139">
        <v>0.04</v>
      </c>
      <c r="F26" s="26" t="s">
        <v>159</v>
      </c>
      <c r="G26" s="24"/>
      <c r="H26" s="23"/>
      <c r="I26" s="24">
        <f>E26*'3-12 EU1 WI TCI'!K63</f>
        <v>184000</v>
      </c>
      <c r="J26" s="136"/>
      <c r="K26" s="38">
        <f>I26</f>
        <v>184000</v>
      </c>
    </row>
    <row r="27" spans="2:12" x14ac:dyDescent="0.35">
      <c r="B27" s="134"/>
      <c r="C27" s="138" t="s">
        <v>158</v>
      </c>
      <c r="D27" s="11"/>
      <c r="E27" s="137">
        <f>($E$41/100*POWER((1+($E$41/100)),$E$42))/((POWER(((1+$E$41/100)),$E$42))-1)</f>
        <v>8.0242587190691314E-2</v>
      </c>
      <c r="F27" s="62"/>
      <c r="G27" s="24"/>
      <c r="H27" s="24"/>
      <c r="I27" s="24"/>
      <c r="J27" s="136"/>
      <c r="K27" s="135"/>
      <c r="L27" s="131"/>
    </row>
    <row r="28" spans="2:12" x14ac:dyDescent="0.35">
      <c r="B28" s="134" t="s">
        <v>164</v>
      </c>
      <c r="C28" s="11" t="s">
        <v>156</v>
      </c>
      <c r="D28" s="11"/>
      <c r="E28" s="11"/>
      <c r="F28" s="11"/>
      <c r="G28" s="24"/>
      <c r="H28" s="133"/>
      <c r="I28" s="24"/>
      <c r="J28" s="132" t="s">
        <v>155</v>
      </c>
      <c r="K28" s="38">
        <f>E27*'3-12 EU1 WI TCI'!K63</f>
        <v>369115.90107718005</v>
      </c>
      <c r="L28" s="131"/>
    </row>
    <row r="29" spans="2:12" x14ac:dyDescent="0.35">
      <c r="B29" s="92"/>
      <c r="C29" s="11"/>
      <c r="D29" s="11"/>
      <c r="E29" s="26"/>
      <c r="F29" s="11"/>
      <c r="G29" s="24"/>
      <c r="H29" s="24"/>
      <c r="I29" s="24"/>
      <c r="J29" s="24"/>
      <c r="K29" s="38"/>
    </row>
    <row r="30" spans="2:12" x14ac:dyDescent="0.35">
      <c r="B30" s="130" t="s">
        <v>154</v>
      </c>
      <c r="C30" s="129"/>
      <c r="D30" s="128"/>
      <c r="E30" s="127"/>
      <c r="F30" s="126"/>
      <c r="G30" s="124"/>
      <c r="H30" s="125"/>
      <c r="I30" s="124"/>
      <c r="J30" s="117" t="s">
        <v>153</v>
      </c>
      <c r="K30" s="116">
        <f>SUM(K23:K28)</f>
        <v>580718.40795758518</v>
      </c>
    </row>
    <row r="31" spans="2:12" x14ac:dyDescent="0.35">
      <c r="B31" s="123"/>
      <c r="C31" s="122"/>
      <c r="D31" s="11"/>
      <c r="E31" s="26"/>
      <c r="F31" s="11"/>
      <c r="G31" s="24"/>
      <c r="H31" s="24"/>
      <c r="I31" s="24"/>
      <c r="J31" s="24"/>
      <c r="K31" s="38"/>
    </row>
    <row r="32" spans="2:12" ht="15.5" x14ac:dyDescent="0.35">
      <c r="B32" s="121" t="s">
        <v>152</v>
      </c>
      <c r="C32" s="120"/>
      <c r="D32" s="119"/>
      <c r="E32" s="295"/>
      <c r="F32" s="119"/>
      <c r="G32" s="44"/>
      <c r="H32" s="118"/>
      <c r="I32" s="44"/>
      <c r="J32" s="117" t="s">
        <v>151</v>
      </c>
      <c r="K32" s="116">
        <f>K22+K30</f>
        <v>3325094.904332527</v>
      </c>
    </row>
    <row r="33" spans="2:11" ht="15" thickBot="1" x14ac:dyDescent="0.4">
      <c r="B33" s="92"/>
      <c r="C33" s="11"/>
      <c r="D33" s="11"/>
      <c r="E33" s="26"/>
      <c r="F33" s="11"/>
      <c r="G33" s="11"/>
      <c r="H33" s="11"/>
      <c r="I33" s="11"/>
      <c r="J33" s="11"/>
      <c r="K33" s="75"/>
    </row>
    <row r="34" spans="2:11" ht="16" thickBot="1" x14ac:dyDescent="0.4">
      <c r="B34" s="458" t="s">
        <v>150</v>
      </c>
      <c r="C34" s="459"/>
      <c r="D34" s="459"/>
      <c r="E34" s="459"/>
      <c r="F34" s="459"/>
      <c r="G34" s="459"/>
      <c r="H34" s="459"/>
      <c r="I34" s="459"/>
      <c r="J34" s="459"/>
      <c r="K34" s="460"/>
    </row>
    <row r="35" spans="2:11" x14ac:dyDescent="0.35">
      <c r="B35" s="92"/>
      <c r="C35" s="11"/>
      <c r="D35" s="11"/>
      <c r="E35" s="11"/>
      <c r="F35" s="11"/>
      <c r="G35" s="11"/>
      <c r="H35" s="11"/>
      <c r="I35" s="11"/>
      <c r="J35" s="11"/>
      <c r="K35" s="75"/>
    </row>
    <row r="36" spans="2:11" ht="15.5" x14ac:dyDescent="0.35">
      <c r="B36" s="15" t="s">
        <v>149</v>
      </c>
      <c r="C36" s="41"/>
      <c r="D36" s="11"/>
      <c r="E36" s="11"/>
      <c r="F36" s="11"/>
      <c r="G36" s="11"/>
      <c r="H36" s="11"/>
      <c r="I36" s="11"/>
      <c r="J36" s="115" t="s">
        <v>148</v>
      </c>
      <c r="K36" s="301">
        <f>'3-3 Ranking-NOx'!F8</f>
        <v>1120</v>
      </c>
    </row>
    <row r="37" spans="2:11" x14ac:dyDescent="0.35">
      <c r="B37" s="92"/>
      <c r="C37" s="11"/>
      <c r="D37" s="11"/>
      <c r="E37" s="11"/>
      <c r="F37" s="11"/>
      <c r="G37" s="11"/>
      <c r="H37" s="11"/>
      <c r="I37" s="11"/>
      <c r="J37" s="11"/>
      <c r="K37" s="75"/>
    </row>
    <row r="38" spans="2:11" ht="16" thickBot="1" x14ac:dyDescent="0.4">
      <c r="B38" s="114" t="s">
        <v>147</v>
      </c>
      <c r="C38" s="113"/>
      <c r="D38" s="111"/>
      <c r="E38" s="111"/>
      <c r="F38" s="111"/>
      <c r="G38" s="111"/>
      <c r="H38" s="112"/>
      <c r="I38" s="111"/>
      <c r="J38" s="110" t="s">
        <v>146</v>
      </c>
      <c r="K38" s="109">
        <f>K32/K36</f>
        <v>2968.8347360111848</v>
      </c>
    </row>
    <row r="39" spans="2:11" ht="15.5" thickTop="1" thickBot="1" x14ac:dyDescent="0.4"/>
    <row r="40" spans="2:11" x14ac:dyDescent="0.35">
      <c r="D40" s="108" t="s">
        <v>145</v>
      </c>
      <c r="E40" s="107"/>
      <c r="F40" s="106"/>
      <c r="G40" s="105"/>
    </row>
    <row r="41" spans="2:11" x14ac:dyDescent="0.35">
      <c r="D41" s="103" t="s">
        <v>144</v>
      </c>
      <c r="E41" s="104">
        <v>5</v>
      </c>
      <c r="F41" s="102" t="s">
        <v>110</v>
      </c>
    </row>
    <row r="42" spans="2:11" x14ac:dyDescent="0.35">
      <c r="D42" s="103" t="s">
        <v>143</v>
      </c>
      <c r="E42" s="293">
        <v>20</v>
      </c>
      <c r="F42" s="102" t="s">
        <v>141</v>
      </c>
    </row>
    <row r="43" spans="2:11" x14ac:dyDescent="0.35">
      <c r="D43" s="103" t="s">
        <v>142</v>
      </c>
      <c r="E43" s="294" t="s">
        <v>23</v>
      </c>
      <c r="F43" s="102" t="s">
        <v>141</v>
      </c>
    </row>
    <row r="44" spans="2:11" ht="15" thickBot="1" x14ac:dyDescent="0.4">
      <c r="D44" s="101" t="s">
        <v>140</v>
      </c>
      <c r="E44" s="100">
        <v>100</v>
      </c>
      <c r="F44" s="99" t="s">
        <v>110</v>
      </c>
    </row>
    <row r="47" spans="2:11" ht="16.5" x14ac:dyDescent="0.35">
      <c r="B47" s="386">
        <v>1</v>
      </c>
      <c r="C47" s="448" t="s">
        <v>374</v>
      </c>
      <c r="D47" s="448"/>
      <c r="E47" s="448"/>
      <c r="F47" s="448"/>
      <c r="G47" s="448"/>
      <c r="H47" s="448"/>
      <c r="I47" s="448"/>
      <c r="J47" s="448"/>
      <c r="K47" s="448"/>
    </row>
    <row r="48" spans="2:11" ht="16.5" x14ac:dyDescent="0.35">
      <c r="B48" s="386">
        <v>2</v>
      </c>
      <c r="C48" s="448" t="s">
        <v>384</v>
      </c>
      <c r="D48" s="448"/>
      <c r="E48" s="448"/>
      <c r="F48" s="448"/>
      <c r="G48" s="448"/>
      <c r="H48" s="448"/>
      <c r="I48" s="448"/>
      <c r="J48" s="448"/>
      <c r="K48" s="448"/>
    </row>
    <row r="49" spans="2:11" ht="34.5" customHeight="1" x14ac:dyDescent="0.35">
      <c r="B49" s="386">
        <v>3</v>
      </c>
      <c r="C49" s="448" t="s">
        <v>385</v>
      </c>
      <c r="D49" s="448"/>
      <c r="E49" s="448"/>
      <c r="F49" s="448"/>
      <c r="G49" s="448"/>
      <c r="H49" s="448"/>
      <c r="I49" s="448"/>
      <c r="J49" s="448"/>
      <c r="K49" s="448"/>
    </row>
    <row r="50" spans="2:11" ht="16.5" x14ac:dyDescent="0.35">
      <c r="B50" s="386">
        <v>4</v>
      </c>
      <c r="C50" s="448" t="s">
        <v>379</v>
      </c>
      <c r="D50" s="448"/>
      <c r="E50" s="448"/>
      <c r="F50" s="448"/>
      <c r="G50" s="448"/>
      <c r="H50" s="448"/>
      <c r="I50" s="448"/>
      <c r="J50" s="448"/>
      <c r="K50" s="448"/>
    </row>
    <row r="51" spans="2:11" ht="16.5" x14ac:dyDescent="0.35">
      <c r="B51" s="386">
        <v>5</v>
      </c>
      <c r="C51" s="448" t="s">
        <v>386</v>
      </c>
      <c r="D51" s="448"/>
      <c r="E51" s="448"/>
      <c r="F51" s="448"/>
      <c r="G51" s="448"/>
      <c r="H51" s="448"/>
      <c r="I51" s="448"/>
      <c r="J51" s="448"/>
      <c r="K51" s="448"/>
    </row>
    <row r="52" spans="2:11" ht="16.5" x14ac:dyDescent="0.35">
      <c r="B52" s="300"/>
    </row>
    <row r="53" spans="2:11" ht="16.5" x14ac:dyDescent="0.35">
      <c r="B53" s="300"/>
    </row>
  </sheetData>
  <mergeCells count="9">
    <mergeCell ref="C51:K51"/>
    <mergeCell ref="I3:K3"/>
    <mergeCell ref="B8:K8"/>
    <mergeCell ref="B34:K34"/>
    <mergeCell ref="B1:K1"/>
    <mergeCell ref="C47:K47"/>
    <mergeCell ref="C48:K48"/>
    <mergeCell ref="C49:K49"/>
    <mergeCell ref="C50:K50"/>
  </mergeCells>
  <printOptions horizontalCentered="1"/>
  <pageMargins left="0.38" right="0.4" top="0.48" bottom="0.75" header="0.3" footer="0.3"/>
  <pageSetup scale="53" firstPageNumber="45" orientation="portrait" useFirstPageNumber="1" r:id="rId1"/>
  <headerFooter>
    <oddFooter>&amp;L&amp;"Arial,Regular"&amp;8GVEA - North Pole Facility
PM2.5 NAA BACT Analysis&amp;C&amp;"Arial,Regular"&amp;8Page 59&amp;R&amp;"Arial,Regular"&amp;8August 2017</odd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79998168889431442"/>
    <pageSetUpPr fitToPage="1"/>
  </sheetPr>
  <dimension ref="B1:K72"/>
  <sheetViews>
    <sheetView topLeftCell="A43" zoomScale="90" zoomScaleNormal="90" zoomScalePageLayoutView="70" workbookViewId="0">
      <selection activeCell="M36" sqref="M36"/>
    </sheetView>
  </sheetViews>
  <sheetFormatPr defaultRowHeight="14.5" x14ac:dyDescent="0.35"/>
  <cols>
    <col min="1" max="1" width="2.26953125" customWidth="1"/>
    <col min="2" max="2" width="5.26953125" customWidth="1"/>
    <col min="3" max="3" width="6" customWidth="1"/>
    <col min="4" max="4" width="63.7265625" customWidth="1"/>
    <col min="6" max="6" width="19.26953125" customWidth="1"/>
    <col min="7" max="7" width="13" customWidth="1"/>
    <col min="8" max="8" width="24.1796875" customWidth="1"/>
    <col min="9" max="9" width="20.453125" customWidth="1"/>
    <col min="10" max="10" width="14.7265625" customWidth="1"/>
    <col min="11" max="11" width="17.26953125" customWidth="1"/>
    <col min="13" max="13" width="29.81640625" customWidth="1"/>
  </cols>
  <sheetData>
    <row r="1" spans="2:11" x14ac:dyDescent="0.35">
      <c r="B1" s="439" t="s">
        <v>361</v>
      </c>
      <c r="C1" s="439"/>
      <c r="D1" s="439"/>
      <c r="E1" s="439"/>
      <c r="F1" s="439"/>
      <c r="G1" s="439"/>
      <c r="H1" s="439"/>
      <c r="I1" s="439"/>
      <c r="J1" s="439"/>
      <c r="K1" s="439"/>
    </row>
    <row r="2" spans="2:11" x14ac:dyDescent="0.35">
      <c r="B2" s="324"/>
      <c r="C2" s="324"/>
      <c r="D2" s="324"/>
      <c r="E2" s="324"/>
      <c r="F2" s="324"/>
      <c r="G2" s="324"/>
      <c r="H2" s="324"/>
      <c r="I2" s="324"/>
      <c r="J2" s="324"/>
      <c r="K2" s="324"/>
    </row>
    <row r="3" spans="2:11" ht="15" thickBot="1" x14ac:dyDescent="0.4">
      <c r="J3" s="440" t="s">
        <v>139</v>
      </c>
      <c r="K3" s="441"/>
    </row>
    <row r="4" spans="2:11" ht="19" thickTop="1" x14ac:dyDescent="0.45">
      <c r="B4" s="98" t="s">
        <v>264</v>
      </c>
      <c r="C4" s="97"/>
      <c r="D4" s="97"/>
      <c r="E4" s="96"/>
      <c r="F4" s="96"/>
      <c r="G4" s="96"/>
      <c r="H4" s="96"/>
      <c r="I4" s="96"/>
      <c r="J4" s="95" t="s">
        <v>137</v>
      </c>
      <c r="K4" s="94"/>
    </row>
    <row r="5" spans="2:11" x14ac:dyDescent="0.35">
      <c r="B5" s="92" t="s">
        <v>136</v>
      </c>
      <c r="C5" s="11"/>
      <c r="D5" s="93" t="s">
        <v>308</v>
      </c>
      <c r="E5" s="11"/>
      <c r="F5" s="11"/>
      <c r="G5" s="11"/>
      <c r="H5" s="11"/>
      <c r="I5" s="11"/>
      <c r="J5" s="40" t="s">
        <v>135</v>
      </c>
      <c r="K5" s="91"/>
    </row>
    <row r="6" spans="2:11" x14ac:dyDescent="0.35">
      <c r="B6" s="92"/>
      <c r="C6" s="11"/>
      <c r="D6" s="11"/>
      <c r="E6" s="11"/>
      <c r="F6" s="11"/>
      <c r="G6" s="11"/>
      <c r="H6" s="11"/>
      <c r="I6" s="11"/>
      <c r="J6" s="40" t="s">
        <v>133</v>
      </c>
      <c r="K6" s="91"/>
    </row>
    <row r="7" spans="2:11" ht="15" thickBot="1" x14ac:dyDescent="0.4">
      <c r="B7" s="90" t="s">
        <v>299</v>
      </c>
      <c r="C7" s="89"/>
      <c r="D7" s="89"/>
      <c r="E7" s="89"/>
      <c r="F7" s="89"/>
      <c r="G7" s="89"/>
      <c r="H7" s="89"/>
      <c r="I7" s="89"/>
      <c r="J7" s="88" t="s">
        <v>132</v>
      </c>
      <c r="K7" s="87"/>
    </row>
    <row r="8" spans="2:11" ht="36.75" customHeight="1" thickBot="1" x14ac:dyDescent="0.4">
      <c r="B8" s="442" t="s">
        <v>131</v>
      </c>
      <c r="C8" s="443"/>
      <c r="D8" s="443"/>
      <c r="E8" s="443"/>
      <c r="F8" s="443"/>
      <c r="G8" s="443"/>
      <c r="H8" s="443"/>
      <c r="I8" s="443"/>
      <c r="J8" s="443"/>
      <c r="K8" s="444"/>
    </row>
    <row r="9" spans="2:11" ht="19" thickTop="1" x14ac:dyDescent="0.45">
      <c r="B9" s="86" t="s">
        <v>130</v>
      </c>
      <c r="C9" s="82"/>
      <c r="D9" s="82"/>
      <c r="E9" s="85" t="s">
        <v>129</v>
      </c>
      <c r="F9" s="85" t="s">
        <v>128</v>
      </c>
      <c r="G9" s="84" t="s">
        <v>127</v>
      </c>
      <c r="H9" s="83" t="s">
        <v>126</v>
      </c>
      <c r="I9" s="83" t="s">
        <v>125</v>
      </c>
      <c r="J9" s="82"/>
      <c r="K9" s="81"/>
    </row>
    <row r="10" spans="2:11" ht="15.5" x14ac:dyDescent="0.35">
      <c r="B10" s="15"/>
      <c r="C10" s="11"/>
      <c r="D10" s="11"/>
      <c r="E10" s="80"/>
      <c r="F10" s="80"/>
      <c r="G10" s="79"/>
      <c r="H10" s="78"/>
      <c r="I10" s="78"/>
      <c r="J10" s="11"/>
      <c r="K10" s="77"/>
    </row>
    <row r="11" spans="2:11" ht="15.5" x14ac:dyDescent="0.35">
      <c r="B11" s="43" t="s">
        <v>124</v>
      </c>
      <c r="C11" s="41" t="s">
        <v>123</v>
      </c>
      <c r="D11" s="41"/>
      <c r="E11" s="11"/>
      <c r="F11" s="11"/>
      <c r="G11" s="11"/>
      <c r="H11" s="11"/>
      <c r="I11" s="11"/>
      <c r="J11" s="76"/>
      <c r="K11" s="75"/>
    </row>
    <row r="12" spans="2:11" ht="15.5" x14ac:dyDescent="0.35">
      <c r="B12" s="15"/>
      <c r="C12" s="41" t="s">
        <v>99</v>
      </c>
      <c r="D12" s="41" t="s">
        <v>122</v>
      </c>
      <c r="E12" s="11"/>
      <c r="F12" s="11"/>
      <c r="G12" s="11"/>
      <c r="H12" s="11"/>
      <c r="I12" s="11"/>
      <c r="J12" s="74"/>
      <c r="K12" s="47"/>
    </row>
    <row r="13" spans="2:11" ht="16.5" x14ac:dyDescent="0.35">
      <c r="B13" s="52"/>
      <c r="C13" s="37"/>
      <c r="D13" s="50" t="s">
        <v>300</v>
      </c>
      <c r="E13" s="294">
        <v>1</v>
      </c>
      <c r="F13" s="26" t="s">
        <v>63</v>
      </c>
      <c r="G13" s="73">
        <v>2000000</v>
      </c>
      <c r="H13" s="24">
        <f>E13*G13</f>
        <v>2000000</v>
      </c>
      <c r="I13" s="24"/>
      <c r="J13" s="23"/>
      <c r="K13" s="9"/>
    </row>
    <row r="14" spans="2:11" x14ac:dyDescent="0.35">
      <c r="B14" s="70"/>
      <c r="C14" s="69"/>
      <c r="D14" s="54"/>
      <c r="E14" s="294"/>
      <c r="F14" s="26" t="s">
        <v>63</v>
      </c>
      <c r="G14" s="73"/>
      <c r="H14" s="24">
        <f>E14*G14</f>
        <v>0</v>
      </c>
      <c r="I14" s="68"/>
      <c r="J14" s="48" t="s">
        <v>105</v>
      </c>
      <c r="K14" s="47">
        <f>SUM(H13:H14)</f>
        <v>2000000</v>
      </c>
    </row>
    <row r="15" spans="2:11" ht="15.5" x14ac:dyDescent="0.35">
      <c r="B15" s="70"/>
      <c r="C15" s="72" t="s">
        <v>96</v>
      </c>
      <c r="D15" s="72" t="s">
        <v>121</v>
      </c>
      <c r="E15" s="62"/>
      <c r="F15" s="62"/>
      <c r="G15" s="71"/>
      <c r="H15" s="68"/>
      <c r="I15" s="68"/>
      <c r="J15" s="48"/>
      <c r="K15" s="38"/>
    </row>
    <row r="16" spans="2:11" ht="16.5" x14ac:dyDescent="0.35">
      <c r="B16" s="70"/>
      <c r="C16" s="69"/>
      <c r="D16" s="54" t="s">
        <v>317</v>
      </c>
      <c r="E16" s="294"/>
      <c r="F16" s="62" t="s">
        <v>63</v>
      </c>
      <c r="G16" s="294"/>
      <c r="H16" s="24">
        <f>E16*G16</f>
        <v>0</v>
      </c>
      <c r="I16" s="68"/>
      <c r="J16" s="23"/>
      <c r="K16" s="38"/>
    </row>
    <row r="17" spans="2:11" x14ac:dyDescent="0.35">
      <c r="B17" s="67"/>
      <c r="C17" s="66"/>
      <c r="D17" s="64"/>
      <c r="E17" s="65"/>
      <c r="F17" s="65"/>
      <c r="G17" s="64"/>
      <c r="H17" s="63"/>
      <c r="I17" s="63"/>
      <c r="J17" s="48" t="s">
        <v>105</v>
      </c>
      <c r="K17" s="47">
        <f>SUM(H16:H16)</f>
        <v>0</v>
      </c>
    </row>
    <row r="18" spans="2:11" ht="15.5" x14ac:dyDescent="0.35">
      <c r="B18" s="52"/>
      <c r="C18" s="41" t="s">
        <v>94</v>
      </c>
      <c r="D18" s="41" t="s">
        <v>119</v>
      </c>
      <c r="E18" s="26"/>
      <c r="F18" s="26"/>
      <c r="G18" s="11"/>
      <c r="H18" s="24"/>
      <c r="I18" s="24"/>
      <c r="J18" s="23"/>
      <c r="K18" s="38"/>
    </row>
    <row r="19" spans="2:11" x14ac:dyDescent="0.35">
      <c r="B19" s="52"/>
      <c r="C19" s="37"/>
      <c r="D19" s="50" t="s">
        <v>118</v>
      </c>
      <c r="E19" s="59"/>
      <c r="F19" s="26" t="s">
        <v>117</v>
      </c>
      <c r="G19" s="36"/>
      <c r="H19" s="24"/>
      <c r="I19" s="24">
        <f>G19*H13</f>
        <v>0</v>
      </c>
      <c r="J19" s="23"/>
      <c r="K19" s="38"/>
    </row>
    <row r="20" spans="2:11" x14ac:dyDescent="0.35">
      <c r="B20" s="56"/>
      <c r="C20" s="54"/>
      <c r="D20" s="54"/>
      <c r="E20" s="55"/>
      <c r="F20" s="55"/>
      <c r="G20" s="54"/>
      <c r="H20" s="53"/>
      <c r="I20" s="53"/>
      <c r="J20" s="48" t="s">
        <v>105</v>
      </c>
      <c r="K20" s="47">
        <f>SUM(I19:I19)</f>
        <v>0</v>
      </c>
    </row>
    <row r="21" spans="2:11" ht="15.5" x14ac:dyDescent="0.35">
      <c r="B21" s="52"/>
      <c r="C21" s="41" t="s">
        <v>91</v>
      </c>
      <c r="D21" s="41" t="s">
        <v>116</v>
      </c>
      <c r="E21" s="26"/>
      <c r="F21" s="26"/>
      <c r="G21" s="11"/>
      <c r="H21" s="24"/>
      <c r="I21" s="24"/>
      <c r="J21" s="23"/>
      <c r="K21" s="38"/>
    </row>
    <row r="22" spans="2:11" x14ac:dyDescent="0.35">
      <c r="B22" s="60"/>
      <c r="C22" s="50"/>
      <c r="D22" s="54" t="s">
        <v>115</v>
      </c>
      <c r="E22" s="35"/>
      <c r="F22" s="51" t="s">
        <v>113</v>
      </c>
      <c r="G22" s="61"/>
      <c r="H22" s="49"/>
      <c r="I22" s="49">
        <f>E22*G22</f>
        <v>0</v>
      </c>
      <c r="J22" s="58"/>
      <c r="K22" s="57"/>
    </row>
    <row r="23" spans="2:11" x14ac:dyDescent="0.35">
      <c r="B23" s="60"/>
      <c r="C23" s="50"/>
      <c r="D23" s="54" t="s">
        <v>114</v>
      </c>
      <c r="E23" s="35"/>
      <c r="F23" s="51" t="s">
        <v>113</v>
      </c>
      <c r="G23" s="61"/>
      <c r="H23" s="49"/>
      <c r="I23" s="49">
        <f>E23*G23</f>
        <v>0</v>
      </c>
      <c r="J23" s="58"/>
      <c r="K23" s="57"/>
    </row>
    <row r="24" spans="2:11" ht="15.5" x14ac:dyDescent="0.35">
      <c r="B24" s="60"/>
      <c r="C24" s="41" t="s">
        <v>89</v>
      </c>
      <c r="D24" s="41" t="s">
        <v>112</v>
      </c>
      <c r="E24" s="11"/>
      <c r="F24" s="11"/>
      <c r="G24" s="11"/>
      <c r="H24" s="24"/>
      <c r="I24" s="49"/>
      <c r="J24" s="58"/>
      <c r="K24" s="57"/>
    </row>
    <row r="25" spans="2:11" x14ac:dyDescent="0.35">
      <c r="B25" s="60"/>
      <c r="C25" s="50"/>
      <c r="D25" s="50" t="s">
        <v>111</v>
      </c>
      <c r="E25" s="59"/>
      <c r="F25" s="26" t="s">
        <v>110</v>
      </c>
      <c r="G25" s="59"/>
      <c r="H25" s="49">
        <f>E25*G14</f>
        <v>0</v>
      </c>
      <c r="I25" s="49"/>
      <c r="J25" s="58"/>
      <c r="K25" s="57"/>
    </row>
    <row r="26" spans="2:11" x14ac:dyDescent="0.35">
      <c r="B26" s="56"/>
      <c r="C26" s="54"/>
      <c r="D26" s="54"/>
      <c r="E26" s="55"/>
      <c r="F26" s="55"/>
      <c r="G26" s="54"/>
      <c r="H26" s="53"/>
      <c r="I26" s="53"/>
      <c r="J26" s="48" t="s">
        <v>105</v>
      </c>
      <c r="K26" s="47">
        <f>H25</f>
        <v>0</v>
      </c>
    </row>
    <row r="27" spans="2:11" ht="15.5" x14ac:dyDescent="0.35">
      <c r="B27" s="52"/>
      <c r="C27" s="41" t="s">
        <v>86</v>
      </c>
      <c r="D27" s="41" t="s">
        <v>109</v>
      </c>
      <c r="E27" s="26"/>
      <c r="F27" s="26"/>
      <c r="G27" s="11"/>
      <c r="H27" s="24"/>
      <c r="I27" s="24"/>
      <c r="J27" s="23"/>
      <c r="K27" s="38"/>
    </row>
    <row r="28" spans="2:11" x14ac:dyDescent="0.35">
      <c r="B28" s="52"/>
      <c r="C28" s="37"/>
      <c r="D28" s="50" t="s">
        <v>108</v>
      </c>
      <c r="E28" s="35"/>
      <c r="F28" s="51" t="s">
        <v>106</v>
      </c>
      <c r="G28" s="35"/>
      <c r="H28" s="49"/>
      <c r="I28" s="49">
        <f>G28*E28</f>
        <v>0</v>
      </c>
      <c r="J28" s="23"/>
      <c r="K28" s="38"/>
    </row>
    <row r="29" spans="2:11" x14ac:dyDescent="0.35">
      <c r="B29" s="52"/>
      <c r="C29" s="37"/>
      <c r="D29" s="50" t="s">
        <v>107</v>
      </c>
      <c r="E29" s="35"/>
      <c r="F29" s="51" t="s">
        <v>106</v>
      </c>
      <c r="G29" s="35"/>
      <c r="H29" s="49"/>
      <c r="I29" s="49">
        <f>G29*E29</f>
        <v>0</v>
      </c>
      <c r="J29" s="23"/>
      <c r="K29" s="38"/>
    </row>
    <row r="30" spans="2:11" x14ac:dyDescent="0.35">
      <c r="B30" s="52"/>
      <c r="C30" s="37"/>
      <c r="D30" s="37"/>
      <c r="E30" s="51"/>
      <c r="F30" s="51"/>
      <c r="G30" s="50"/>
      <c r="H30" s="49"/>
      <c r="I30" s="49"/>
      <c r="J30" s="48" t="s">
        <v>105</v>
      </c>
      <c r="K30" s="47">
        <f>SUM(I28:I29)</f>
        <v>0</v>
      </c>
    </row>
    <row r="31" spans="2:11" ht="15.5" x14ac:dyDescent="0.35">
      <c r="B31" s="21" t="s">
        <v>104</v>
      </c>
      <c r="C31" s="46"/>
      <c r="D31" s="46"/>
      <c r="E31" s="461" t="s">
        <v>265</v>
      </c>
      <c r="F31" s="461"/>
      <c r="G31" s="461"/>
      <c r="H31" s="461"/>
      <c r="I31" s="44"/>
      <c r="J31" s="17" t="s">
        <v>102</v>
      </c>
      <c r="K31" s="29">
        <f>SUM(K13:K30)</f>
        <v>2000000</v>
      </c>
    </row>
    <row r="32" spans="2:11" ht="15.5" x14ac:dyDescent="0.35">
      <c r="B32" s="13"/>
      <c r="C32" s="12"/>
      <c r="D32" s="12"/>
      <c r="E32" s="26"/>
      <c r="F32" s="26"/>
      <c r="G32" s="11"/>
      <c r="H32" s="24"/>
      <c r="I32" s="24"/>
      <c r="J32" s="10"/>
      <c r="K32" s="38"/>
    </row>
    <row r="33" spans="2:11" ht="17.5" x14ac:dyDescent="0.35">
      <c r="B33" s="43" t="s">
        <v>101</v>
      </c>
      <c r="C33" s="41" t="s">
        <v>318</v>
      </c>
      <c r="D33" s="41"/>
      <c r="E33" s="26"/>
      <c r="F33" s="26"/>
      <c r="G33" s="11"/>
      <c r="H33" s="24"/>
      <c r="I33" s="24"/>
      <c r="J33" s="10"/>
      <c r="K33" s="38"/>
    </row>
    <row r="34" spans="2:11" ht="15.5" x14ac:dyDescent="0.35">
      <c r="B34" s="15"/>
      <c r="C34" s="41" t="s">
        <v>99</v>
      </c>
      <c r="D34" s="41" t="s">
        <v>98</v>
      </c>
      <c r="E34" s="35"/>
      <c r="F34" s="26" t="s">
        <v>97</v>
      </c>
      <c r="G34" s="35"/>
      <c r="H34" s="24">
        <f>E34*G34</f>
        <v>0</v>
      </c>
      <c r="I34" s="24"/>
      <c r="J34" s="23"/>
      <c r="K34" s="38">
        <f>H34+I34</f>
        <v>0</v>
      </c>
    </row>
    <row r="35" spans="2:11" ht="15.5" x14ac:dyDescent="0.35">
      <c r="B35" s="15"/>
      <c r="C35" s="41" t="s">
        <v>96</v>
      </c>
      <c r="D35" s="41" t="s">
        <v>95</v>
      </c>
      <c r="E35" s="35"/>
      <c r="F35" s="26" t="s">
        <v>92</v>
      </c>
      <c r="G35" s="35"/>
      <c r="H35" s="24">
        <f t="shared" ref="H35:H40" si="0">E35*G35</f>
        <v>0</v>
      </c>
      <c r="I35" s="24"/>
      <c r="J35" s="23"/>
      <c r="K35" s="38">
        <f t="shared" ref="K35:K44" si="1">H35+I35</f>
        <v>0</v>
      </c>
    </row>
    <row r="36" spans="2:11" ht="15.5" x14ac:dyDescent="0.35">
      <c r="B36" s="15"/>
      <c r="C36" s="41" t="s">
        <v>94</v>
      </c>
      <c r="D36" s="41" t="s">
        <v>93</v>
      </c>
      <c r="E36" s="35"/>
      <c r="F36" s="26" t="s">
        <v>92</v>
      </c>
      <c r="G36" s="35"/>
      <c r="H36" s="24">
        <f t="shared" si="0"/>
        <v>0</v>
      </c>
      <c r="I36" s="24"/>
      <c r="J36" s="23"/>
      <c r="K36" s="38">
        <f t="shared" si="1"/>
        <v>0</v>
      </c>
    </row>
    <row r="37" spans="2:11" ht="15.5" x14ac:dyDescent="0.35">
      <c r="B37" s="15"/>
      <c r="C37" s="41" t="s">
        <v>91</v>
      </c>
      <c r="D37" s="41" t="s">
        <v>90</v>
      </c>
      <c r="E37" s="35"/>
      <c r="F37" s="26" t="s">
        <v>84</v>
      </c>
      <c r="G37" s="35"/>
      <c r="H37" s="24">
        <f t="shared" si="0"/>
        <v>0</v>
      </c>
      <c r="I37" s="24"/>
      <c r="J37" s="23"/>
      <c r="K37" s="38">
        <f t="shared" si="1"/>
        <v>0</v>
      </c>
    </row>
    <row r="38" spans="2:11" ht="15.5" x14ac:dyDescent="0.35">
      <c r="B38" s="15"/>
      <c r="C38" s="41" t="s">
        <v>89</v>
      </c>
      <c r="D38" s="41" t="s">
        <v>88</v>
      </c>
      <c r="E38" s="35"/>
      <c r="F38" s="26" t="s">
        <v>87</v>
      </c>
      <c r="G38" s="35"/>
      <c r="H38" s="24">
        <f t="shared" si="0"/>
        <v>0</v>
      </c>
      <c r="I38" s="24"/>
      <c r="J38" s="23"/>
      <c r="K38" s="38">
        <f t="shared" si="1"/>
        <v>0</v>
      </c>
    </row>
    <row r="39" spans="2:11" ht="15.5" x14ac:dyDescent="0.35">
      <c r="B39" s="15"/>
      <c r="C39" s="41" t="s">
        <v>86</v>
      </c>
      <c r="D39" s="41" t="s">
        <v>85</v>
      </c>
      <c r="E39" s="35"/>
      <c r="F39" s="26" t="s">
        <v>84</v>
      </c>
      <c r="G39" s="35"/>
      <c r="H39" s="24">
        <f t="shared" si="0"/>
        <v>0</v>
      </c>
      <c r="I39" s="24"/>
      <c r="J39" s="23"/>
      <c r="K39" s="38">
        <f t="shared" si="1"/>
        <v>0</v>
      </c>
    </row>
    <row r="40" spans="2:11" ht="15.5" x14ac:dyDescent="0.35">
      <c r="B40" s="15"/>
      <c r="C40" s="41" t="s">
        <v>83</v>
      </c>
      <c r="D40" s="41" t="s">
        <v>82</v>
      </c>
      <c r="E40" s="35"/>
      <c r="F40" s="26" t="s">
        <v>81</v>
      </c>
      <c r="G40" s="35"/>
      <c r="H40" s="24">
        <f t="shared" si="0"/>
        <v>0</v>
      </c>
      <c r="I40" s="24"/>
      <c r="J40" s="23"/>
      <c r="K40" s="38">
        <f t="shared" si="1"/>
        <v>0</v>
      </c>
    </row>
    <row r="41" spans="2:11" ht="15.5" x14ac:dyDescent="0.35">
      <c r="B41" s="15"/>
      <c r="C41" s="41" t="s">
        <v>80</v>
      </c>
      <c r="D41" s="41" t="s">
        <v>79</v>
      </c>
      <c r="E41" s="26"/>
      <c r="F41" s="26"/>
      <c r="G41" s="10"/>
      <c r="H41" s="24"/>
      <c r="I41" s="24"/>
      <c r="J41" s="23"/>
      <c r="K41" s="38"/>
    </row>
    <row r="42" spans="2:11" ht="15.5" x14ac:dyDescent="0.35">
      <c r="B42" s="15"/>
      <c r="C42" s="41"/>
      <c r="D42" s="12" t="s">
        <v>78</v>
      </c>
      <c r="F42" s="40" t="s">
        <v>77</v>
      </c>
      <c r="G42" s="36"/>
      <c r="H42" s="42"/>
      <c r="I42" s="24">
        <f>G42*I22</f>
        <v>0</v>
      </c>
      <c r="J42" s="23"/>
      <c r="K42" s="38">
        <f t="shared" si="1"/>
        <v>0</v>
      </c>
    </row>
    <row r="43" spans="2:11" ht="15.5" x14ac:dyDescent="0.35">
      <c r="B43" s="15"/>
      <c r="C43" s="41"/>
      <c r="D43" s="12" t="s">
        <v>76</v>
      </c>
      <c r="F43" s="40" t="s">
        <v>75</v>
      </c>
      <c r="G43" s="36"/>
      <c r="H43" s="42"/>
      <c r="I43" s="24">
        <f>G43*I23</f>
        <v>0</v>
      </c>
      <c r="J43" s="23"/>
      <c r="K43" s="38">
        <f t="shared" si="1"/>
        <v>0</v>
      </c>
    </row>
    <row r="44" spans="2:11" ht="15.5" x14ac:dyDescent="0.35">
      <c r="B44" s="15"/>
      <c r="C44" s="41"/>
      <c r="D44" s="12" t="s">
        <v>74</v>
      </c>
      <c r="F44" s="40" t="s">
        <v>73</v>
      </c>
      <c r="G44" s="36"/>
      <c r="H44" s="24"/>
      <c r="I44" s="24">
        <f>G44*K14</f>
        <v>0</v>
      </c>
      <c r="J44" s="23"/>
      <c r="K44" s="38">
        <f t="shared" si="1"/>
        <v>0</v>
      </c>
    </row>
    <row r="45" spans="2:11" ht="15.5" x14ac:dyDescent="0.35">
      <c r="B45" s="21" t="s">
        <v>72</v>
      </c>
      <c r="C45" s="39"/>
      <c r="D45" s="39"/>
      <c r="E45" s="445"/>
      <c r="F45" s="445"/>
      <c r="G45" s="445"/>
      <c r="H45" s="445"/>
      <c r="I45" s="30"/>
      <c r="J45" s="17" t="s">
        <v>71</v>
      </c>
      <c r="K45" s="29">
        <f>K14/2</f>
        <v>1000000</v>
      </c>
    </row>
    <row r="46" spans="2:11" ht="15.5" x14ac:dyDescent="0.35">
      <c r="B46" s="13"/>
      <c r="C46" s="12"/>
      <c r="D46" s="12"/>
      <c r="E46" s="11"/>
      <c r="F46" s="11"/>
      <c r="G46" s="11"/>
      <c r="H46" s="10"/>
      <c r="I46" s="10"/>
      <c r="J46" s="10"/>
      <c r="K46" s="38"/>
    </row>
    <row r="47" spans="2:11" ht="15.5" x14ac:dyDescent="0.35">
      <c r="B47" s="13"/>
      <c r="C47" s="12"/>
      <c r="D47" s="12"/>
      <c r="E47" s="11"/>
      <c r="F47" s="11"/>
      <c r="G47" s="11"/>
      <c r="H47" s="10"/>
      <c r="I47" s="10"/>
      <c r="J47" s="10"/>
      <c r="K47" s="38"/>
    </row>
    <row r="48" spans="2:11" ht="15.5" x14ac:dyDescent="0.35">
      <c r="B48" s="21" t="s">
        <v>70</v>
      </c>
      <c r="C48" s="34"/>
      <c r="D48" s="34"/>
      <c r="E48" s="445"/>
      <c r="F48" s="445"/>
      <c r="G48" s="445"/>
      <c r="H48" s="445"/>
      <c r="I48" s="31"/>
      <c r="J48" s="17" t="s">
        <v>69</v>
      </c>
      <c r="K48" s="29">
        <f>K31+K45</f>
        <v>3000000</v>
      </c>
    </row>
    <row r="49" spans="2:11" ht="15.5" x14ac:dyDescent="0.35">
      <c r="B49" s="15"/>
      <c r="C49" s="12"/>
      <c r="D49" s="12"/>
      <c r="E49" s="11"/>
      <c r="F49" s="11"/>
      <c r="G49" s="37"/>
      <c r="H49" s="10"/>
      <c r="I49" s="10"/>
      <c r="J49" s="10"/>
      <c r="K49" s="9"/>
    </row>
    <row r="50" spans="2:11" ht="15.5" x14ac:dyDescent="0.35">
      <c r="B50" s="13"/>
      <c r="C50" s="12"/>
      <c r="D50" s="12"/>
      <c r="E50" s="11"/>
      <c r="F50" s="11"/>
      <c r="G50" s="11"/>
      <c r="H50" s="10"/>
      <c r="I50" s="10"/>
      <c r="J50" s="10"/>
      <c r="K50" s="9"/>
    </row>
    <row r="51" spans="2:11" ht="15.5" x14ac:dyDescent="0.35">
      <c r="B51" s="15" t="s">
        <v>68</v>
      </c>
      <c r="C51" s="12"/>
      <c r="D51" s="12"/>
      <c r="E51" s="11"/>
      <c r="F51" s="11"/>
      <c r="G51" s="11"/>
      <c r="H51" s="10"/>
      <c r="I51" s="10"/>
      <c r="J51" s="10"/>
      <c r="K51" s="9"/>
    </row>
    <row r="52" spans="2:11" ht="15.5" x14ac:dyDescent="0.35">
      <c r="B52" s="28" t="s">
        <v>67</v>
      </c>
      <c r="C52" s="12" t="s">
        <v>66</v>
      </c>
      <c r="D52" s="12"/>
      <c r="E52" s="36">
        <v>0.33</v>
      </c>
      <c r="F52" s="26" t="s">
        <v>54</v>
      </c>
      <c r="G52" s="246"/>
      <c r="H52" s="10"/>
      <c r="I52" s="24">
        <f>E52*K48</f>
        <v>990000</v>
      </c>
      <c r="J52" s="23"/>
      <c r="K52" s="22"/>
    </row>
    <row r="53" spans="2:11" ht="15.5" x14ac:dyDescent="0.35">
      <c r="B53" s="28" t="s">
        <v>65</v>
      </c>
      <c r="C53" s="12" t="s">
        <v>266</v>
      </c>
      <c r="D53" s="12"/>
      <c r="E53" s="35">
        <v>1</v>
      </c>
      <c r="F53" s="26" t="s">
        <v>63</v>
      </c>
      <c r="G53" s="246">
        <v>10000</v>
      </c>
      <c r="H53" s="10"/>
      <c r="I53" s="24">
        <f>E53*G53</f>
        <v>10000</v>
      </c>
      <c r="J53" s="23"/>
      <c r="K53" s="22"/>
    </row>
    <row r="54" spans="2:11" ht="15.5" x14ac:dyDescent="0.35">
      <c r="B54" s="21" t="s">
        <v>62</v>
      </c>
      <c r="C54" s="34"/>
      <c r="D54" s="34"/>
      <c r="E54" s="32"/>
      <c r="F54" s="33"/>
      <c r="G54" s="32"/>
      <c r="H54" s="31"/>
      <c r="I54" s="30"/>
      <c r="J54" s="17" t="s">
        <v>61</v>
      </c>
      <c r="K54" s="29">
        <f>SUM(I52:I53)</f>
        <v>1000000</v>
      </c>
    </row>
    <row r="55" spans="2:11" ht="15.5" x14ac:dyDescent="0.35">
      <c r="B55" s="15"/>
      <c r="C55" s="12"/>
      <c r="D55" s="12"/>
      <c r="E55" s="11"/>
      <c r="F55" s="26"/>
      <c r="G55" s="11"/>
      <c r="H55" s="10"/>
      <c r="I55" s="24"/>
      <c r="J55" s="14"/>
      <c r="K55" s="9"/>
    </row>
    <row r="56" spans="2:11" ht="15.5" x14ac:dyDescent="0.35">
      <c r="B56" s="13"/>
      <c r="C56" s="12"/>
      <c r="D56" s="12"/>
      <c r="E56" s="11"/>
      <c r="F56" s="26"/>
      <c r="G56" s="11"/>
      <c r="H56" s="10"/>
      <c r="I56" s="24"/>
      <c r="J56" s="10"/>
      <c r="K56" s="9"/>
    </row>
    <row r="57" spans="2:11" ht="15.5" x14ac:dyDescent="0.35">
      <c r="B57" s="15" t="s">
        <v>60</v>
      </c>
      <c r="C57" s="12"/>
      <c r="D57" s="12"/>
      <c r="E57" s="11"/>
      <c r="F57" s="26"/>
      <c r="G57" s="11"/>
      <c r="H57" s="10"/>
      <c r="I57" s="24"/>
      <c r="J57" s="10"/>
      <c r="K57" s="9"/>
    </row>
    <row r="58" spans="2:11" ht="17.5" x14ac:dyDescent="0.35">
      <c r="B58" s="28" t="s">
        <v>59</v>
      </c>
      <c r="C58" s="12" t="s">
        <v>319</v>
      </c>
      <c r="D58" s="12"/>
      <c r="E58" s="246"/>
      <c r="F58" s="26" t="s">
        <v>54</v>
      </c>
      <c r="G58" s="246"/>
      <c r="H58" s="10"/>
      <c r="I58" s="149" t="s">
        <v>209</v>
      </c>
      <c r="J58" s="23"/>
      <c r="K58" s="22"/>
    </row>
    <row r="59" spans="2:11" ht="15.5" x14ac:dyDescent="0.35">
      <c r="B59" s="28" t="s">
        <v>56</v>
      </c>
      <c r="C59" s="12" t="s">
        <v>55</v>
      </c>
      <c r="D59" s="12"/>
      <c r="E59" s="27">
        <v>0.3</v>
      </c>
      <c r="F59" s="26" t="s">
        <v>267</v>
      </c>
      <c r="G59" s="246"/>
      <c r="H59" s="10"/>
      <c r="I59" s="24">
        <f>E59*K31</f>
        <v>600000</v>
      </c>
      <c r="J59" s="23"/>
      <c r="K59" s="22"/>
    </row>
    <row r="60" spans="2:11" ht="15.5" x14ac:dyDescent="0.35">
      <c r="B60" s="21" t="s">
        <v>53</v>
      </c>
      <c r="C60" s="20"/>
      <c r="D60" s="20"/>
      <c r="E60" s="19"/>
      <c r="F60" s="19"/>
      <c r="G60" s="19"/>
      <c r="H60" s="18"/>
      <c r="I60" s="18"/>
      <c r="J60" s="17" t="s">
        <v>52</v>
      </c>
      <c r="K60" s="16">
        <f>SUM(I58:I59)</f>
        <v>600000</v>
      </c>
    </row>
    <row r="61" spans="2:11" ht="15.5" x14ac:dyDescent="0.35">
      <c r="B61" s="15"/>
      <c r="C61" s="12"/>
      <c r="D61" s="12"/>
      <c r="E61" s="11"/>
      <c r="F61" s="11"/>
      <c r="G61" s="11"/>
      <c r="H61" s="10"/>
      <c r="I61" s="10"/>
      <c r="J61" s="14"/>
      <c r="K61" s="9"/>
    </row>
    <row r="62" spans="2:11" ht="15.5" x14ac:dyDescent="0.35">
      <c r="B62" s="13"/>
      <c r="C62" s="12"/>
      <c r="D62" s="12"/>
      <c r="E62" s="11"/>
      <c r="F62" s="11"/>
      <c r="G62" s="11"/>
      <c r="H62" s="10"/>
      <c r="I62" s="10"/>
      <c r="J62" s="10"/>
      <c r="K62" s="9"/>
    </row>
    <row r="63" spans="2:11" ht="34.5" customHeight="1" thickBot="1" x14ac:dyDescent="0.5">
      <c r="B63" s="8" t="s">
        <v>51</v>
      </c>
      <c r="C63" s="7"/>
      <c r="D63" s="7"/>
      <c r="E63" s="7"/>
      <c r="F63" s="7"/>
      <c r="G63" s="6"/>
      <c r="H63" s="5"/>
      <c r="I63" s="4"/>
      <c r="J63" s="3" t="s">
        <v>50</v>
      </c>
      <c r="K63" s="2">
        <f>K48+K54+K60</f>
        <v>4600000</v>
      </c>
    </row>
    <row r="64" spans="2:11" ht="15" thickTop="1" x14ac:dyDescent="0.35"/>
    <row r="66" spans="2:11" ht="16.5" x14ac:dyDescent="0.35">
      <c r="B66" s="386">
        <v>1</v>
      </c>
      <c r="C66" s="448" t="s">
        <v>374</v>
      </c>
      <c r="D66" s="448"/>
      <c r="E66" s="448"/>
      <c r="F66" s="448"/>
      <c r="G66" s="448"/>
      <c r="H66" s="448"/>
      <c r="I66" s="448"/>
      <c r="J66" s="448"/>
      <c r="K66" s="448"/>
    </row>
    <row r="67" spans="2:11" ht="16.5" x14ac:dyDescent="0.35">
      <c r="B67" s="386">
        <v>2</v>
      </c>
      <c r="C67" s="448" t="s">
        <v>384</v>
      </c>
      <c r="D67" s="448"/>
      <c r="E67" s="448"/>
      <c r="F67" s="448"/>
      <c r="G67" s="448"/>
      <c r="H67" s="448"/>
      <c r="I67" s="448"/>
      <c r="J67" s="448"/>
      <c r="K67" s="448"/>
    </row>
    <row r="68" spans="2:11" ht="36.75" customHeight="1" x14ac:dyDescent="0.35">
      <c r="B68" s="386">
        <v>3</v>
      </c>
      <c r="C68" s="448" t="s">
        <v>385</v>
      </c>
      <c r="D68" s="448"/>
      <c r="E68" s="448"/>
      <c r="F68" s="448"/>
      <c r="G68" s="448"/>
      <c r="H68" s="448"/>
      <c r="I68" s="448"/>
      <c r="J68" s="448"/>
      <c r="K68" s="448"/>
    </row>
    <row r="69" spans="2:11" ht="16.5" x14ac:dyDescent="0.35">
      <c r="B69" s="386">
        <v>4</v>
      </c>
      <c r="C69" s="448" t="s">
        <v>379</v>
      </c>
      <c r="D69" s="448"/>
      <c r="E69" s="448"/>
      <c r="F69" s="448"/>
      <c r="G69" s="448"/>
      <c r="H69" s="448"/>
      <c r="I69" s="448"/>
      <c r="J69" s="448"/>
      <c r="K69" s="448"/>
    </row>
    <row r="70" spans="2:11" ht="16.5" x14ac:dyDescent="0.35">
      <c r="B70" s="386">
        <v>5</v>
      </c>
      <c r="C70" s="448" t="s">
        <v>386</v>
      </c>
      <c r="D70" s="448"/>
      <c r="E70" s="448"/>
      <c r="F70" s="448"/>
      <c r="G70" s="448"/>
      <c r="H70" s="448"/>
      <c r="I70" s="448"/>
      <c r="J70" s="448"/>
      <c r="K70" s="448"/>
    </row>
    <row r="71" spans="2:11" ht="16.5" x14ac:dyDescent="0.35">
      <c r="B71" s="300"/>
    </row>
    <row r="72" spans="2:11" ht="16.5" x14ac:dyDescent="0.35">
      <c r="B72" s="300"/>
    </row>
  </sheetData>
  <mergeCells count="11">
    <mergeCell ref="C66:K66"/>
    <mergeCell ref="C67:K67"/>
    <mergeCell ref="C68:K68"/>
    <mergeCell ref="C69:K69"/>
    <mergeCell ref="C70:K70"/>
    <mergeCell ref="E48:H48"/>
    <mergeCell ref="B1:K1"/>
    <mergeCell ref="J3:K3"/>
    <mergeCell ref="B8:K8"/>
    <mergeCell ref="E31:H31"/>
    <mergeCell ref="E45:H45"/>
  </mergeCells>
  <printOptions horizontalCentered="1"/>
  <pageMargins left="0.38" right="0.4" top="0.48" bottom="0.75" header="0.3" footer="0.3"/>
  <pageSetup scale="50" firstPageNumber="45" orientation="portrait" useFirstPageNumber="1" r:id="rId1"/>
  <headerFooter>
    <oddFooter>&amp;L&amp;"Arial,Regular"&amp;8GVEA - North Pole Facility
PM2.5 NAA BACT Analysis&amp;C&amp;"Arial,Regular"&amp;8Page 60&amp;R&amp;"Arial,Regular"&amp;8August 2017</oddFoot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79998168889431442"/>
    <pageSetUpPr fitToPage="1"/>
  </sheetPr>
  <dimension ref="B1:L53"/>
  <sheetViews>
    <sheetView topLeftCell="A10" zoomScaleNormal="100" zoomScalePageLayoutView="70" workbookViewId="0">
      <selection activeCell="K42" sqref="K42"/>
    </sheetView>
  </sheetViews>
  <sheetFormatPr defaultRowHeight="14.5" x14ac:dyDescent="0.35"/>
  <cols>
    <col min="1" max="1" width="3" customWidth="1"/>
    <col min="2" max="3" width="6" customWidth="1"/>
    <col min="4" max="4" width="56.54296875" customWidth="1"/>
    <col min="5" max="5" width="14.26953125" bestFit="1" customWidth="1"/>
    <col min="6" max="6" width="14.26953125" customWidth="1"/>
    <col min="7" max="7" width="15.81640625" customWidth="1"/>
    <col min="8" max="8" width="24" customWidth="1"/>
    <col min="9" max="9" width="20.54296875" customWidth="1"/>
    <col min="10" max="10" width="11.81640625" customWidth="1"/>
    <col min="11" max="11" width="13.26953125" customWidth="1"/>
  </cols>
  <sheetData>
    <row r="1" spans="2:11" x14ac:dyDescent="0.35">
      <c r="B1" s="439" t="s">
        <v>362</v>
      </c>
      <c r="C1" s="439"/>
      <c r="D1" s="439"/>
      <c r="E1" s="439"/>
      <c r="F1" s="439"/>
      <c r="G1" s="439"/>
      <c r="H1" s="439"/>
      <c r="I1" s="439"/>
      <c r="J1" s="439"/>
      <c r="K1" s="439"/>
    </row>
    <row r="2" spans="2:11" x14ac:dyDescent="0.35">
      <c r="B2" s="324"/>
      <c r="C2" s="324"/>
      <c r="D2" s="324"/>
      <c r="E2" s="324"/>
      <c r="F2" s="324"/>
      <c r="G2" s="324"/>
      <c r="H2" s="324"/>
      <c r="I2" s="324"/>
      <c r="J2" s="324"/>
      <c r="K2" s="324"/>
    </row>
    <row r="3" spans="2:11" ht="15" thickBot="1" x14ac:dyDescent="0.4">
      <c r="I3" s="450" t="s">
        <v>205</v>
      </c>
      <c r="J3" s="451"/>
      <c r="K3" s="452"/>
    </row>
    <row r="4" spans="2:11" ht="19" thickTop="1" x14ac:dyDescent="0.45">
      <c r="B4" s="98" t="s">
        <v>268</v>
      </c>
      <c r="C4" s="158"/>
      <c r="D4" s="96"/>
      <c r="E4" s="96"/>
      <c r="F4" s="96"/>
      <c r="G4" s="96"/>
      <c r="H4" s="96"/>
      <c r="I4" s="96"/>
      <c r="J4" s="95" t="s">
        <v>137</v>
      </c>
      <c r="K4" s="94"/>
    </row>
    <row r="5" spans="2:11" x14ac:dyDescent="0.35">
      <c r="B5" s="92" t="s">
        <v>203</v>
      </c>
      <c r="C5" s="11"/>
      <c r="D5" s="93" t="s">
        <v>308</v>
      </c>
      <c r="E5" s="11"/>
      <c r="F5" s="11"/>
      <c r="G5" s="11"/>
      <c r="H5" s="11"/>
      <c r="I5" s="11"/>
      <c r="J5" s="40" t="s">
        <v>135</v>
      </c>
      <c r="K5" s="91"/>
    </row>
    <row r="6" spans="2:11" x14ac:dyDescent="0.35">
      <c r="B6" s="92"/>
      <c r="C6" s="11"/>
      <c r="D6" s="11"/>
      <c r="E6" s="11"/>
      <c r="F6" s="11"/>
      <c r="G6" s="11"/>
      <c r="H6" s="11"/>
      <c r="I6" s="11"/>
      <c r="J6" s="40" t="s">
        <v>133</v>
      </c>
      <c r="K6" s="91"/>
    </row>
    <row r="7" spans="2:11" ht="15" thickBot="1" x14ac:dyDescent="0.4">
      <c r="B7" s="90" t="s">
        <v>299</v>
      </c>
      <c r="C7" s="89"/>
      <c r="D7" s="89"/>
      <c r="E7" s="89"/>
      <c r="F7" s="89"/>
      <c r="G7" s="89"/>
      <c r="H7" s="89"/>
      <c r="I7" s="89"/>
      <c r="J7" s="88" t="s">
        <v>132</v>
      </c>
      <c r="K7" s="87"/>
    </row>
    <row r="8" spans="2:11" ht="16" thickBot="1" x14ac:dyDescent="0.4">
      <c r="B8" s="453" t="s">
        <v>202</v>
      </c>
      <c r="C8" s="454"/>
      <c r="D8" s="454"/>
      <c r="E8" s="454"/>
      <c r="F8" s="454"/>
      <c r="G8" s="454"/>
      <c r="H8" s="454"/>
      <c r="I8" s="454"/>
      <c r="J8" s="454"/>
      <c r="K8" s="455"/>
    </row>
    <row r="9" spans="2:11" ht="15.5" x14ac:dyDescent="0.35">
      <c r="B9" s="157" t="s">
        <v>201</v>
      </c>
      <c r="C9" s="156"/>
      <c r="D9" s="107"/>
      <c r="E9" s="155" t="s">
        <v>129</v>
      </c>
      <c r="F9" s="155" t="s">
        <v>128</v>
      </c>
      <c r="G9" s="154" t="s">
        <v>127</v>
      </c>
      <c r="H9" s="153" t="s">
        <v>126</v>
      </c>
      <c r="I9" s="153" t="s">
        <v>125</v>
      </c>
      <c r="J9" s="107"/>
      <c r="K9" s="152" t="s">
        <v>200</v>
      </c>
    </row>
    <row r="10" spans="2:11" ht="16.5" x14ac:dyDescent="0.35">
      <c r="B10" s="134" t="s">
        <v>124</v>
      </c>
      <c r="C10" s="11" t="s">
        <v>320</v>
      </c>
      <c r="D10" s="11"/>
      <c r="E10" s="151"/>
      <c r="F10" s="26" t="s">
        <v>113</v>
      </c>
      <c r="G10" s="151"/>
      <c r="H10" s="149" t="s">
        <v>209</v>
      </c>
      <c r="I10" s="24">
        <f>E10*G10</f>
        <v>0</v>
      </c>
      <c r="J10" s="136"/>
      <c r="K10" s="38">
        <f>I10</f>
        <v>0</v>
      </c>
    </row>
    <row r="11" spans="2:11" ht="16.5" x14ac:dyDescent="0.35">
      <c r="B11" s="134" t="s">
        <v>101</v>
      </c>
      <c r="C11" s="11" t="s">
        <v>321</v>
      </c>
      <c r="D11" s="11"/>
      <c r="E11" s="151"/>
      <c r="F11" s="26" t="s">
        <v>113</v>
      </c>
      <c r="G11" s="294"/>
      <c r="H11" s="149" t="s">
        <v>209</v>
      </c>
      <c r="I11" s="24">
        <f>E11*G11</f>
        <v>0</v>
      </c>
      <c r="J11" s="136"/>
      <c r="K11" s="38">
        <f t="shared" ref="K11:K12" si="0">I11</f>
        <v>0</v>
      </c>
    </row>
    <row r="12" spans="2:11" x14ac:dyDescent="0.35">
      <c r="B12" s="134" t="s">
        <v>67</v>
      </c>
      <c r="C12" s="11" t="s">
        <v>197</v>
      </c>
      <c r="D12" s="11"/>
      <c r="E12" s="247">
        <f>E15*1.29</f>
        <v>35411.809918689287</v>
      </c>
      <c r="F12" s="62" t="s">
        <v>178</v>
      </c>
      <c r="G12" s="104">
        <f>0.7*(1.05^25)</f>
        <v>2.37044845862957</v>
      </c>
      <c r="H12" s="24"/>
      <c r="I12" s="24">
        <f>E12*G12</f>
        <v>83941.870239040334</v>
      </c>
      <c r="J12" s="136"/>
      <c r="K12" s="38">
        <f t="shared" si="0"/>
        <v>83941.870239040334</v>
      </c>
    </row>
    <row r="13" spans="2:11" x14ac:dyDescent="0.35">
      <c r="B13" s="134" t="s">
        <v>65</v>
      </c>
      <c r="C13" s="11" t="s">
        <v>195</v>
      </c>
      <c r="D13" s="11"/>
      <c r="E13" s="294"/>
      <c r="F13" s="62" t="s">
        <v>84</v>
      </c>
      <c r="G13" s="294"/>
      <c r="H13" s="24">
        <f>E13*G13</f>
        <v>0</v>
      </c>
      <c r="I13" s="24" t="s">
        <v>194</v>
      </c>
      <c r="J13" s="136"/>
      <c r="K13" s="38">
        <f>H13</f>
        <v>0</v>
      </c>
    </row>
    <row r="14" spans="2:11" x14ac:dyDescent="0.35">
      <c r="B14" s="134" t="s">
        <v>59</v>
      </c>
      <c r="C14" s="11" t="s">
        <v>193</v>
      </c>
      <c r="D14" s="11"/>
      <c r="E14" s="26"/>
      <c r="F14" s="26"/>
      <c r="G14" s="24"/>
      <c r="H14" s="24"/>
      <c r="I14" s="24"/>
      <c r="J14" s="136"/>
      <c r="K14" s="38"/>
    </row>
    <row r="15" spans="2:11" x14ac:dyDescent="0.35">
      <c r="B15" s="92"/>
      <c r="C15" s="138" t="s">
        <v>192</v>
      </c>
      <c r="D15" s="11" t="s">
        <v>191</v>
      </c>
      <c r="E15" s="247">
        <f>E17*0.81*7.21/(8.34*1000)</f>
        <v>27451.015440844407</v>
      </c>
      <c r="F15" s="26" t="s">
        <v>178</v>
      </c>
      <c r="G15" s="104">
        <f>0.384*(1.05^25)</f>
        <v>1.3003602973053643</v>
      </c>
      <c r="H15" s="24">
        <f>E15*G15</f>
        <v>35696.210599990576</v>
      </c>
      <c r="I15" s="150"/>
      <c r="J15" s="136"/>
      <c r="K15" s="38">
        <f>H15</f>
        <v>35696.210599990576</v>
      </c>
    </row>
    <row r="16" spans="2:11" x14ac:dyDescent="0.35">
      <c r="B16" s="92"/>
      <c r="C16" s="138" t="s">
        <v>190</v>
      </c>
      <c r="D16" s="11" t="s">
        <v>189</v>
      </c>
      <c r="E16" s="247">
        <f>64.8*0.161*7992</f>
        <v>83378.937600000005</v>
      </c>
      <c r="F16" s="26" t="s">
        <v>188</v>
      </c>
      <c r="G16" s="294">
        <v>0.18</v>
      </c>
      <c r="H16" s="24">
        <f>E16*G16</f>
        <v>15008.208768</v>
      </c>
      <c r="I16" s="24"/>
      <c r="J16" s="136"/>
      <c r="K16" s="38">
        <f>H16</f>
        <v>15008.208768</v>
      </c>
    </row>
    <row r="17" spans="2:12" x14ac:dyDescent="0.35">
      <c r="B17" s="92"/>
      <c r="C17" s="138" t="s">
        <v>187</v>
      </c>
      <c r="D17" s="11" t="s">
        <v>186</v>
      </c>
      <c r="E17" s="247">
        <f>672/137*1000*7992</f>
        <v>39201635.036496349</v>
      </c>
      <c r="F17" s="26" t="s">
        <v>183</v>
      </c>
      <c r="G17" s="24"/>
      <c r="H17" s="24"/>
      <c r="I17" s="24"/>
      <c r="J17" s="136"/>
      <c r="K17" s="38"/>
    </row>
    <row r="18" spans="2:12" x14ac:dyDescent="0.35">
      <c r="B18" s="92"/>
      <c r="C18" s="138" t="s">
        <v>185</v>
      </c>
      <c r="D18" s="11" t="s">
        <v>184</v>
      </c>
      <c r="E18" s="247">
        <f>E17*0.035*0.81</f>
        <v>1111366.3532846717</v>
      </c>
      <c r="F18" s="26" t="s">
        <v>183</v>
      </c>
      <c r="G18" s="294">
        <v>1.7</v>
      </c>
      <c r="H18" s="24">
        <f>E18*G18</f>
        <v>1889322.8005839419</v>
      </c>
      <c r="I18" s="24"/>
      <c r="J18" s="136"/>
      <c r="K18" s="38">
        <f>H18</f>
        <v>1889322.8005839419</v>
      </c>
    </row>
    <row r="19" spans="2:12" x14ac:dyDescent="0.35">
      <c r="B19" s="92"/>
      <c r="C19" s="138" t="s">
        <v>182</v>
      </c>
      <c r="D19" s="138" t="s">
        <v>181</v>
      </c>
      <c r="E19" s="247">
        <f>E15*1.3*1.29</f>
        <v>46035.352894296077</v>
      </c>
      <c r="F19" s="26" t="s">
        <v>178</v>
      </c>
      <c r="G19" s="104">
        <f>1.97*(1.05^25)</f>
        <v>6.6711192335717904</v>
      </c>
      <c r="H19" s="24">
        <f>E19*G19</f>
        <v>307107.32811740332</v>
      </c>
      <c r="I19" s="24"/>
      <c r="J19" s="136"/>
      <c r="K19" s="38">
        <f>H19</f>
        <v>307107.32811740332</v>
      </c>
    </row>
    <row r="20" spans="2:12" x14ac:dyDescent="0.35">
      <c r="B20" s="92"/>
      <c r="C20" s="138" t="s">
        <v>180</v>
      </c>
      <c r="D20" s="138" t="s">
        <v>179</v>
      </c>
      <c r="E20" s="247">
        <f>E19*0.29</f>
        <v>13350.252339345861</v>
      </c>
      <c r="F20" s="26" t="s">
        <v>178</v>
      </c>
      <c r="G20" s="104">
        <f>3.82*(1.05^25)</f>
        <v>12.935875874235654</v>
      </c>
      <c r="H20" s="24">
        <f>E20*G20</f>
        <v>172697.20715150223</v>
      </c>
      <c r="I20" s="24"/>
      <c r="J20" s="136"/>
      <c r="K20" s="38">
        <f>H20</f>
        <v>172697.20715150223</v>
      </c>
    </row>
    <row r="21" spans="2:12" x14ac:dyDescent="0.35">
      <c r="B21" s="146"/>
      <c r="C21" s="142"/>
      <c r="D21" s="11"/>
      <c r="E21" s="137"/>
      <c r="F21" s="40"/>
      <c r="G21" s="136"/>
      <c r="H21" s="24"/>
      <c r="I21" s="141"/>
      <c r="J21" s="24"/>
      <c r="K21" s="38"/>
    </row>
    <row r="22" spans="2:12" x14ac:dyDescent="0.35">
      <c r="B22" s="130" t="s">
        <v>167</v>
      </c>
      <c r="C22" s="129"/>
      <c r="D22" s="145"/>
      <c r="E22" s="144"/>
      <c r="F22" s="126"/>
      <c r="G22" s="143"/>
      <c r="H22" s="44"/>
      <c r="I22" s="124"/>
      <c r="J22" s="117" t="s">
        <v>166</v>
      </c>
      <c r="K22" s="116">
        <f>SUM(K10:K21)</f>
        <v>2503773.6254598782</v>
      </c>
    </row>
    <row r="23" spans="2:12" x14ac:dyDescent="0.35">
      <c r="B23" s="92"/>
      <c r="C23" s="142"/>
      <c r="D23" s="11"/>
      <c r="E23" s="26"/>
      <c r="F23" s="11"/>
      <c r="G23" s="24"/>
      <c r="H23" s="24"/>
      <c r="I23" s="141"/>
      <c r="J23" s="140"/>
      <c r="K23" s="38"/>
    </row>
    <row r="24" spans="2:12" ht="15.5" x14ac:dyDescent="0.35">
      <c r="B24" s="15" t="s">
        <v>165</v>
      </c>
      <c r="C24" s="41"/>
      <c r="D24" s="11"/>
      <c r="E24" s="26"/>
      <c r="F24" s="26"/>
      <c r="G24" s="24"/>
      <c r="H24" s="24"/>
      <c r="I24" s="24"/>
      <c r="J24" s="24"/>
      <c r="K24" s="38"/>
    </row>
    <row r="25" spans="2:12" x14ac:dyDescent="0.35">
      <c r="B25" s="134" t="s">
        <v>56</v>
      </c>
      <c r="C25" s="11" t="s">
        <v>163</v>
      </c>
      <c r="D25" s="11"/>
      <c r="E25" s="139">
        <v>0.3</v>
      </c>
      <c r="F25" s="26" t="s">
        <v>162</v>
      </c>
      <c r="G25" s="24"/>
      <c r="H25" s="23"/>
      <c r="I25" s="24">
        <f>E25*I12</f>
        <v>25182.561071712098</v>
      </c>
      <c r="J25" s="136"/>
      <c r="K25" s="38">
        <f>I25</f>
        <v>25182.561071712098</v>
      </c>
    </row>
    <row r="26" spans="2:12" x14ac:dyDescent="0.35">
      <c r="B26" s="134" t="s">
        <v>175</v>
      </c>
      <c r="C26" s="11" t="s">
        <v>160</v>
      </c>
      <c r="D26" s="11"/>
      <c r="E26" s="139">
        <v>0.04</v>
      </c>
      <c r="F26" s="26" t="s">
        <v>159</v>
      </c>
      <c r="G26" s="24"/>
      <c r="H26" s="23"/>
      <c r="I26" s="24">
        <f>E26*'3-14 EU2 WI TCI'!K63</f>
        <v>184000</v>
      </c>
      <c r="J26" s="136"/>
      <c r="K26" s="38">
        <f>I26</f>
        <v>184000</v>
      </c>
    </row>
    <row r="27" spans="2:12" x14ac:dyDescent="0.35">
      <c r="B27" s="134"/>
      <c r="C27" s="138" t="s">
        <v>158</v>
      </c>
      <c r="D27" s="11"/>
      <c r="E27" s="137">
        <f>($E$41/100*POWER((1+($E$41/100)),$E$42))/((POWER(((1+$E$41/100)),$E$42))-1)</f>
        <v>8.0242587190691314E-2</v>
      </c>
      <c r="F27" s="62"/>
      <c r="G27" s="24"/>
      <c r="H27" s="24"/>
      <c r="I27" s="24"/>
      <c r="J27" s="136"/>
      <c r="K27" s="135"/>
      <c r="L27" s="131"/>
    </row>
    <row r="28" spans="2:12" x14ac:dyDescent="0.35">
      <c r="B28" s="134" t="s">
        <v>164</v>
      </c>
      <c r="C28" s="11" t="s">
        <v>156</v>
      </c>
      <c r="D28" s="11"/>
      <c r="E28" s="11"/>
      <c r="F28" s="11"/>
      <c r="G28" s="24"/>
      <c r="H28" s="133"/>
      <c r="I28" s="24"/>
      <c r="J28" s="132" t="s">
        <v>155</v>
      </c>
      <c r="K28" s="38">
        <f>E27*'3-14 EU2 WI TCI'!K63</f>
        <v>369115.90107718005</v>
      </c>
      <c r="L28" s="131"/>
    </row>
    <row r="29" spans="2:12" x14ac:dyDescent="0.35">
      <c r="B29" s="92"/>
      <c r="C29" s="11"/>
      <c r="D29" s="11"/>
      <c r="E29" s="26"/>
      <c r="F29" s="11"/>
      <c r="G29" s="24"/>
      <c r="H29" s="24"/>
      <c r="I29" s="24"/>
      <c r="J29" s="24"/>
      <c r="K29" s="38"/>
    </row>
    <row r="30" spans="2:12" x14ac:dyDescent="0.35">
      <c r="B30" s="130" t="s">
        <v>154</v>
      </c>
      <c r="C30" s="129"/>
      <c r="D30" s="128"/>
      <c r="E30" s="127"/>
      <c r="F30" s="126"/>
      <c r="G30" s="124"/>
      <c r="H30" s="125"/>
      <c r="I30" s="124"/>
      <c r="J30" s="117" t="s">
        <v>153</v>
      </c>
      <c r="K30" s="116">
        <f>SUM(K23:K28)</f>
        <v>578298.46214889211</v>
      </c>
    </row>
    <row r="31" spans="2:12" x14ac:dyDescent="0.35">
      <c r="B31" s="123"/>
      <c r="C31" s="122"/>
      <c r="D31" s="11"/>
      <c r="E31" s="26"/>
      <c r="F31" s="11"/>
      <c r="G31" s="24"/>
      <c r="H31" s="24"/>
      <c r="I31" s="24"/>
      <c r="J31" s="24"/>
      <c r="K31" s="38"/>
    </row>
    <row r="32" spans="2:12" ht="15.5" x14ac:dyDescent="0.35">
      <c r="B32" s="121" t="s">
        <v>152</v>
      </c>
      <c r="C32" s="120"/>
      <c r="D32" s="119"/>
      <c r="E32" s="295"/>
      <c r="F32" s="119"/>
      <c r="G32" s="44"/>
      <c r="H32" s="118"/>
      <c r="I32" s="44"/>
      <c r="J32" s="117" t="s">
        <v>151</v>
      </c>
      <c r="K32" s="116">
        <f>K22+K30</f>
        <v>3082072.0876087705</v>
      </c>
    </row>
    <row r="33" spans="2:11" ht="15" thickBot="1" x14ac:dyDescent="0.4">
      <c r="B33" s="92"/>
      <c r="C33" s="11"/>
      <c r="D33" s="11"/>
      <c r="E33" s="26"/>
      <c r="F33" s="11"/>
      <c r="G33" s="11"/>
      <c r="H33" s="11"/>
      <c r="I33" s="11"/>
      <c r="J33" s="11"/>
      <c r="K33" s="75"/>
    </row>
    <row r="34" spans="2:11" ht="16" thickBot="1" x14ac:dyDescent="0.4">
      <c r="B34" s="458" t="s">
        <v>150</v>
      </c>
      <c r="C34" s="459"/>
      <c r="D34" s="459"/>
      <c r="E34" s="459"/>
      <c r="F34" s="459"/>
      <c r="G34" s="459"/>
      <c r="H34" s="459"/>
      <c r="I34" s="459"/>
      <c r="J34" s="459"/>
      <c r="K34" s="460"/>
    </row>
    <row r="35" spans="2:11" x14ac:dyDescent="0.35">
      <c r="B35" s="92"/>
      <c r="C35" s="11"/>
      <c r="D35" s="11"/>
      <c r="E35" s="11"/>
      <c r="F35" s="11"/>
      <c r="G35" s="11"/>
      <c r="H35" s="11"/>
      <c r="I35" s="11"/>
      <c r="J35" s="11"/>
      <c r="K35" s="75"/>
    </row>
    <row r="36" spans="2:11" ht="15.5" x14ac:dyDescent="0.35">
      <c r="B36" s="15" t="s">
        <v>149</v>
      </c>
      <c r="C36" s="41"/>
      <c r="D36" s="11"/>
      <c r="E36" s="11"/>
      <c r="F36" s="11"/>
      <c r="G36" s="11"/>
      <c r="H36" s="11"/>
      <c r="I36" s="11"/>
      <c r="J36" s="115" t="s">
        <v>148</v>
      </c>
      <c r="K36" s="301">
        <f>'3-3 Ranking-NOx'!F13</f>
        <v>1654.152192</v>
      </c>
    </row>
    <row r="37" spans="2:11" x14ac:dyDescent="0.35">
      <c r="B37" s="92"/>
      <c r="C37" s="11"/>
      <c r="D37" s="11"/>
      <c r="E37" s="11"/>
      <c r="F37" s="11"/>
      <c r="G37" s="11"/>
      <c r="H37" s="11"/>
      <c r="I37" s="11"/>
      <c r="J37" s="11"/>
      <c r="K37" s="75"/>
    </row>
    <row r="38" spans="2:11" ht="16" thickBot="1" x14ac:dyDescent="0.4">
      <c r="B38" s="114" t="s">
        <v>147</v>
      </c>
      <c r="C38" s="113"/>
      <c r="D38" s="111"/>
      <c r="E38" s="111"/>
      <c r="F38" s="111"/>
      <c r="G38" s="111"/>
      <c r="H38" s="112"/>
      <c r="I38" s="111"/>
      <c r="J38" s="110" t="s">
        <v>146</v>
      </c>
      <c r="K38" s="109">
        <f>K32/K36</f>
        <v>1863.2336870299116</v>
      </c>
    </row>
    <row r="39" spans="2:11" ht="15.5" thickTop="1" thickBot="1" x14ac:dyDescent="0.4"/>
    <row r="40" spans="2:11" x14ac:dyDescent="0.35">
      <c r="D40" s="108" t="s">
        <v>145</v>
      </c>
      <c r="E40" s="107"/>
      <c r="F40" s="106"/>
      <c r="G40" s="105"/>
    </row>
    <row r="41" spans="2:11" x14ac:dyDescent="0.35">
      <c r="D41" s="103" t="s">
        <v>144</v>
      </c>
      <c r="E41" s="104">
        <v>5</v>
      </c>
      <c r="F41" s="102" t="s">
        <v>110</v>
      </c>
    </row>
    <row r="42" spans="2:11" x14ac:dyDescent="0.35">
      <c r="D42" s="103" t="s">
        <v>143</v>
      </c>
      <c r="E42" s="293">
        <v>20</v>
      </c>
      <c r="F42" s="102" t="s">
        <v>141</v>
      </c>
    </row>
    <row r="43" spans="2:11" x14ac:dyDescent="0.35">
      <c r="D43" s="103" t="s">
        <v>142</v>
      </c>
      <c r="E43" s="294" t="s">
        <v>23</v>
      </c>
      <c r="F43" s="102" t="s">
        <v>141</v>
      </c>
    </row>
    <row r="44" spans="2:11" ht="15" thickBot="1" x14ac:dyDescent="0.4">
      <c r="D44" s="101" t="s">
        <v>140</v>
      </c>
      <c r="E44" s="100">
        <v>100</v>
      </c>
      <c r="F44" s="99" t="s">
        <v>110</v>
      </c>
    </row>
    <row r="47" spans="2:11" ht="16.5" x14ac:dyDescent="0.35">
      <c r="B47" s="386">
        <v>1</v>
      </c>
      <c r="C47" s="448" t="s">
        <v>374</v>
      </c>
      <c r="D47" s="448"/>
      <c r="E47" s="448"/>
      <c r="F47" s="448"/>
      <c r="G47" s="448"/>
      <c r="H47" s="448"/>
      <c r="I47" s="448"/>
      <c r="J47" s="448"/>
      <c r="K47" s="448"/>
    </row>
    <row r="48" spans="2:11" ht="16.5" x14ac:dyDescent="0.35">
      <c r="B48" s="386">
        <v>2</v>
      </c>
      <c r="C48" s="448" t="s">
        <v>384</v>
      </c>
      <c r="D48" s="448"/>
      <c r="E48" s="448"/>
      <c r="F48" s="448"/>
      <c r="G48" s="448"/>
      <c r="H48" s="448"/>
      <c r="I48" s="448"/>
      <c r="J48" s="448"/>
      <c r="K48" s="448"/>
    </row>
    <row r="49" spans="2:11" ht="34.5" customHeight="1" x14ac:dyDescent="0.35">
      <c r="B49" s="386">
        <v>3</v>
      </c>
      <c r="C49" s="448" t="s">
        <v>385</v>
      </c>
      <c r="D49" s="448"/>
      <c r="E49" s="448"/>
      <c r="F49" s="448"/>
      <c r="G49" s="448"/>
      <c r="H49" s="448"/>
      <c r="I49" s="448"/>
      <c r="J49" s="448"/>
      <c r="K49" s="448"/>
    </row>
    <row r="50" spans="2:11" ht="16.5" x14ac:dyDescent="0.35">
      <c r="B50" s="386">
        <v>4</v>
      </c>
      <c r="C50" s="448" t="s">
        <v>379</v>
      </c>
      <c r="D50" s="448"/>
      <c r="E50" s="448"/>
      <c r="F50" s="448"/>
      <c r="G50" s="448"/>
      <c r="H50" s="448"/>
      <c r="I50" s="448"/>
      <c r="J50" s="448"/>
      <c r="K50" s="448"/>
    </row>
    <row r="51" spans="2:11" ht="16.5" x14ac:dyDescent="0.35">
      <c r="B51" s="386">
        <v>5</v>
      </c>
      <c r="C51" s="448" t="s">
        <v>386</v>
      </c>
      <c r="D51" s="448"/>
      <c r="E51" s="448"/>
      <c r="F51" s="448"/>
      <c r="G51" s="448"/>
      <c r="H51" s="448"/>
      <c r="I51" s="448"/>
      <c r="J51" s="448"/>
      <c r="K51" s="448"/>
    </row>
    <row r="52" spans="2:11" ht="16.5" x14ac:dyDescent="0.35">
      <c r="B52" s="300"/>
    </row>
    <row r="53" spans="2:11" ht="16.5" x14ac:dyDescent="0.35">
      <c r="B53" s="300"/>
    </row>
  </sheetData>
  <mergeCells count="9">
    <mergeCell ref="C51:K51"/>
    <mergeCell ref="I3:K3"/>
    <mergeCell ref="B8:K8"/>
    <mergeCell ref="B34:K34"/>
    <mergeCell ref="B1:K1"/>
    <mergeCell ref="C47:K47"/>
    <mergeCell ref="C48:K48"/>
    <mergeCell ref="C49:K49"/>
    <mergeCell ref="C50:K50"/>
  </mergeCells>
  <printOptions horizontalCentered="1"/>
  <pageMargins left="0.38" right="0.4" top="0.48" bottom="0.75" header="0.3" footer="0.3"/>
  <pageSetup scale="52" firstPageNumber="45" orientation="portrait" useFirstPageNumber="1" r:id="rId1"/>
  <headerFooter>
    <oddFooter>&amp;L&amp;"Arial,Regular"&amp;8GVEA - North Pole Facility
PM2.5 NAA BACT Analysis&amp;C&amp;"Arial,Regular"&amp;8Page 61&amp;R&amp;"Arial,Regular"&amp;8August 2017</oddFoot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79998168889431442"/>
    <pageSetUpPr fitToPage="1"/>
  </sheetPr>
  <dimension ref="B1:W88"/>
  <sheetViews>
    <sheetView topLeftCell="A37" zoomScale="90" zoomScaleNormal="90" zoomScalePageLayoutView="70" workbookViewId="0">
      <selection activeCell="M47" sqref="M47"/>
    </sheetView>
  </sheetViews>
  <sheetFormatPr defaultRowHeight="14.5" x14ac:dyDescent="0.35"/>
  <cols>
    <col min="1" max="1" width="2.26953125" customWidth="1"/>
    <col min="2" max="2" width="5.26953125" customWidth="1"/>
    <col min="3" max="3" width="6" customWidth="1"/>
    <col min="4" max="4" width="63.7265625" customWidth="1"/>
    <col min="6" max="6" width="19.26953125" customWidth="1"/>
    <col min="7" max="7" width="13.453125" customWidth="1"/>
    <col min="8" max="8" width="24.1796875" customWidth="1"/>
    <col min="9" max="9" width="20.453125" customWidth="1"/>
    <col min="10" max="10" width="14.7265625" customWidth="1"/>
    <col min="11" max="11" width="17.26953125" customWidth="1"/>
    <col min="13" max="13" width="29.81640625" customWidth="1"/>
  </cols>
  <sheetData>
    <row r="1" spans="2:11" x14ac:dyDescent="0.35">
      <c r="B1" s="439" t="s">
        <v>363</v>
      </c>
      <c r="C1" s="439"/>
      <c r="D1" s="439"/>
      <c r="E1" s="439"/>
      <c r="F1" s="439"/>
      <c r="G1" s="439"/>
      <c r="H1" s="439"/>
      <c r="I1" s="439"/>
      <c r="J1" s="439"/>
      <c r="K1" s="439"/>
    </row>
    <row r="3" spans="2:11" ht="15" thickBot="1" x14ac:dyDescent="0.4">
      <c r="J3" s="440" t="s">
        <v>139</v>
      </c>
      <c r="K3" s="440"/>
    </row>
    <row r="4" spans="2:11" ht="19" thickTop="1" x14ac:dyDescent="0.45">
      <c r="B4" s="98" t="s">
        <v>206</v>
      </c>
      <c r="C4" s="97"/>
      <c r="D4" s="97"/>
      <c r="E4" s="96"/>
      <c r="F4" s="96"/>
      <c r="G4" s="96"/>
      <c r="H4" s="96"/>
      <c r="I4" s="96"/>
      <c r="J4" s="95" t="s">
        <v>137</v>
      </c>
      <c r="K4" s="250"/>
    </row>
    <row r="5" spans="2:11" x14ac:dyDescent="0.35">
      <c r="B5" s="92" t="s">
        <v>136</v>
      </c>
      <c r="C5" s="11"/>
      <c r="D5" s="93" t="s">
        <v>322</v>
      </c>
      <c r="E5" s="11"/>
      <c r="F5" s="11"/>
      <c r="G5" s="11"/>
      <c r="H5" s="11"/>
      <c r="I5" s="11"/>
      <c r="J5" s="40" t="s">
        <v>135</v>
      </c>
      <c r="K5" s="91"/>
    </row>
    <row r="6" spans="2:11" x14ac:dyDescent="0.35">
      <c r="B6" s="92"/>
      <c r="C6" s="11"/>
      <c r="D6" s="11"/>
      <c r="E6" s="11"/>
      <c r="F6" s="11"/>
      <c r="G6" s="11"/>
      <c r="H6" s="11"/>
      <c r="I6" s="11"/>
      <c r="J6" s="40" t="s">
        <v>133</v>
      </c>
      <c r="K6" s="91"/>
    </row>
    <row r="7" spans="2:11" ht="15" thickBot="1" x14ac:dyDescent="0.4">
      <c r="B7" s="90" t="s">
        <v>299</v>
      </c>
      <c r="C7" s="89"/>
      <c r="D7" s="89"/>
      <c r="E7" s="89"/>
      <c r="F7" s="89"/>
      <c r="G7" s="89"/>
      <c r="H7" s="89"/>
      <c r="I7" s="89"/>
      <c r="J7" s="88" t="s">
        <v>132</v>
      </c>
      <c r="K7" s="87"/>
    </row>
    <row r="8" spans="2:11" ht="36.75" customHeight="1" thickBot="1" x14ac:dyDescent="0.4">
      <c r="B8" s="442" t="s">
        <v>131</v>
      </c>
      <c r="C8" s="443"/>
      <c r="D8" s="443"/>
      <c r="E8" s="443"/>
      <c r="F8" s="443"/>
      <c r="G8" s="443"/>
      <c r="H8" s="443"/>
      <c r="I8" s="443"/>
      <c r="J8" s="443"/>
      <c r="K8" s="444"/>
    </row>
    <row r="9" spans="2:11" ht="19" thickTop="1" x14ac:dyDescent="0.45">
      <c r="B9" s="86" t="s">
        <v>130</v>
      </c>
      <c r="C9" s="82"/>
      <c r="D9" s="82"/>
      <c r="E9" s="85" t="s">
        <v>129</v>
      </c>
      <c r="F9" s="85" t="s">
        <v>128</v>
      </c>
      <c r="G9" s="84" t="s">
        <v>127</v>
      </c>
      <c r="H9" s="83" t="s">
        <v>126</v>
      </c>
      <c r="I9" s="83" t="s">
        <v>125</v>
      </c>
      <c r="J9" s="82"/>
      <c r="K9" s="81"/>
    </row>
    <row r="10" spans="2:11" ht="15.5" x14ac:dyDescent="0.35">
      <c r="B10" s="15"/>
      <c r="C10" s="11"/>
      <c r="D10" s="11"/>
      <c r="E10" s="80"/>
      <c r="F10" s="80"/>
      <c r="G10" s="79"/>
      <c r="H10" s="78"/>
      <c r="I10" s="78"/>
      <c r="J10" s="11"/>
      <c r="K10" s="77"/>
    </row>
    <row r="11" spans="2:11" ht="15.5" x14ac:dyDescent="0.35">
      <c r="B11" s="43" t="s">
        <v>124</v>
      </c>
      <c r="C11" s="41" t="s">
        <v>123</v>
      </c>
      <c r="D11" s="41"/>
      <c r="E11" s="11"/>
      <c r="F11" s="11"/>
      <c r="G11" s="11"/>
      <c r="H11" s="11"/>
      <c r="I11" s="11"/>
      <c r="J11" s="76"/>
      <c r="K11" s="75"/>
    </row>
    <row r="12" spans="2:11" ht="15.5" x14ac:dyDescent="0.35">
      <c r="B12" s="15"/>
      <c r="C12" s="41" t="s">
        <v>99</v>
      </c>
      <c r="D12" s="41" t="s">
        <v>122</v>
      </c>
      <c r="E12" s="11"/>
      <c r="F12" s="11"/>
      <c r="G12" s="11"/>
      <c r="H12" s="11"/>
      <c r="I12" s="11"/>
      <c r="J12" s="74"/>
      <c r="K12" s="47"/>
    </row>
    <row r="13" spans="2:11" ht="16.5" x14ac:dyDescent="0.35">
      <c r="B13" s="52"/>
      <c r="C13" s="37"/>
      <c r="D13" s="54" t="s">
        <v>323</v>
      </c>
      <c r="E13" s="294">
        <v>1</v>
      </c>
      <c r="F13" s="26" t="s">
        <v>63</v>
      </c>
      <c r="G13" s="329">
        <v>1197900</v>
      </c>
      <c r="H13" s="24">
        <f>E13*G13</f>
        <v>1197900</v>
      </c>
      <c r="I13" s="251" t="s">
        <v>258</v>
      </c>
      <c r="J13" s="23"/>
      <c r="K13" s="9"/>
    </row>
    <row r="14" spans="2:11" x14ac:dyDescent="0.35">
      <c r="B14" s="52"/>
      <c r="C14" s="37"/>
      <c r="D14" s="54" t="s">
        <v>387</v>
      </c>
      <c r="E14" s="325">
        <v>1</v>
      </c>
      <c r="F14" s="26" t="s">
        <v>63</v>
      </c>
      <c r="G14" s="329">
        <v>1706000</v>
      </c>
      <c r="H14" s="24">
        <f>E14*G14</f>
        <v>1706000</v>
      </c>
      <c r="I14" s="251"/>
      <c r="J14" s="23"/>
      <c r="K14" s="9"/>
    </row>
    <row r="15" spans="2:11" x14ac:dyDescent="0.35">
      <c r="B15" s="70"/>
      <c r="C15" s="69"/>
      <c r="D15" s="54"/>
      <c r="E15" s="62"/>
      <c r="F15" s="62"/>
      <c r="G15" s="68"/>
      <c r="H15" s="68"/>
      <c r="I15" s="68"/>
      <c r="J15" s="48" t="s">
        <v>105</v>
      </c>
      <c r="K15" s="47">
        <f>SUM(H13:H14)</f>
        <v>2903900</v>
      </c>
    </row>
    <row r="16" spans="2:11" ht="15.5" x14ac:dyDescent="0.35">
      <c r="B16" s="70"/>
      <c r="C16" s="72" t="s">
        <v>96</v>
      </c>
      <c r="D16" s="72" t="s">
        <v>121</v>
      </c>
      <c r="E16" s="62"/>
      <c r="F16" s="62"/>
      <c r="G16" s="68"/>
      <c r="H16" s="68"/>
      <c r="I16" s="68"/>
      <c r="J16" s="48"/>
      <c r="K16" s="38"/>
    </row>
    <row r="17" spans="2:11" ht="16.5" x14ac:dyDescent="0.35">
      <c r="B17" s="70"/>
      <c r="C17" s="69"/>
      <c r="D17" s="54" t="s">
        <v>324</v>
      </c>
      <c r="E17" s="294"/>
      <c r="F17" s="62" t="s">
        <v>63</v>
      </c>
      <c r="G17" s="329"/>
      <c r="H17" s="252" t="s">
        <v>259</v>
      </c>
      <c r="I17" s="253" t="s">
        <v>258</v>
      </c>
      <c r="J17" s="23"/>
      <c r="K17" s="38"/>
    </row>
    <row r="18" spans="2:11" x14ac:dyDescent="0.35">
      <c r="B18" s="67"/>
      <c r="C18" s="66"/>
      <c r="D18" s="64"/>
      <c r="E18" s="65"/>
      <c r="F18" s="65"/>
      <c r="G18" s="63"/>
      <c r="H18" s="63"/>
      <c r="I18" s="63"/>
      <c r="J18" s="48" t="s">
        <v>105</v>
      </c>
      <c r="K18" s="47">
        <f>SUM(H17:H17)</f>
        <v>0</v>
      </c>
    </row>
    <row r="19" spans="2:11" ht="15.5" x14ac:dyDescent="0.35">
      <c r="B19" s="52"/>
      <c r="C19" s="41" t="s">
        <v>94</v>
      </c>
      <c r="D19" s="41" t="s">
        <v>119</v>
      </c>
      <c r="E19" s="26"/>
      <c r="F19" s="26"/>
      <c r="G19" s="24"/>
      <c r="H19" s="24"/>
      <c r="I19" s="24"/>
      <c r="J19" s="23"/>
      <c r="K19" s="38"/>
    </row>
    <row r="20" spans="2:11" ht="16.5" x14ac:dyDescent="0.35">
      <c r="B20" s="52"/>
      <c r="C20" s="37"/>
      <c r="D20" s="50" t="s">
        <v>325</v>
      </c>
      <c r="E20" s="139">
        <v>0.1</v>
      </c>
      <c r="F20" s="26" t="s">
        <v>117</v>
      </c>
      <c r="G20" s="330">
        <f>G13*E20</f>
        <v>119790</v>
      </c>
      <c r="H20" s="24">
        <f>G20</f>
        <v>119790</v>
      </c>
      <c r="I20" s="255" t="s">
        <v>258</v>
      </c>
      <c r="J20" s="23"/>
      <c r="K20" s="38"/>
    </row>
    <row r="21" spans="2:11" x14ac:dyDescent="0.35">
      <c r="B21" s="56"/>
      <c r="C21" s="54"/>
      <c r="D21" s="54"/>
      <c r="E21" s="55"/>
      <c r="F21" s="55"/>
      <c r="G21" s="54"/>
      <c r="H21" s="53"/>
      <c r="I21" s="53"/>
      <c r="J21" s="48" t="s">
        <v>105</v>
      </c>
      <c r="K21" s="47">
        <f>SUM(H20:H20)</f>
        <v>119790</v>
      </c>
    </row>
    <row r="22" spans="2:11" ht="15.5" x14ac:dyDescent="0.35">
      <c r="B22" s="52"/>
      <c r="C22" s="41" t="s">
        <v>91</v>
      </c>
      <c r="D22" s="41" t="s">
        <v>116</v>
      </c>
      <c r="E22" s="26"/>
      <c r="F22" s="26"/>
      <c r="G22" s="11"/>
      <c r="H22" s="24"/>
      <c r="I22" s="24"/>
      <c r="J22" s="23"/>
      <c r="K22" s="38"/>
    </row>
    <row r="23" spans="2:11" x14ac:dyDescent="0.35">
      <c r="B23" s="60"/>
      <c r="C23" s="50"/>
      <c r="D23" s="54" t="s">
        <v>260</v>
      </c>
      <c r="E23" s="35">
        <v>2075</v>
      </c>
      <c r="F23" s="51" t="s">
        <v>113</v>
      </c>
      <c r="G23" s="61">
        <v>68</v>
      </c>
      <c r="H23" s="49"/>
      <c r="I23" s="49">
        <f>E23*G23</f>
        <v>141100</v>
      </c>
      <c r="J23" s="58"/>
      <c r="K23" s="57"/>
    </row>
    <row r="24" spans="2:11" x14ac:dyDescent="0.35">
      <c r="B24" s="60"/>
      <c r="C24" s="50"/>
      <c r="D24" s="54" t="s">
        <v>114</v>
      </c>
      <c r="E24" s="35">
        <v>4340</v>
      </c>
      <c r="F24" s="51" t="s">
        <v>113</v>
      </c>
      <c r="G24" s="61">
        <v>105</v>
      </c>
      <c r="H24" s="49"/>
      <c r="I24" s="49">
        <f>E24*G24</f>
        <v>455700</v>
      </c>
      <c r="J24" s="58"/>
      <c r="K24" s="57"/>
    </row>
    <row r="25" spans="2:11" x14ac:dyDescent="0.35">
      <c r="B25" s="56"/>
      <c r="C25" s="54"/>
      <c r="D25" s="54"/>
      <c r="E25" s="55"/>
      <c r="F25" s="55"/>
      <c r="G25" s="54"/>
      <c r="H25" s="53"/>
      <c r="I25" s="53"/>
      <c r="J25" s="48" t="s">
        <v>105</v>
      </c>
      <c r="K25" s="47">
        <f>SUM(I23:I24)</f>
        <v>596800</v>
      </c>
    </row>
    <row r="26" spans="2:11" ht="15.5" x14ac:dyDescent="0.35">
      <c r="B26" s="52"/>
      <c r="C26" s="41" t="s">
        <v>89</v>
      </c>
      <c r="D26" s="41" t="s">
        <v>112</v>
      </c>
      <c r="E26" s="11"/>
      <c r="F26" s="11"/>
      <c r="G26" s="11"/>
      <c r="H26" s="24"/>
      <c r="I26" s="24"/>
      <c r="J26" s="23"/>
      <c r="K26" s="38"/>
    </row>
    <row r="27" spans="2:11" x14ac:dyDescent="0.35">
      <c r="B27" s="60"/>
      <c r="C27" s="50"/>
      <c r="D27" s="50" t="s">
        <v>111</v>
      </c>
      <c r="E27" s="59">
        <v>5.0000000000000001E-3</v>
      </c>
      <c r="F27" s="26" t="s">
        <v>117</v>
      </c>
      <c r="G27" s="254">
        <f>G13*E27</f>
        <v>5989.5</v>
      </c>
      <c r="H27" s="49">
        <f>E27*G13</f>
        <v>5989.5</v>
      </c>
      <c r="I27" s="256" t="s">
        <v>258</v>
      </c>
      <c r="J27" s="58"/>
      <c r="K27" s="57"/>
    </row>
    <row r="28" spans="2:11" x14ac:dyDescent="0.35">
      <c r="B28" s="56"/>
      <c r="C28" s="54"/>
      <c r="D28" s="54"/>
      <c r="E28" s="55"/>
      <c r="F28" s="55"/>
      <c r="G28" s="54"/>
      <c r="H28" s="53"/>
      <c r="I28" s="53"/>
      <c r="J28" s="48" t="s">
        <v>105</v>
      </c>
      <c r="K28" s="47">
        <f>SUM(H27)</f>
        <v>5989.5</v>
      </c>
    </row>
    <row r="29" spans="2:11" ht="15.5" x14ac:dyDescent="0.35">
      <c r="B29" s="52"/>
      <c r="C29" s="41" t="s">
        <v>86</v>
      </c>
      <c r="D29" s="41" t="s">
        <v>109</v>
      </c>
      <c r="E29" s="26"/>
      <c r="F29" s="26"/>
      <c r="G29" s="11"/>
      <c r="H29" s="24"/>
      <c r="I29" s="24"/>
      <c r="J29" s="23"/>
      <c r="K29" s="38"/>
    </row>
    <row r="30" spans="2:11" x14ac:dyDescent="0.35">
      <c r="B30" s="52"/>
      <c r="C30" s="37"/>
      <c r="D30" s="50" t="s">
        <v>108</v>
      </c>
      <c r="E30" s="35">
        <v>10</v>
      </c>
      <c r="F30" s="51" t="s">
        <v>106</v>
      </c>
      <c r="G30" s="35">
        <v>1800</v>
      </c>
      <c r="H30" s="49"/>
      <c r="I30" s="49">
        <f>G30*E30</f>
        <v>18000</v>
      </c>
      <c r="J30" s="23"/>
      <c r="K30" s="38"/>
    </row>
    <row r="31" spans="2:11" x14ac:dyDescent="0.35">
      <c r="B31" s="52"/>
      <c r="C31" s="37"/>
      <c r="D31" s="50" t="s">
        <v>107</v>
      </c>
      <c r="E31" s="35">
        <v>8</v>
      </c>
      <c r="F31" s="51" t="s">
        <v>106</v>
      </c>
      <c r="G31" s="35">
        <v>2500</v>
      </c>
      <c r="H31" s="49"/>
      <c r="I31" s="49">
        <f>G31*E31</f>
        <v>20000</v>
      </c>
      <c r="J31" s="23"/>
      <c r="K31" s="38"/>
    </row>
    <row r="32" spans="2:11" x14ac:dyDescent="0.35">
      <c r="B32" s="52"/>
      <c r="C32" s="37"/>
      <c r="D32" s="37"/>
      <c r="E32" s="51"/>
      <c r="F32" s="51"/>
      <c r="G32" s="50"/>
      <c r="H32" s="49"/>
      <c r="I32" s="49"/>
      <c r="J32" s="48" t="s">
        <v>105</v>
      </c>
      <c r="K32" s="47">
        <f>SUM(I30:I31)</f>
        <v>38000</v>
      </c>
    </row>
    <row r="33" spans="2:11" ht="15.5" x14ac:dyDescent="0.35">
      <c r="B33" s="21" t="s">
        <v>104</v>
      </c>
      <c r="C33" s="46"/>
      <c r="D33" s="46"/>
      <c r="E33" s="445"/>
      <c r="F33" s="445"/>
      <c r="G33" s="445"/>
      <c r="H33" s="445"/>
      <c r="I33" s="44"/>
      <c r="J33" s="17" t="s">
        <v>102</v>
      </c>
      <c r="K33" s="29">
        <f>K15+K18+K21+K25+K28+K32</f>
        <v>3664479.5</v>
      </c>
    </row>
    <row r="34" spans="2:11" ht="15.5" x14ac:dyDescent="0.35">
      <c r="B34" s="13"/>
      <c r="C34" s="12"/>
      <c r="D34" s="12"/>
      <c r="E34" s="26"/>
      <c r="F34" s="26"/>
      <c r="G34" s="11"/>
      <c r="H34" s="24"/>
      <c r="I34" s="24"/>
      <c r="J34" s="10"/>
      <c r="K34" s="38"/>
    </row>
    <row r="35" spans="2:11" ht="17.5" x14ac:dyDescent="0.35">
      <c r="B35" s="43" t="s">
        <v>101</v>
      </c>
      <c r="C35" s="41" t="s">
        <v>326</v>
      </c>
      <c r="D35" s="41"/>
      <c r="E35" s="26"/>
      <c r="F35" s="26"/>
      <c r="G35" s="11"/>
      <c r="H35" s="24"/>
      <c r="I35" s="24"/>
      <c r="J35" s="10"/>
      <c r="K35" s="38"/>
    </row>
    <row r="36" spans="2:11" ht="15.5" x14ac:dyDescent="0.35">
      <c r="B36" s="15"/>
      <c r="C36" s="41" t="s">
        <v>99</v>
      </c>
      <c r="D36" s="41" t="s">
        <v>98</v>
      </c>
      <c r="E36" s="35"/>
      <c r="F36" s="26" t="s">
        <v>97</v>
      </c>
      <c r="G36" s="35"/>
      <c r="H36" s="24">
        <f>E36*G36</f>
        <v>0</v>
      </c>
      <c r="I36" s="24"/>
      <c r="J36" s="23"/>
      <c r="K36" s="38">
        <f>H36+I36</f>
        <v>0</v>
      </c>
    </row>
    <row r="37" spans="2:11" ht="15.5" x14ac:dyDescent="0.35">
      <c r="B37" s="15"/>
      <c r="C37" s="41" t="s">
        <v>96</v>
      </c>
      <c r="D37" s="41" t="s">
        <v>95</v>
      </c>
      <c r="E37" s="35"/>
      <c r="F37" s="26" t="s">
        <v>92</v>
      </c>
      <c r="G37" s="35"/>
      <c r="H37" s="24">
        <f t="shared" ref="H37:H42" si="0">E37*G37</f>
        <v>0</v>
      </c>
      <c r="I37" s="24"/>
      <c r="J37" s="23"/>
      <c r="K37" s="38">
        <f t="shared" ref="K37:K46" si="1">H37+I37</f>
        <v>0</v>
      </c>
    </row>
    <row r="38" spans="2:11" ht="15.5" x14ac:dyDescent="0.35">
      <c r="B38" s="15"/>
      <c r="C38" s="41" t="s">
        <v>94</v>
      </c>
      <c r="D38" s="41" t="s">
        <v>93</v>
      </c>
      <c r="E38" s="35"/>
      <c r="F38" s="26" t="s">
        <v>92</v>
      </c>
      <c r="G38" s="35"/>
      <c r="H38" s="24">
        <f t="shared" si="0"/>
        <v>0</v>
      </c>
      <c r="I38" s="24"/>
      <c r="J38" s="23"/>
      <c r="K38" s="38">
        <f t="shared" si="1"/>
        <v>0</v>
      </c>
    </row>
    <row r="39" spans="2:11" ht="15.5" x14ac:dyDescent="0.35">
      <c r="B39" s="15"/>
      <c r="C39" s="41" t="s">
        <v>91</v>
      </c>
      <c r="D39" s="41" t="s">
        <v>90</v>
      </c>
      <c r="E39" s="35"/>
      <c r="F39" s="26" t="s">
        <v>84</v>
      </c>
      <c r="G39" s="35"/>
      <c r="H39" s="24">
        <f t="shared" si="0"/>
        <v>0</v>
      </c>
      <c r="I39" s="24"/>
      <c r="J39" s="23"/>
      <c r="K39" s="38">
        <f t="shared" si="1"/>
        <v>0</v>
      </c>
    </row>
    <row r="40" spans="2:11" ht="15.5" x14ac:dyDescent="0.35">
      <c r="B40" s="15"/>
      <c r="C40" s="41" t="s">
        <v>89</v>
      </c>
      <c r="D40" s="41" t="s">
        <v>88</v>
      </c>
      <c r="E40" s="35"/>
      <c r="F40" s="26" t="s">
        <v>87</v>
      </c>
      <c r="G40" s="35"/>
      <c r="H40" s="24">
        <f t="shared" si="0"/>
        <v>0</v>
      </c>
      <c r="I40" s="24"/>
      <c r="J40" s="23"/>
      <c r="K40" s="38">
        <f t="shared" si="1"/>
        <v>0</v>
      </c>
    </row>
    <row r="41" spans="2:11" ht="15.5" x14ac:dyDescent="0.35">
      <c r="B41" s="15"/>
      <c r="C41" s="41" t="s">
        <v>86</v>
      </c>
      <c r="D41" s="41" t="s">
        <v>85</v>
      </c>
      <c r="E41" s="35"/>
      <c r="F41" s="26" t="s">
        <v>84</v>
      </c>
      <c r="G41" s="35"/>
      <c r="H41" s="24">
        <f t="shared" si="0"/>
        <v>0</v>
      </c>
      <c r="I41" s="24"/>
      <c r="J41" s="23"/>
      <c r="K41" s="38">
        <f t="shared" si="1"/>
        <v>0</v>
      </c>
    </row>
    <row r="42" spans="2:11" ht="15.5" x14ac:dyDescent="0.35">
      <c r="B42" s="15"/>
      <c r="C42" s="41" t="s">
        <v>83</v>
      </c>
      <c r="D42" s="41" t="s">
        <v>82</v>
      </c>
      <c r="E42" s="35"/>
      <c r="F42" s="26" t="s">
        <v>81</v>
      </c>
      <c r="G42" s="35"/>
      <c r="H42" s="24">
        <f t="shared" si="0"/>
        <v>0</v>
      </c>
      <c r="I42" s="24"/>
      <c r="J42" s="23"/>
      <c r="K42" s="38">
        <f t="shared" si="1"/>
        <v>0</v>
      </c>
    </row>
    <row r="43" spans="2:11" ht="15.5" x14ac:dyDescent="0.35">
      <c r="B43" s="15"/>
      <c r="C43" s="41" t="s">
        <v>80</v>
      </c>
      <c r="D43" s="41" t="s">
        <v>79</v>
      </c>
      <c r="E43" s="26"/>
      <c r="F43" s="26"/>
      <c r="G43" s="10"/>
      <c r="H43" s="24"/>
      <c r="I43" s="24"/>
      <c r="J43" s="23"/>
      <c r="K43" s="38"/>
    </row>
    <row r="44" spans="2:11" ht="15.5" x14ac:dyDescent="0.35">
      <c r="B44" s="15"/>
      <c r="C44" s="41"/>
      <c r="D44" s="12" t="s">
        <v>78</v>
      </c>
      <c r="F44" s="40" t="s">
        <v>77</v>
      </c>
      <c r="G44" s="36"/>
      <c r="H44" s="42"/>
      <c r="I44" s="24">
        <f>G44*I23</f>
        <v>0</v>
      </c>
      <c r="J44" s="23"/>
      <c r="K44" s="38">
        <f t="shared" si="1"/>
        <v>0</v>
      </c>
    </row>
    <row r="45" spans="2:11" ht="15.5" x14ac:dyDescent="0.35">
      <c r="B45" s="15"/>
      <c r="C45" s="41"/>
      <c r="D45" s="12" t="s">
        <v>76</v>
      </c>
      <c r="F45" s="40" t="s">
        <v>75</v>
      </c>
      <c r="G45" s="36"/>
      <c r="H45" s="42"/>
      <c r="I45" s="24">
        <f>G45*I24</f>
        <v>0</v>
      </c>
      <c r="J45" s="23"/>
      <c r="K45" s="38">
        <f t="shared" si="1"/>
        <v>0</v>
      </c>
    </row>
    <row r="46" spans="2:11" ht="15.5" x14ac:dyDescent="0.35">
      <c r="B46" s="15"/>
      <c r="C46" s="41"/>
      <c r="D46" s="12" t="s">
        <v>74</v>
      </c>
      <c r="F46" s="40" t="s">
        <v>73</v>
      </c>
      <c r="G46" s="257"/>
      <c r="H46" s="24"/>
      <c r="I46" s="24">
        <f>G46*K15</f>
        <v>0</v>
      </c>
      <c r="J46" s="23"/>
      <c r="K46" s="38">
        <f t="shared" si="1"/>
        <v>0</v>
      </c>
    </row>
    <row r="47" spans="2:11" ht="15.5" x14ac:dyDescent="0.35">
      <c r="B47" s="21" t="s">
        <v>261</v>
      </c>
      <c r="C47" s="39"/>
      <c r="D47" s="39"/>
      <c r="E47" s="445"/>
      <c r="F47" s="445"/>
      <c r="G47" s="445"/>
      <c r="H47" s="445"/>
      <c r="I47" s="30"/>
      <c r="J47" s="17" t="s">
        <v>71</v>
      </c>
      <c r="K47" s="29">
        <f>K15</f>
        <v>2903900</v>
      </c>
    </row>
    <row r="48" spans="2:11" ht="15.5" x14ac:dyDescent="0.35">
      <c r="B48" s="13"/>
      <c r="C48" s="12"/>
      <c r="D48" s="12"/>
      <c r="E48" s="11"/>
      <c r="F48" s="11"/>
      <c r="G48" s="11"/>
      <c r="H48" s="10"/>
      <c r="I48" s="10"/>
      <c r="J48" s="10"/>
      <c r="K48" s="38"/>
    </row>
    <row r="49" spans="2:11" ht="15.5" x14ac:dyDescent="0.35">
      <c r="B49" s="13"/>
      <c r="C49" s="12"/>
      <c r="D49" s="12"/>
      <c r="E49" s="11"/>
      <c r="F49" s="11"/>
      <c r="G49" s="11"/>
      <c r="H49" s="10"/>
      <c r="I49" s="10"/>
      <c r="J49" s="10"/>
      <c r="K49" s="38"/>
    </row>
    <row r="50" spans="2:11" ht="15.5" x14ac:dyDescent="0.35">
      <c r="B50" s="21" t="s">
        <v>70</v>
      </c>
      <c r="C50" s="34"/>
      <c r="D50" s="34"/>
      <c r="E50" s="445"/>
      <c r="F50" s="445"/>
      <c r="G50" s="445"/>
      <c r="H50" s="445"/>
      <c r="I50" s="31"/>
      <c r="J50" s="17" t="s">
        <v>69</v>
      </c>
      <c r="K50" s="29">
        <f>K33+K47</f>
        <v>6568379.5</v>
      </c>
    </row>
    <row r="51" spans="2:11" ht="15.5" x14ac:dyDescent="0.35">
      <c r="B51" s="15"/>
      <c r="C51" s="12"/>
      <c r="D51" s="12"/>
      <c r="E51" s="11"/>
      <c r="F51" s="11"/>
      <c r="G51" s="37"/>
      <c r="H51" s="10"/>
      <c r="I51" s="10"/>
      <c r="J51" s="10"/>
      <c r="K51" s="9"/>
    </row>
    <row r="52" spans="2:11" ht="15.5" x14ac:dyDescent="0.35">
      <c r="B52" s="13"/>
      <c r="C52" s="12"/>
      <c r="D52" s="12"/>
      <c r="E52" s="11"/>
      <c r="F52" s="11"/>
      <c r="G52" s="11"/>
      <c r="H52" s="10"/>
      <c r="I52" s="10"/>
      <c r="J52" s="10"/>
      <c r="K52" s="9"/>
    </row>
    <row r="53" spans="2:11" ht="15.5" x14ac:dyDescent="0.35">
      <c r="B53" s="15" t="s">
        <v>68</v>
      </c>
      <c r="C53" s="12"/>
      <c r="D53" s="12"/>
      <c r="E53" s="11"/>
      <c r="F53" s="11"/>
      <c r="G53" s="11"/>
      <c r="H53" s="10"/>
      <c r="I53" s="10"/>
      <c r="J53" s="10"/>
      <c r="K53" s="9"/>
    </row>
    <row r="54" spans="2:11" ht="15.5" x14ac:dyDescent="0.35">
      <c r="B54" s="28" t="s">
        <v>67</v>
      </c>
      <c r="C54" s="12" t="s">
        <v>66</v>
      </c>
      <c r="D54" s="12"/>
      <c r="E54" s="36">
        <v>0.18</v>
      </c>
      <c r="F54" s="26" t="s">
        <v>54</v>
      </c>
      <c r="G54" s="25"/>
      <c r="H54" s="10"/>
      <c r="I54" s="24">
        <f>E54*K50</f>
        <v>1182308.31</v>
      </c>
      <c r="J54" s="23"/>
      <c r="K54" s="22"/>
    </row>
    <row r="55" spans="2:11" ht="15.5" x14ac:dyDescent="0.35">
      <c r="B55" s="28" t="s">
        <v>65</v>
      </c>
      <c r="C55" s="12" t="s">
        <v>64</v>
      </c>
      <c r="D55" s="12"/>
      <c r="E55" s="35">
        <v>1</v>
      </c>
      <c r="F55" s="26" t="s">
        <v>63</v>
      </c>
      <c r="G55" s="246">
        <v>10000</v>
      </c>
      <c r="H55" s="10"/>
      <c r="I55" s="24">
        <f>E55*G55</f>
        <v>10000</v>
      </c>
      <c r="J55" s="23"/>
      <c r="K55" s="22"/>
    </row>
    <row r="56" spans="2:11" ht="15.5" x14ac:dyDescent="0.35">
      <c r="B56" s="21" t="s">
        <v>62</v>
      </c>
      <c r="C56" s="34"/>
      <c r="D56" s="34"/>
      <c r="E56" s="32"/>
      <c r="F56" s="33"/>
      <c r="G56" s="32"/>
      <c r="H56" s="31"/>
      <c r="I56" s="30"/>
      <c r="J56" s="17" t="s">
        <v>61</v>
      </c>
      <c r="K56" s="29">
        <f>SUM(I54:I55)</f>
        <v>1192308.31</v>
      </c>
    </row>
    <row r="57" spans="2:11" ht="15.5" x14ac:dyDescent="0.35">
      <c r="B57" s="15"/>
      <c r="C57" s="12"/>
      <c r="D57" s="12"/>
      <c r="E57" s="11"/>
      <c r="F57" s="26"/>
      <c r="G57" s="11"/>
      <c r="H57" s="10"/>
      <c r="I57" s="24"/>
      <c r="J57" s="14"/>
      <c r="K57" s="9"/>
    </row>
    <row r="58" spans="2:11" ht="15.5" x14ac:dyDescent="0.35">
      <c r="B58" s="13"/>
      <c r="C58" s="12"/>
      <c r="D58" s="12"/>
      <c r="E58" s="11"/>
      <c r="F58" s="26"/>
      <c r="G58" s="11"/>
      <c r="H58" s="10"/>
      <c r="I58" s="24"/>
      <c r="J58" s="10"/>
      <c r="K58" s="9"/>
    </row>
    <row r="59" spans="2:11" ht="15.5" x14ac:dyDescent="0.35">
      <c r="B59" s="15" t="s">
        <v>60</v>
      </c>
      <c r="C59" s="12"/>
      <c r="D59" s="12"/>
      <c r="E59" s="11"/>
      <c r="F59" s="26"/>
      <c r="G59" s="11"/>
      <c r="H59" s="10"/>
      <c r="I59" s="24"/>
      <c r="J59" s="10"/>
      <c r="K59" s="9"/>
    </row>
    <row r="60" spans="2:11" ht="17.5" x14ac:dyDescent="0.35">
      <c r="B60" s="28" t="s">
        <v>59</v>
      </c>
      <c r="C60" s="12" t="s">
        <v>327</v>
      </c>
      <c r="D60" s="12"/>
      <c r="E60" s="11"/>
      <c r="F60" s="26" t="s">
        <v>54</v>
      </c>
      <c r="G60" s="11"/>
      <c r="H60" s="10"/>
      <c r="I60" s="24"/>
      <c r="J60" s="23"/>
      <c r="K60" s="298" t="s">
        <v>57</v>
      </c>
    </row>
    <row r="61" spans="2:11" ht="15.5" x14ac:dyDescent="0.35">
      <c r="B61" s="28" t="s">
        <v>56</v>
      </c>
      <c r="C61" s="12" t="s">
        <v>55</v>
      </c>
      <c r="D61" s="12"/>
      <c r="E61" s="27">
        <v>0.3</v>
      </c>
      <c r="F61" s="26" t="s">
        <v>267</v>
      </c>
      <c r="G61" s="25"/>
      <c r="H61" s="10"/>
      <c r="I61" s="24">
        <f>E61*K33</f>
        <v>1099343.8499999999</v>
      </c>
      <c r="J61" s="23"/>
      <c r="K61" s="22"/>
    </row>
    <row r="62" spans="2:11" ht="15.5" x14ac:dyDescent="0.35">
      <c r="B62" s="21" t="s">
        <v>53</v>
      </c>
      <c r="C62" s="20"/>
      <c r="D62" s="20"/>
      <c r="E62" s="19"/>
      <c r="F62" s="19"/>
      <c r="G62" s="19"/>
      <c r="H62" s="18"/>
      <c r="I62" s="18"/>
      <c r="J62" s="17" t="s">
        <v>52</v>
      </c>
      <c r="K62" s="16">
        <f>SUM(I60:I61)</f>
        <v>1099343.8499999999</v>
      </c>
    </row>
    <row r="63" spans="2:11" ht="15.5" x14ac:dyDescent="0.35">
      <c r="B63" s="15"/>
      <c r="C63" s="12"/>
      <c r="D63" s="12"/>
      <c r="E63" s="11"/>
      <c r="F63" s="11"/>
      <c r="G63" s="11"/>
      <c r="H63" s="10"/>
      <c r="I63" s="10"/>
      <c r="J63" s="14"/>
      <c r="K63" s="9"/>
    </row>
    <row r="64" spans="2:11" ht="15.5" x14ac:dyDescent="0.35">
      <c r="B64" s="13"/>
      <c r="C64" s="12"/>
      <c r="D64" s="12"/>
      <c r="E64" s="11"/>
      <c r="F64" s="11"/>
      <c r="G64" s="11"/>
      <c r="H64" s="10"/>
      <c r="I64" s="10"/>
      <c r="J64" s="10"/>
      <c r="K64" s="9"/>
    </row>
    <row r="65" spans="2:23" ht="34.5" customHeight="1" thickBot="1" x14ac:dyDescent="0.5">
      <c r="B65" s="8" t="s">
        <v>51</v>
      </c>
      <c r="C65" s="7"/>
      <c r="D65" s="7"/>
      <c r="E65" s="7"/>
      <c r="F65" s="7"/>
      <c r="G65" s="6"/>
      <c r="H65" s="5"/>
      <c r="I65" s="4"/>
      <c r="J65" s="3" t="s">
        <v>50</v>
      </c>
      <c r="K65" s="2">
        <f>K50+K56+K62</f>
        <v>8860031.6600000001</v>
      </c>
    </row>
    <row r="66" spans="2:23" ht="15" thickTop="1" x14ac:dyDescent="0.35"/>
    <row r="68" spans="2:23" ht="16.5" x14ac:dyDescent="0.35">
      <c r="B68" s="386">
        <v>1</v>
      </c>
      <c r="C68" s="462" t="s">
        <v>388</v>
      </c>
      <c r="D68" s="462"/>
      <c r="E68" s="462"/>
      <c r="F68" s="462"/>
      <c r="G68" s="462"/>
      <c r="H68" s="462"/>
      <c r="I68" s="462"/>
      <c r="J68" s="462"/>
      <c r="K68" s="462"/>
      <c r="L68" s="26"/>
      <c r="M68" s="26"/>
      <c r="N68" s="26"/>
      <c r="O68" s="26"/>
      <c r="P68" s="26"/>
      <c r="Q68" s="26"/>
      <c r="R68" s="26"/>
      <c r="S68" s="26"/>
    </row>
    <row r="69" spans="2:23" ht="51.75" customHeight="1" x14ac:dyDescent="0.35">
      <c r="B69" s="386">
        <v>2</v>
      </c>
      <c r="C69" s="462" t="s">
        <v>389</v>
      </c>
      <c r="D69" s="462"/>
      <c r="E69" s="462"/>
      <c r="F69" s="462"/>
      <c r="G69" s="462"/>
      <c r="H69" s="462"/>
      <c r="I69" s="462"/>
      <c r="J69" s="462"/>
      <c r="K69" s="462"/>
      <c r="L69" s="321"/>
      <c r="M69" s="321"/>
      <c r="N69" s="321"/>
      <c r="O69" s="321"/>
      <c r="P69" s="321"/>
      <c r="Q69" s="321"/>
      <c r="R69" s="321"/>
      <c r="S69" s="321"/>
      <c r="T69" s="321"/>
      <c r="U69" s="321"/>
      <c r="V69" s="321"/>
      <c r="W69" s="321"/>
    </row>
    <row r="70" spans="2:23" ht="36" customHeight="1" x14ac:dyDescent="0.35">
      <c r="B70" s="386">
        <v>3</v>
      </c>
      <c r="C70" s="462" t="s">
        <v>390</v>
      </c>
      <c r="D70" s="462"/>
      <c r="E70" s="462"/>
      <c r="F70" s="462"/>
      <c r="G70" s="462"/>
      <c r="H70" s="462"/>
      <c r="I70" s="462"/>
      <c r="J70" s="462"/>
      <c r="K70" s="462"/>
      <c r="L70" s="310"/>
      <c r="M70" s="310"/>
      <c r="N70" s="310"/>
      <c r="O70" s="310"/>
      <c r="P70" s="310"/>
      <c r="Q70" s="310"/>
      <c r="R70" s="310"/>
      <c r="S70" s="310"/>
      <c r="T70" s="310"/>
      <c r="U70" s="310"/>
      <c r="V70" s="310"/>
      <c r="W70" s="310"/>
    </row>
    <row r="71" spans="2:23" ht="36.75" customHeight="1" x14ac:dyDescent="0.35">
      <c r="B71" s="386">
        <v>4</v>
      </c>
      <c r="C71" s="462" t="s">
        <v>391</v>
      </c>
      <c r="D71" s="462"/>
      <c r="E71" s="462"/>
      <c r="F71" s="462"/>
      <c r="G71" s="462"/>
      <c r="H71" s="462"/>
      <c r="I71" s="462"/>
      <c r="J71" s="462"/>
      <c r="K71" s="462"/>
      <c r="L71" s="310"/>
      <c r="M71" s="310"/>
      <c r="N71" s="310"/>
      <c r="O71" s="310"/>
      <c r="P71" s="310"/>
      <c r="Q71" s="310"/>
      <c r="R71" s="310"/>
      <c r="S71" s="310"/>
      <c r="T71" s="310"/>
      <c r="U71" s="310"/>
      <c r="V71" s="310"/>
      <c r="W71" s="310"/>
    </row>
    <row r="72" spans="2:23" ht="50.25" customHeight="1" x14ac:dyDescent="0.35">
      <c r="B72" s="386">
        <v>5</v>
      </c>
      <c r="C72" s="462" t="s">
        <v>392</v>
      </c>
      <c r="D72" s="462"/>
      <c r="E72" s="462"/>
      <c r="F72" s="462"/>
      <c r="G72" s="462"/>
      <c r="H72" s="462"/>
      <c r="I72" s="462"/>
      <c r="J72" s="462"/>
      <c r="K72" s="462"/>
    </row>
    <row r="73" spans="2:23" ht="16.5" x14ac:dyDescent="0.35">
      <c r="B73" s="386">
        <v>6</v>
      </c>
      <c r="C73" s="462" t="s">
        <v>393</v>
      </c>
      <c r="D73" s="462"/>
      <c r="E73" s="462"/>
      <c r="F73" s="462"/>
      <c r="G73" s="462"/>
      <c r="H73" s="462"/>
      <c r="I73" s="462"/>
      <c r="J73" s="462"/>
      <c r="K73" s="462"/>
    </row>
    <row r="74" spans="2:23" ht="17.25" customHeight="1" x14ac:dyDescent="0.35">
      <c r="B74" s="386">
        <v>7</v>
      </c>
      <c r="C74" s="462" t="s">
        <v>394</v>
      </c>
      <c r="D74" s="462"/>
      <c r="E74" s="462"/>
      <c r="F74" s="462"/>
      <c r="G74" s="462"/>
      <c r="H74" s="462"/>
      <c r="I74" s="462"/>
      <c r="J74" s="462"/>
      <c r="K74" s="462"/>
      <c r="L74" s="320"/>
      <c r="M74" s="320"/>
      <c r="N74" s="320"/>
      <c r="O74" s="320"/>
      <c r="P74" s="320"/>
      <c r="Q74" s="320"/>
      <c r="R74" s="320"/>
      <c r="S74" s="320"/>
      <c r="T74" s="320"/>
      <c r="U74" s="320"/>
      <c r="V74" s="320"/>
      <c r="W74" s="320"/>
    </row>
    <row r="75" spans="2:23" ht="16.5" x14ac:dyDescent="0.35">
      <c r="B75" s="386">
        <v>8</v>
      </c>
      <c r="C75" s="462" t="s">
        <v>395</v>
      </c>
      <c r="D75" s="462"/>
      <c r="E75" s="462"/>
      <c r="F75" s="462"/>
      <c r="G75" s="462"/>
      <c r="H75" s="462"/>
      <c r="I75" s="462"/>
      <c r="J75" s="462"/>
      <c r="K75" s="462"/>
      <c r="L75" s="309"/>
      <c r="M75" s="309"/>
      <c r="N75" s="309"/>
      <c r="O75" s="309"/>
      <c r="P75" s="309"/>
      <c r="Q75" s="309"/>
      <c r="R75" s="309"/>
      <c r="S75" s="309"/>
      <c r="T75" s="309"/>
      <c r="U75" s="309"/>
      <c r="V75" s="309"/>
      <c r="W75" s="309"/>
    </row>
    <row r="76" spans="2:23" ht="17.25" customHeight="1" x14ac:dyDescent="0.35">
      <c r="B76" s="386">
        <v>9</v>
      </c>
      <c r="C76" s="462" t="s">
        <v>396</v>
      </c>
      <c r="D76" s="462"/>
      <c r="E76" s="462"/>
      <c r="F76" s="462"/>
      <c r="G76" s="462"/>
      <c r="H76" s="462"/>
      <c r="I76" s="462"/>
      <c r="J76" s="462"/>
      <c r="K76" s="462"/>
      <c r="L76" s="320"/>
      <c r="M76" s="320"/>
      <c r="N76" s="320"/>
      <c r="O76" s="320"/>
      <c r="P76" s="320"/>
      <c r="Q76" s="320"/>
      <c r="R76" s="320"/>
      <c r="S76" s="320"/>
      <c r="T76" s="320"/>
      <c r="U76" s="320"/>
      <c r="V76" s="320"/>
      <c r="W76" s="320"/>
    </row>
    <row r="77" spans="2:23" ht="16.5" x14ac:dyDescent="0.35">
      <c r="B77" s="386">
        <v>10</v>
      </c>
      <c r="C77" s="462" t="s">
        <v>379</v>
      </c>
      <c r="D77" s="462"/>
      <c r="E77" s="462"/>
      <c r="F77" s="462"/>
      <c r="G77" s="462"/>
      <c r="H77" s="462"/>
      <c r="I77" s="462"/>
      <c r="J77" s="462"/>
      <c r="K77" s="462"/>
      <c r="L77" s="309"/>
      <c r="M77" s="309"/>
      <c r="N77" s="309"/>
      <c r="O77" s="309"/>
      <c r="P77" s="309"/>
      <c r="Q77" s="309"/>
      <c r="R77" s="309"/>
      <c r="S77" s="309"/>
      <c r="T77" s="309"/>
      <c r="U77" s="309"/>
      <c r="V77" s="309"/>
      <c r="W77" s="309"/>
    </row>
    <row r="78" spans="2:23" ht="16.5" x14ac:dyDescent="0.35">
      <c r="B78" s="386">
        <v>11</v>
      </c>
      <c r="C78" s="462" t="s">
        <v>397</v>
      </c>
      <c r="D78" s="462"/>
      <c r="E78" s="462"/>
      <c r="F78" s="462"/>
      <c r="G78" s="462"/>
      <c r="H78" s="462"/>
      <c r="I78" s="462"/>
      <c r="J78" s="462"/>
      <c r="K78" s="462"/>
      <c r="L78" s="309"/>
      <c r="M78" s="309"/>
      <c r="N78" s="309"/>
      <c r="O78" s="309"/>
      <c r="P78" s="309"/>
      <c r="Q78" s="309"/>
      <c r="R78" s="309"/>
      <c r="S78" s="309"/>
      <c r="T78" s="309"/>
      <c r="U78" s="309"/>
      <c r="V78" s="309"/>
      <c r="W78" s="309"/>
    </row>
    <row r="79" spans="2:23" ht="16.5" x14ac:dyDescent="0.35">
      <c r="B79" s="386">
        <v>12</v>
      </c>
      <c r="C79" s="462" t="s">
        <v>398</v>
      </c>
      <c r="D79" s="462"/>
      <c r="E79" s="462"/>
      <c r="F79" s="462"/>
      <c r="G79" s="462"/>
      <c r="H79" s="462"/>
      <c r="I79" s="462"/>
      <c r="J79" s="462"/>
      <c r="K79" s="462"/>
    </row>
    <row r="80" spans="2:23" ht="16.5" x14ac:dyDescent="0.35">
      <c r="B80" s="386">
        <v>13</v>
      </c>
      <c r="C80" s="462" t="s">
        <v>383</v>
      </c>
      <c r="D80" s="462"/>
      <c r="E80" s="462"/>
      <c r="F80" s="462"/>
      <c r="G80" s="462"/>
      <c r="H80" s="462"/>
      <c r="I80" s="462"/>
      <c r="J80" s="462"/>
      <c r="K80" s="462"/>
    </row>
    <row r="81" spans="2:23" ht="17.25" customHeight="1" x14ac:dyDescent="0.35">
      <c r="B81" s="320"/>
      <c r="C81" s="320"/>
      <c r="D81" s="320"/>
      <c r="E81" s="320"/>
      <c r="F81" s="320"/>
      <c r="G81" s="320"/>
      <c r="H81" s="320"/>
      <c r="I81" s="320"/>
      <c r="J81" s="320"/>
      <c r="K81" s="320"/>
      <c r="L81" s="320"/>
      <c r="M81" s="320"/>
      <c r="N81" s="320"/>
      <c r="O81" s="320"/>
      <c r="P81" s="320"/>
      <c r="Q81" s="320"/>
      <c r="R81" s="320"/>
      <c r="S81" s="320"/>
      <c r="T81" s="320"/>
      <c r="U81" s="320"/>
      <c r="V81" s="320"/>
      <c r="W81" s="320"/>
    </row>
    <row r="82" spans="2:23" ht="16.5" x14ac:dyDescent="0.35">
      <c r="B82" s="309"/>
      <c r="C82" s="319"/>
      <c r="D82" s="309"/>
      <c r="E82" s="309"/>
      <c r="F82" s="309"/>
      <c r="G82" s="309"/>
      <c r="H82" s="309"/>
      <c r="I82" s="309"/>
      <c r="J82" s="309"/>
      <c r="K82" s="309"/>
      <c r="L82" s="309"/>
      <c r="M82" s="309"/>
      <c r="N82" s="309"/>
      <c r="O82" s="309"/>
      <c r="P82" s="309"/>
      <c r="Q82" s="309"/>
      <c r="R82" s="309"/>
      <c r="S82" s="309"/>
      <c r="T82" s="309"/>
      <c r="U82" s="309"/>
      <c r="V82" s="309"/>
      <c r="W82" s="309"/>
    </row>
    <row r="83" spans="2:23" ht="17.25" customHeight="1" x14ac:dyDescent="0.35">
      <c r="B83" s="320"/>
      <c r="C83" s="320"/>
      <c r="D83" s="320"/>
      <c r="E83" s="320"/>
      <c r="F83" s="320"/>
      <c r="G83" s="320"/>
      <c r="H83" s="320"/>
      <c r="I83" s="320"/>
      <c r="J83" s="320"/>
      <c r="K83" s="320"/>
      <c r="L83" s="320"/>
      <c r="M83" s="320"/>
      <c r="N83" s="320"/>
      <c r="O83" s="320"/>
      <c r="P83" s="320"/>
      <c r="Q83" s="320"/>
      <c r="R83" s="320"/>
      <c r="S83" s="320"/>
      <c r="T83" s="320"/>
      <c r="U83" s="320"/>
      <c r="V83" s="320"/>
      <c r="W83" s="320"/>
    </row>
    <row r="84" spans="2:23" ht="16.5" x14ac:dyDescent="0.35">
      <c r="B84" s="309"/>
      <c r="C84" s="319"/>
      <c r="D84" s="309"/>
      <c r="E84" s="309"/>
      <c r="F84" s="309"/>
      <c r="G84" s="309"/>
      <c r="H84" s="309"/>
      <c r="I84" s="309"/>
      <c r="J84" s="309"/>
      <c r="K84" s="309"/>
      <c r="L84" s="309"/>
      <c r="M84" s="309"/>
      <c r="N84" s="309"/>
      <c r="O84" s="309"/>
      <c r="P84" s="309"/>
      <c r="Q84" s="309"/>
      <c r="R84" s="309"/>
      <c r="S84" s="309"/>
      <c r="T84" s="309"/>
      <c r="U84" s="309"/>
      <c r="V84" s="309"/>
      <c r="W84" s="309"/>
    </row>
    <row r="85" spans="2:23" ht="16.5" x14ac:dyDescent="0.35">
      <c r="B85" s="300"/>
    </row>
    <row r="86" spans="2:23" ht="16.5" x14ac:dyDescent="0.35">
      <c r="B86" s="300"/>
    </row>
    <row r="87" spans="2:23" ht="16.5" x14ac:dyDescent="0.35">
      <c r="B87" s="300"/>
    </row>
    <row r="88" spans="2:23" ht="16.5" x14ac:dyDescent="0.35">
      <c r="B88" s="300"/>
    </row>
  </sheetData>
  <mergeCells count="19">
    <mergeCell ref="C78:K78"/>
    <mergeCell ref="C79:K79"/>
    <mergeCell ref="C80:K80"/>
    <mergeCell ref="C73:K73"/>
    <mergeCell ref="C74:K74"/>
    <mergeCell ref="C75:K75"/>
    <mergeCell ref="C76:K76"/>
    <mergeCell ref="C77:K77"/>
    <mergeCell ref="C68:K68"/>
    <mergeCell ref="C69:K69"/>
    <mergeCell ref="C70:K70"/>
    <mergeCell ref="C71:K71"/>
    <mergeCell ref="C72:K72"/>
    <mergeCell ref="E50:H50"/>
    <mergeCell ref="B1:K1"/>
    <mergeCell ref="J3:K3"/>
    <mergeCell ref="B8:K8"/>
    <mergeCell ref="E33:H33"/>
    <mergeCell ref="E47:H47"/>
  </mergeCells>
  <printOptions horizontalCentered="1"/>
  <pageMargins left="0.38" right="0.4" top="0.48" bottom="0.75" header="0.3" footer="0.3"/>
  <pageSetup scale="50" firstPageNumber="45" orientation="portrait" useFirstPageNumber="1" r:id="rId1"/>
  <headerFooter>
    <oddFooter>&amp;L&amp;"Arial,Regular"&amp;8GVEA - North Pole Facility
PM2.5 NAA BACT Analysis&amp;C&amp;"Arial,Regular"&amp;8Page 62&amp;R&amp;"Arial,Regular"&amp;8August 2017</oddFooter>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79998168889431442"/>
    <pageSetUpPr fitToPage="1"/>
  </sheetPr>
  <dimension ref="B1:L63"/>
  <sheetViews>
    <sheetView topLeftCell="A14" zoomScaleNormal="100" zoomScalePageLayoutView="80" workbookViewId="0">
      <selection activeCell="K42" sqref="K42"/>
    </sheetView>
  </sheetViews>
  <sheetFormatPr defaultRowHeight="14.5" x14ac:dyDescent="0.35"/>
  <cols>
    <col min="1" max="1" width="3" customWidth="1"/>
    <col min="2" max="3" width="6" customWidth="1"/>
    <col min="4" max="4" width="52.26953125" customWidth="1"/>
    <col min="5" max="5" width="11.54296875" bestFit="1" customWidth="1"/>
    <col min="6" max="6" width="14.26953125" customWidth="1"/>
    <col min="7" max="7" width="15.453125" customWidth="1"/>
    <col min="8" max="8" width="24" customWidth="1"/>
    <col min="9" max="9" width="18.7265625" customWidth="1"/>
    <col min="11" max="11" width="13.26953125" customWidth="1"/>
  </cols>
  <sheetData>
    <row r="1" spans="2:11" x14ac:dyDescent="0.35">
      <c r="B1" s="439" t="s">
        <v>364</v>
      </c>
      <c r="C1" s="439"/>
      <c r="D1" s="439"/>
      <c r="E1" s="439"/>
      <c r="F1" s="439"/>
      <c r="G1" s="439"/>
      <c r="H1" s="439"/>
      <c r="I1" s="439"/>
      <c r="J1" s="439"/>
      <c r="K1" s="439"/>
    </row>
    <row r="3" spans="2:11" ht="15" thickBot="1" x14ac:dyDescent="0.4">
      <c r="I3" s="450" t="s">
        <v>205</v>
      </c>
      <c r="J3" s="451"/>
      <c r="K3" s="452"/>
    </row>
    <row r="4" spans="2:11" ht="19" thickTop="1" x14ac:dyDescent="0.45">
      <c r="B4" s="98" t="s">
        <v>208</v>
      </c>
      <c r="C4" s="158"/>
      <c r="D4" s="96"/>
      <c r="E4" s="96"/>
      <c r="F4" s="96"/>
      <c r="G4" s="96"/>
      <c r="H4" s="96"/>
      <c r="I4" s="96"/>
      <c r="J4" s="95" t="s">
        <v>137</v>
      </c>
      <c r="K4" s="250"/>
    </row>
    <row r="5" spans="2:11" x14ac:dyDescent="0.35">
      <c r="B5" s="92" t="s">
        <v>203</v>
      </c>
      <c r="C5" s="11"/>
      <c r="D5" s="93" t="s">
        <v>322</v>
      </c>
      <c r="E5" s="11"/>
      <c r="F5" s="11"/>
      <c r="G5" s="11"/>
      <c r="H5" s="11"/>
      <c r="I5" s="11"/>
      <c r="J5" s="40" t="s">
        <v>135</v>
      </c>
      <c r="K5" s="91"/>
    </row>
    <row r="6" spans="2:11" x14ac:dyDescent="0.35">
      <c r="B6" s="92"/>
      <c r="C6" s="11"/>
      <c r="D6" s="11"/>
      <c r="E6" s="11"/>
      <c r="F6" s="11"/>
      <c r="G6" s="11"/>
      <c r="H6" s="11"/>
      <c r="I6" s="11"/>
      <c r="J6" s="40" t="s">
        <v>133</v>
      </c>
      <c r="K6" s="91"/>
    </row>
    <row r="7" spans="2:11" ht="15" thickBot="1" x14ac:dyDescent="0.4">
      <c r="B7" s="90" t="s">
        <v>299</v>
      </c>
      <c r="C7" s="89"/>
      <c r="D7" s="89"/>
      <c r="E7" s="89"/>
      <c r="F7" s="89"/>
      <c r="G7" s="89"/>
      <c r="H7" s="89"/>
      <c r="I7" s="89"/>
      <c r="J7" s="88" t="s">
        <v>132</v>
      </c>
      <c r="K7" s="87"/>
    </row>
    <row r="8" spans="2:11" ht="16" thickBot="1" x14ac:dyDescent="0.4">
      <c r="B8" s="453" t="s">
        <v>202</v>
      </c>
      <c r="C8" s="454"/>
      <c r="D8" s="454"/>
      <c r="E8" s="454"/>
      <c r="F8" s="454"/>
      <c r="G8" s="454"/>
      <c r="H8" s="454"/>
      <c r="I8" s="454"/>
      <c r="J8" s="454"/>
      <c r="K8" s="455"/>
    </row>
    <row r="9" spans="2:11" ht="15.5" x14ac:dyDescent="0.35">
      <c r="B9" s="157" t="s">
        <v>201</v>
      </c>
      <c r="C9" s="156"/>
      <c r="D9" s="107"/>
      <c r="E9" s="155" t="s">
        <v>129</v>
      </c>
      <c r="F9" s="155" t="s">
        <v>128</v>
      </c>
      <c r="G9" s="154" t="s">
        <v>127</v>
      </c>
      <c r="H9" s="153" t="s">
        <v>126</v>
      </c>
      <c r="I9" s="153" t="s">
        <v>125</v>
      </c>
      <c r="J9" s="107"/>
      <c r="K9" s="152" t="s">
        <v>200</v>
      </c>
    </row>
    <row r="10" spans="2:11" x14ac:dyDescent="0.35">
      <c r="B10" s="134" t="s">
        <v>124</v>
      </c>
      <c r="C10" s="11" t="s">
        <v>199</v>
      </c>
      <c r="D10" s="11"/>
      <c r="E10" s="151">
        <f>E12*2</f>
        <v>730</v>
      </c>
      <c r="F10" s="26" t="s">
        <v>113</v>
      </c>
      <c r="G10" s="294">
        <v>105</v>
      </c>
      <c r="H10" s="24"/>
      <c r="I10" s="24">
        <f>E10*G10</f>
        <v>76650</v>
      </c>
      <c r="J10" s="136"/>
      <c r="K10" s="38">
        <f>I10</f>
        <v>76650</v>
      </c>
    </row>
    <row r="11" spans="2:11" x14ac:dyDescent="0.35">
      <c r="B11" s="134" t="s">
        <v>101</v>
      </c>
      <c r="C11" s="11" t="s">
        <v>198</v>
      </c>
      <c r="D11" s="11"/>
      <c r="E11" s="151">
        <f>E12/2</f>
        <v>182.5</v>
      </c>
      <c r="F11" s="26" t="s">
        <v>113</v>
      </c>
      <c r="G11" s="294">
        <v>125</v>
      </c>
      <c r="H11" s="24"/>
      <c r="I11" s="24">
        <f>E11*G11</f>
        <v>22812.5</v>
      </c>
      <c r="J11" s="136"/>
      <c r="K11" s="38">
        <f t="shared" ref="K11:K12" si="0">I11</f>
        <v>22812.5</v>
      </c>
    </row>
    <row r="12" spans="2:11" x14ac:dyDescent="0.35">
      <c r="B12" s="134" t="s">
        <v>67</v>
      </c>
      <c r="C12" s="11" t="s">
        <v>214</v>
      </c>
      <c r="D12" s="11"/>
      <c r="E12" s="151">
        <f>365*E48/100</f>
        <v>365</v>
      </c>
      <c r="F12" s="62" t="s">
        <v>113</v>
      </c>
      <c r="G12" s="294">
        <v>105</v>
      </c>
      <c r="H12" s="24"/>
      <c r="I12" s="24">
        <f>E12*G12</f>
        <v>38325</v>
      </c>
      <c r="J12" s="136"/>
      <c r="K12" s="38">
        <f t="shared" si="0"/>
        <v>38325</v>
      </c>
    </row>
    <row r="13" spans="2:11" ht="16.5" x14ac:dyDescent="0.35">
      <c r="B13" s="134" t="s">
        <v>65</v>
      </c>
      <c r="C13" s="11" t="s">
        <v>328</v>
      </c>
      <c r="D13" s="11"/>
      <c r="E13" s="294"/>
      <c r="F13" s="62" t="s">
        <v>84</v>
      </c>
      <c r="G13" s="294"/>
      <c r="H13" s="299" t="s">
        <v>57</v>
      </c>
      <c r="I13" s="24"/>
      <c r="J13" s="136"/>
      <c r="K13" s="38"/>
    </row>
    <row r="14" spans="2:11" x14ac:dyDescent="0.35">
      <c r="B14" s="134" t="s">
        <v>59</v>
      </c>
      <c r="C14" s="11" t="s">
        <v>193</v>
      </c>
      <c r="D14" s="11"/>
      <c r="E14" s="26"/>
      <c r="F14" s="26"/>
      <c r="G14" s="24"/>
      <c r="H14" s="24"/>
      <c r="I14" s="24"/>
      <c r="J14" s="136"/>
      <c r="K14" s="38"/>
    </row>
    <row r="15" spans="2:11" x14ac:dyDescent="0.35">
      <c r="B15" s="92"/>
      <c r="C15" s="138" t="s">
        <v>99</v>
      </c>
      <c r="D15" s="11" t="s">
        <v>176</v>
      </c>
      <c r="E15" s="104">
        <f>K39*(60)*2*2.2/2000</f>
        <v>56.822040000000008</v>
      </c>
      <c r="F15" s="26" t="s">
        <v>92</v>
      </c>
      <c r="G15" s="294">
        <v>356</v>
      </c>
      <c r="H15" s="24">
        <f>E15*G15</f>
        <v>20228.646240000002</v>
      </c>
      <c r="I15" s="24"/>
      <c r="J15" s="136"/>
      <c r="K15" s="38">
        <f>H15</f>
        <v>20228.646240000002</v>
      </c>
    </row>
    <row r="16" spans="2:11" ht="16.5" x14ac:dyDescent="0.35">
      <c r="B16" s="92"/>
      <c r="C16" s="138" t="s">
        <v>96</v>
      </c>
      <c r="D16" s="11" t="s">
        <v>329</v>
      </c>
      <c r="E16" s="104"/>
      <c r="F16" s="26" t="s">
        <v>188</v>
      </c>
      <c r="G16" s="294">
        <v>0.18</v>
      </c>
      <c r="H16" s="299" t="s">
        <v>57</v>
      </c>
      <c r="I16" s="24"/>
      <c r="J16" s="136"/>
      <c r="K16" s="38"/>
    </row>
    <row r="17" spans="2:12" x14ac:dyDescent="0.35">
      <c r="B17" s="134" t="s">
        <v>56</v>
      </c>
      <c r="C17" s="138" t="s">
        <v>257</v>
      </c>
      <c r="D17" s="11"/>
      <c r="E17" s="26"/>
      <c r="F17" s="26"/>
      <c r="G17" s="24"/>
      <c r="H17" s="24"/>
      <c r="I17" s="24"/>
      <c r="J17" s="136"/>
      <c r="K17" s="38"/>
    </row>
    <row r="18" spans="2:12" x14ac:dyDescent="0.35">
      <c r="B18" s="92"/>
      <c r="C18" s="149" t="s">
        <v>99</v>
      </c>
      <c r="D18" s="138" t="s">
        <v>174</v>
      </c>
      <c r="E18" s="36">
        <v>0.3</v>
      </c>
      <c r="F18" s="26" t="s">
        <v>173</v>
      </c>
      <c r="G18" s="24">
        <f>'3-16 EU5-6 SCR_WI TCI'!K33</f>
        <v>3664479.5</v>
      </c>
      <c r="H18" s="10">
        <f>G18*E18</f>
        <v>1099343.8499999999</v>
      </c>
      <c r="I18" s="24"/>
      <c r="J18" s="136"/>
      <c r="K18" s="38">
        <f>H18*E23</f>
        <v>348721.28469468647</v>
      </c>
    </row>
    <row r="19" spans="2:12" x14ac:dyDescent="0.35">
      <c r="B19" s="92"/>
      <c r="C19" s="149" t="s">
        <v>96</v>
      </c>
      <c r="D19" s="138" t="s">
        <v>172</v>
      </c>
      <c r="E19" s="294">
        <v>180</v>
      </c>
      <c r="F19" s="26" t="s">
        <v>113</v>
      </c>
      <c r="G19" s="294">
        <v>105</v>
      </c>
      <c r="H19" s="147"/>
      <c r="I19" s="24">
        <f>E19*G19</f>
        <v>18900</v>
      </c>
      <c r="J19" s="136"/>
      <c r="K19" s="38">
        <f>I19*E23</f>
        <v>5995.2418715305266</v>
      </c>
    </row>
    <row r="20" spans="2:12" x14ac:dyDescent="0.35">
      <c r="B20" s="92"/>
      <c r="C20" s="149" t="s">
        <v>94</v>
      </c>
      <c r="D20" s="138" t="s">
        <v>171</v>
      </c>
      <c r="E20" s="36">
        <v>0.13</v>
      </c>
      <c r="F20" s="26" t="s">
        <v>169</v>
      </c>
      <c r="G20" s="24"/>
      <c r="H20" s="147"/>
      <c r="I20" s="24">
        <f>E20*H18</f>
        <v>142914.70049999998</v>
      </c>
      <c r="J20" s="136"/>
      <c r="K20" s="38">
        <f>I20*E23</f>
        <v>45333.767010309239</v>
      </c>
    </row>
    <row r="21" spans="2:12" x14ac:dyDescent="0.35">
      <c r="B21" s="92"/>
      <c r="C21" s="149" t="s">
        <v>91</v>
      </c>
      <c r="D21" s="138" t="s">
        <v>170</v>
      </c>
      <c r="E21" s="36">
        <v>0.13</v>
      </c>
      <c r="F21" s="26" t="s">
        <v>169</v>
      </c>
      <c r="G21" s="24"/>
      <c r="H21" s="147"/>
      <c r="I21" s="24">
        <f>E21*H18</f>
        <v>142914.70049999998</v>
      </c>
      <c r="J21" s="136"/>
      <c r="K21" s="38">
        <f>I21*E23</f>
        <v>45333.767010309239</v>
      </c>
    </row>
    <row r="22" spans="2:12" x14ac:dyDescent="0.35">
      <c r="B22" s="92"/>
      <c r="C22" s="149"/>
      <c r="D22" s="138"/>
      <c r="E22" s="148"/>
      <c r="F22" s="26"/>
      <c r="G22" s="24"/>
      <c r="H22" s="24"/>
      <c r="I22" s="24"/>
      <c r="J22" s="136"/>
      <c r="K22" s="38"/>
    </row>
    <row r="23" spans="2:12" x14ac:dyDescent="0.35">
      <c r="B23" s="146" t="s">
        <v>168</v>
      </c>
      <c r="C23" s="142"/>
      <c r="D23" s="11"/>
      <c r="E23" s="137">
        <f>($E$45/100)/(POWER(1+($E$45/100),($E$47)/($E$48/100))-1)</f>
        <v>0.3172085646312448</v>
      </c>
      <c r="F23" s="40"/>
      <c r="G23" s="136"/>
      <c r="H23" s="24"/>
      <c r="I23" s="141"/>
      <c r="J23" s="24"/>
      <c r="K23" s="38"/>
    </row>
    <row r="24" spans="2:12" x14ac:dyDescent="0.35">
      <c r="B24" s="146"/>
      <c r="C24" s="142"/>
      <c r="D24" s="11"/>
      <c r="E24" s="137"/>
      <c r="F24" s="40"/>
      <c r="G24" s="136"/>
      <c r="H24" s="24"/>
      <c r="I24" s="141"/>
      <c r="J24" s="24"/>
      <c r="K24" s="38"/>
    </row>
    <row r="25" spans="2:12" x14ac:dyDescent="0.35">
      <c r="B25" s="130" t="s">
        <v>167</v>
      </c>
      <c r="C25" s="129"/>
      <c r="D25" s="145"/>
      <c r="E25" s="144"/>
      <c r="F25" s="126"/>
      <c r="G25" s="143"/>
      <c r="H25" s="44"/>
      <c r="I25" s="124"/>
      <c r="J25" s="117" t="s">
        <v>166</v>
      </c>
      <c r="K25" s="116">
        <f>SUM(K10:K21)</f>
        <v>603400.20682683552</v>
      </c>
    </row>
    <row r="26" spans="2:12" x14ac:dyDescent="0.35">
      <c r="B26" s="92"/>
      <c r="C26" s="142"/>
      <c r="D26" s="11"/>
      <c r="E26" s="26"/>
      <c r="F26" s="11"/>
      <c r="G26" s="24"/>
      <c r="H26" s="24"/>
      <c r="I26" s="141"/>
      <c r="J26" s="140"/>
      <c r="K26" s="38"/>
    </row>
    <row r="27" spans="2:12" ht="15.5" x14ac:dyDescent="0.35">
      <c r="B27" s="258" t="s">
        <v>165</v>
      </c>
      <c r="C27" s="41"/>
      <c r="D27" s="23"/>
      <c r="E27" s="26"/>
      <c r="F27" s="26"/>
      <c r="G27" s="24"/>
      <c r="H27" s="24"/>
      <c r="I27" s="24"/>
      <c r="J27" s="24"/>
      <c r="K27" s="38"/>
    </row>
    <row r="28" spans="2:12" ht="16.5" x14ac:dyDescent="0.35">
      <c r="B28" s="134" t="s">
        <v>175</v>
      </c>
      <c r="C28" s="11" t="s">
        <v>330</v>
      </c>
      <c r="D28" s="11"/>
      <c r="E28" s="294"/>
      <c r="F28" s="26" t="s">
        <v>110</v>
      </c>
      <c r="G28" s="62"/>
      <c r="H28" s="115" t="s">
        <v>57</v>
      </c>
      <c r="I28" s="24">
        <f>E28*G28</f>
        <v>0</v>
      </c>
      <c r="J28" s="136"/>
      <c r="K28" s="38">
        <f>I28</f>
        <v>0</v>
      </c>
    </row>
    <row r="29" spans="2:12" x14ac:dyDescent="0.35">
      <c r="B29" s="134" t="s">
        <v>164</v>
      </c>
      <c r="C29" s="11" t="s">
        <v>160</v>
      </c>
      <c r="D29" s="11"/>
      <c r="E29" s="139">
        <v>0.04</v>
      </c>
      <c r="F29" s="26" t="s">
        <v>159</v>
      </c>
      <c r="G29" s="62"/>
      <c r="H29" s="147"/>
      <c r="I29" s="24">
        <f>E29*'3-16 EU5-6 SCR_WI TCI'!K65</f>
        <v>354401.26640000002</v>
      </c>
      <c r="J29" s="136"/>
      <c r="K29" s="38">
        <f>I29</f>
        <v>354401.26640000002</v>
      </c>
    </row>
    <row r="30" spans="2:12" x14ac:dyDescent="0.35">
      <c r="B30" s="134"/>
      <c r="C30" s="138" t="s">
        <v>158</v>
      </c>
      <c r="D30" s="11"/>
      <c r="E30" s="137">
        <f>($E$45/100*POWER((1+($E$45/100)),$E$46))/((POWER(((1+$E$45/100)),$E$46))-1)</f>
        <v>8.0242587190691314E-2</v>
      </c>
      <c r="F30" s="62"/>
      <c r="G30" s="24"/>
      <c r="H30" s="24"/>
      <c r="I30" s="24"/>
      <c r="J30" s="136"/>
      <c r="K30" s="135"/>
      <c r="L30" s="131"/>
    </row>
    <row r="31" spans="2:12" x14ac:dyDescent="0.35">
      <c r="B31" s="134" t="s">
        <v>161</v>
      </c>
      <c r="C31" s="11" t="s">
        <v>156</v>
      </c>
      <c r="D31" s="11"/>
      <c r="E31" s="11"/>
      <c r="F31" s="11"/>
      <c r="G31" s="24"/>
      <c r="H31" s="133"/>
      <c r="I31" s="24"/>
      <c r="J31" s="132" t="s">
        <v>155</v>
      </c>
      <c r="K31" s="38">
        <f>E30*'3-16 EU5-6 SCR_WI TCI'!K65</f>
        <v>710951.86298983556</v>
      </c>
      <c r="L31" s="131"/>
    </row>
    <row r="32" spans="2:12" x14ac:dyDescent="0.35">
      <c r="B32" s="92"/>
      <c r="C32" s="11"/>
      <c r="D32" s="11"/>
      <c r="E32" s="26"/>
      <c r="F32" s="11"/>
      <c r="G32" s="24"/>
      <c r="H32" s="24"/>
      <c r="I32" s="24"/>
      <c r="J32" s="24"/>
      <c r="K32" s="38"/>
    </row>
    <row r="33" spans="2:11" x14ac:dyDescent="0.35">
      <c r="B33" s="130" t="s">
        <v>154</v>
      </c>
      <c r="C33" s="129"/>
      <c r="D33" s="128"/>
      <c r="E33" s="127"/>
      <c r="F33" s="126"/>
      <c r="G33" s="124"/>
      <c r="H33" s="125"/>
      <c r="I33" s="124"/>
      <c r="J33" s="117" t="s">
        <v>153</v>
      </c>
      <c r="K33" s="116">
        <f>SUM(K28:K31)</f>
        <v>1065353.1293898355</v>
      </c>
    </row>
    <row r="34" spans="2:11" x14ac:dyDescent="0.35">
      <c r="B34" s="123"/>
      <c r="C34" s="122"/>
      <c r="D34" s="11"/>
      <c r="E34" s="26"/>
      <c r="F34" s="11"/>
      <c r="G34" s="24"/>
      <c r="H34" s="24"/>
      <c r="I34" s="24"/>
      <c r="J34" s="24"/>
      <c r="K34" s="38"/>
    </row>
    <row r="35" spans="2:11" ht="15.5" x14ac:dyDescent="0.35">
      <c r="B35" s="121" t="s">
        <v>152</v>
      </c>
      <c r="C35" s="120"/>
      <c r="D35" s="119"/>
      <c r="E35" s="295"/>
      <c r="F35" s="119"/>
      <c r="G35" s="44"/>
      <c r="H35" s="118"/>
      <c r="I35" s="44"/>
      <c r="J35" s="117" t="s">
        <v>151</v>
      </c>
      <c r="K35" s="116">
        <f>K25+K33</f>
        <v>1668753.3362166709</v>
      </c>
    </row>
    <row r="36" spans="2:11" ht="15" thickBot="1" x14ac:dyDescent="0.4">
      <c r="B36" s="92"/>
      <c r="C36" s="11"/>
      <c r="D36" s="11"/>
      <c r="E36" s="26"/>
      <c r="F36" s="11"/>
      <c r="G36" s="11"/>
      <c r="H36" s="11"/>
      <c r="I36" s="11"/>
      <c r="J36" s="11"/>
      <c r="K36" s="75"/>
    </row>
    <row r="37" spans="2:11" ht="16" thickBot="1" x14ac:dyDescent="0.4">
      <c r="B37" s="458" t="s">
        <v>150</v>
      </c>
      <c r="C37" s="459"/>
      <c r="D37" s="459"/>
      <c r="E37" s="459"/>
      <c r="F37" s="459"/>
      <c r="G37" s="459"/>
      <c r="H37" s="459"/>
      <c r="I37" s="459"/>
      <c r="J37" s="459"/>
      <c r="K37" s="460"/>
    </row>
    <row r="38" spans="2:11" x14ac:dyDescent="0.35">
      <c r="B38" s="92"/>
      <c r="C38" s="11"/>
      <c r="D38" s="11"/>
      <c r="E38" s="11"/>
      <c r="F38" s="11"/>
      <c r="G38" s="11"/>
      <c r="H38" s="11"/>
      <c r="I38" s="11"/>
      <c r="J38" s="11"/>
      <c r="K38" s="75"/>
    </row>
    <row r="39" spans="2:11" ht="15.5" x14ac:dyDescent="0.35">
      <c r="B39" s="15" t="s">
        <v>149</v>
      </c>
      <c r="C39" s="41"/>
      <c r="D39" s="11"/>
      <c r="E39" s="11"/>
      <c r="F39" s="11"/>
      <c r="G39" s="11"/>
      <c r="H39" s="11"/>
      <c r="I39" s="11"/>
      <c r="J39" s="115" t="s">
        <v>148</v>
      </c>
      <c r="K39" s="245">
        <f>'3-3 Ranking-NOx'!F15</f>
        <v>430.47</v>
      </c>
    </row>
    <row r="40" spans="2:11" x14ac:dyDescent="0.35">
      <c r="B40" s="92"/>
      <c r="C40" s="11"/>
      <c r="D40" s="11"/>
      <c r="E40" s="11"/>
      <c r="F40" s="11"/>
      <c r="G40" s="11"/>
      <c r="H40" s="11"/>
      <c r="I40" s="11"/>
      <c r="J40" s="11"/>
      <c r="K40" s="75"/>
    </row>
    <row r="41" spans="2:11" ht="16" thickBot="1" x14ac:dyDescent="0.4">
      <c r="B41" s="114" t="s">
        <v>147</v>
      </c>
      <c r="C41" s="113"/>
      <c r="D41" s="111"/>
      <c r="E41" s="111"/>
      <c r="F41" s="111"/>
      <c r="G41" s="111"/>
      <c r="H41" s="112"/>
      <c r="I41" s="111"/>
      <c r="J41" s="110" t="s">
        <v>146</v>
      </c>
      <c r="K41" s="393">
        <f>K35/K39</f>
        <v>3876.584515103656</v>
      </c>
    </row>
    <row r="42" spans="2:11" ht="15" thickTop="1" x14ac:dyDescent="0.35"/>
    <row r="43" spans="2:11" ht="15" thickBot="1" x14ac:dyDescent="0.4"/>
    <row r="44" spans="2:11" x14ac:dyDescent="0.35">
      <c r="D44" s="108" t="s">
        <v>219</v>
      </c>
      <c r="E44" s="107"/>
      <c r="F44" s="106"/>
      <c r="G44" s="105"/>
    </row>
    <row r="45" spans="2:11" x14ac:dyDescent="0.35">
      <c r="D45" s="103" t="s">
        <v>262</v>
      </c>
      <c r="E45" s="104">
        <v>5</v>
      </c>
      <c r="F45" s="102" t="s">
        <v>110</v>
      </c>
    </row>
    <row r="46" spans="2:11" x14ac:dyDescent="0.35">
      <c r="D46" s="103" t="s">
        <v>143</v>
      </c>
      <c r="E46" s="294">
        <v>20</v>
      </c>
      <c r="F46" s="102" t="s">
        <v>141</v>
      </c>
    </row>
    <row r="47" spans="2:11" x14ac:dyDescent="0.35">
      <c r="D47" s="103" t="s">
        <v>142</v>
      </c>
      <c r="E47" s="294">
        <v>3</v>
      </c>
      <c r="F47" s="102" t="s">
        <v>141</v>
      </c>
    </row>
    <row r="48" spans="2:11" ht="15" thickBot="1" x14ac:dyDescent="0.4">
      <c r="D48" s="101" t="s">
        <v>140</v>
      </c>
      <c r="E48" s="100">
        <v>100</v>
      </c>
      <c r="F48" s="99" t="s">
        <v>110</v>
      </c>
    </row>
    <row r="51" spans="2:11" ht="17.25" customHeight="1" x14ac:dyDescent="0.35">
      <c r="B51" s="386">
        <v>1</v>
      </c>
      <c r="C51" s="462" t="s">
        <v>388</v>
      </c>
      <c r="D51" s="462"/>
      <c r="E51" s="462"/>
      <c r="F51" s="462"/>
      <c r="G51" s="462"/>
      <c r="H51" s="462"/>
      <c r="I51" s="462"/>
      <c r="J51" s="462"/>
      <c r="K51" s="462"/>
    </row>
    <row r="52" spans="2:11" ht="56.25" customHeight="1" x14ac:dyDescent="0.35">
      <c r="B52" s="386">
        <v>2</v>
      </c>
      <c r="C52" s="462" t="s">
        <v>389</v>
      </c>
      <c r="D52" s="462"/>
      <c r="E52" s="462"/>
      <c r="F52" s="462"/>
      <c r="G52" s="462"/>
      <c r="H52" s="462"/>
      <c r="I52" s="462"/>
      <c r="J52" s="462"/>
      <c r="K52" s="462"/>
    </row>
    <row r="53" spans="2:11" ht="33.75" customHeight="1" x14ac:dyDescent="0.35">
      <c r="B53" s="386">
        <v>3</v>
      </c>
      <c r="C53" s="462" t="s">
        <v>390</v>
      </c>
      <c r="D53" s="462"/>
      <c r="E53" s="462"/>
      <c r="F53" s="462"/>
      <c r="G53" s="462"/>
      <c r="H53" s="462"/>
      <c r="I53" s="462"/>
      <c r="J53" s="462"/>
      <c r="K53" s="462"/>
    </row>
    <row r="54" spans="2:11" ht="32.25" customHeight="1" x14ac:dyDescent="0.35">
      <c r="B54" s="386">
        <v>4</v>
      </c>
      <c r="C54" s="462" t="s">
        <v>391</v>
      </c>
      <c r="D54" s="462"/>
      <c r="E54" s="462"/>
      <c r="F54" s="462"/>
      <c r="G54" s="462"/>
      <c r="H54" s="462"/>
      <c r="I54" s="462"/>
      <c r="J54" s="462"/>
      <c r="K54" s="462"/>
    </row>
    <row r="55" spans="2:11" ht="66" customHeight="1" x14ac:dyDescent="0.35">
      <c r="B55" s="386">
        <v>5</v>
      </c>
      <c r="C55" s="462" t="s">
        <v>392</v>
      </c>
      <c r="D55" s="462"/>
      <c r="E55" s="462"/>
      <c r="F55" s="462"/>
      <c r="G55" s="462"/>
      <c r="H55" s="462"/>
      <c r="I55" s="462"/>
      <c r="J55" s="462"/>
      <c r="K55" s="462"/>
    </row>
    <row r="56" spans="2:11" ht="17.25" customHeight="1" x14ac:dyDescent="0.35">
      <c r="B56" s="386">
        <v>6</v>
      </c>
      <c r="C56" s="462" t="s">
        <v>393</v>
      </c>
      <c r="D56" s="462"/>
      <c r="E56" s="462"/>
      <c r="F56" s="462"/>
      <c r="G56" s="462"/>
      <c r="H56" s="462"/>
      <c r="I56" s="462"/>
      <c r="J56" s="462"/>
      <c r="K56" s="462"/>
    </row>
    <row r="57" spans="2:11" ht="17.25" customHeight="1" x14ac:dyDescent="0.35">
      <c r="B57" s="386">
        <v>7</v>
      </c>
      <c r="C57" s="462" t="s">
        <v>394</v>
      </c>
      <c r="D57" s="462"/>
      <c r="E57" s="462"/>
      <c r="F57" s="462"/>
      <c r="G57" s="462"/>
      <c r="H57" s="462"/>
      <c r="I57" s="462"/>
      <c r="J57" s="462"/>
      <c r="K57" s="462"/>
    </row>
    <row r="58" spans="2:11" ht="17.25" customHeight="1" x14ac:dyDescent="0.35">
      <c r="B58" s="386">
        <v>8</v>
      </c>
      <c r="C58" s="462" t="s">
        <v>395</v>
      </c>
      <c r="D58" s="462"/>
      <c r="E58" s="462"/>
      <c r="F58" s="462"/>
      <c r="G58" s="462"/>
      <c r="H58" s="462"/>
      <c r="I58" s="462"/>
      <c r="J58" s="462"/>
      <c r="K58" s="462"/>
    </row>
    <row r="59" spans="2:11" ht="17.25" customHeight="1" x14ac:dyDescent="0.35">
      <c r="B59" s="386">
        <v>9</v>
      </c>
      <c r="C59" s="462" t="s">
        <v>396</v>
      </c>
      <c r="D59" s="462"/>
      <c r="E59" s="462"/>
      <c r="F59" s="462"/>
      <c r="G59" s="462"/>
      <c r="H59" s="462"/>
      <c r="I59" s="462"/>
      <c r="J59" s="462"/>
      <c r="K59" s="462"/>
    </row>
    <row r="60" spans="2:11" ht="17.25" customHeight="1" x14ac:dyDescent="0.35">
      <c r="B60" s="386">
        <v>10</v>
      </c>
      <c r="C60" s="462" t="s">
        <v>379</v>
      </c>
      <c r="D60" s="462"/>
      <c r="E60" s="462"/>
      <c r="F60" s="462"/>
      <c r="G60" s="462"/>
      <c r="H60" s="462"/>
      <c r="I60" s="462"/>
      <c r="J60" s="462"/>
      <c r="K60" s="462"/>
    </row>
    <row r="61" spans="2:11" ht="17.25" customHeight="1" x14ac:dyDescent="0.35">
      <c r="B61" s="386">
        <v>11</v>
      </c>
      <c r="C61" s="462" t="s">
        <v>397</v>
      </c>
      <c r="D61" s="462"/>
      <c r="E61" s="462"/>
      <c r="F61" s="462"/>
      <c r="G61" s="462"/>
      <c r="H61" s="462"/>
      <c r="I61" s="462"/>
      <c r="J61" s="462"/>
      <c r="K61" s="462"/>
    </row>
    <row r="62" spans="2:11" ht="17.25" customHeight="1" x14ac:dyDescent="0.35">
      <c r="B62" s="386">
        <v>12</v>
      </c>
      <c r="C62" s="462" t="s">
        <v>398</v>
      </c>
      <c r="D62" s="462"/>
      <c r="E62" s="462"/>
      <c r="F62" s="462"/>
      <c r="G62" s="462"/>
      <c r="H62" s="462"/>
      <c r="I62" s="462"/>
      <c r="J62" s="462"/>
      <c r="K62" s="462"/>
    </row>
    <row r="63" spans="2:11" ht="17.25" customHeight="1" x14ac:dyDescent="0.35">
      <c r="B63" s="386">
        <v>13</v>
      </c>
      <c r="C63" s="462" t="s">
        <v>383</v>
      </c>
      <c r="D63" s="462"/>
      <c r="E63" s="462"/>
      <c r="F63" s="462"/>
      <c r="G63" s="462"/>
      <c r="H63" s="462"/>
      <c r="I63" s="462"/>
      <c r="J63" s="462"/>
      <c r="K63" s="462"/>
    </row>
  </sheetData>
  <mergeCells count="17">
    <mergeCell ref="C62:K62"/>
    <mergeCell ref="C63:K63"/>
    <mergeCell ref="C57:K57"/>
    <mergeCell ref="C58:K58"/>
    <mergeCell ref="C59:K59"/>
    <mergeCell ref="C60:K60"/>
    <mergeCell ref="C61:K61"/>
    <mergeCell ref="C52:K52"/>
    <mergeCell ref="C53:K53"/>
    <mergeCell ref="C54:K54"/>
    <mergeCell ref="C55:K55"/>
    <mergeCell ref="C56:K56"/>
    <mergeCell ref="I3:K3"/>
    <mergeCell ref="B8:K8"/>
    <mergeCell ref="B37:K37"/>
    <mergeCell ref="B1:K1"/>
    <mergeCell ref="C51:K51"/>
  </mergeCells>
  <printOptions horizontalCentered="1"/>
  <pageMargins left="0.38" right="0.4" top="0.48" bottom="0.75" header="0.3" footer="0.3"/>
  <pageSetup scale="54" firstPageNumber="45" orientation="portrait" useFirstPageNumber="1" r:id="rId1"/>
  <headerFooter>
    <oddFooter>&amp;L&amp;"Arial,Regular"&amp;8GVEA - North Pole Facility
PM2.5 NAA BACT Analysis&amp;C&amp;"Arial,Regular"&amp;8Page 63&amp;R&amp;"Arial,Regular"&amp;8August 2017</oddFooter>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79998168889431442"/>
    <pageSetUpPr fitToPage="1"/>
  </sheetPr>
  <dimension ref="B1:K65"/>
  <sheetViews>
    <sheetView topLeftCell="A4" zoomScale="90" zoomScaleNormal="90" zoomScalePageLayoutView="60" workbookViewId="0">
      <selection activeCell="M30" sqref="M30"/>
    </sheetView>
  </sheetViews>
  <sheetFormatPr defaultRowHeight="14.5" x14ac:dyDescent="0.35"/>
  <cols>
    <col min="1" max="1" width="2.26953125" customWidth="1"/>
    <col min="2" max="2" width="5.26953125" customWidth="1"/>
    <col min="3" max="3" width="6" customWidth="1"/>
    <col min="4" max="4" width="63.7265625" customWidth="1"/>
    <col min="6" max="6" width="19.26953125" customWidth="1"/>
    <col min="7" max="7" width="13" customWidth="1"/>
    <col min="8" max="8" width="24.1796875" customWidth="1"/>
    <col min="9" max="9" width="20.453125" customWidth="1"/>
    <col min="10" max="10" width="14.7265625" customWidth="1"/>
    <col min="11" max="11" width="17.26953125" customWidth="1"/>
    <col min="13" max="13" width="29.81640625" customWidth="1"/>
  </cols>
  <sheetData>
    <row r="1" spans="2:11" x14ac:dyDescent="0.35">
      <c r="B1" s="463" t="s">
        <v>223</v>
      </c>
      <c r="C1" s="463"/>
      <c r="D1" s="463"/>
      <c r="E1" s="463"/>
      <c r="F1" s="463"/>
      <c r="G1" s="463"/>
      <c r="H1" s="463"/>
      <c r="I1" s="463"/>
      <c r="J1" s="463"/>
      <c r="K1" s="463"/>
    </row>
    <row r="2" spans="2:11" x14ac:dyDescent="0.35">
      <c r="B2" s="463" t="s">
        <v>222</v>
      </c>
      <c r="C2" s="463"/>
      <c r="D2" s="463"/>
      <c r="E2" s="463"/>
      <c r="F2" s="463"/>
      <c r="G2" s="463"/>
      <c r="H2" s="463"/>
      <c r="I2" s="463"/>
      <c r="J2" s="463"/>
      <c r="K2" s="463"/>
    </row>
    <row r="3" spans="2:11" ht="15" thickBot="1" x14ac:dyDescent="0.4">
      <c r="J3" s="440" t="s">
        <v>139</v>
      </c>
      <c r="K3" s="440"/>
    </row>
    <row r="4" spans="2:11" ht="19" thickTop="1" x14ac:dyDescent="0.45">
      <c r="B4" s="98" t="s">
        <v>206</v>
      </c>
      <c r="C4" s="97"/>
      <c r="D4" s="97"/>
      <c r="E4" s="96"/>
      <c r="F4" s="96"/>
      <c r="G4" s="96"/>
      <c r="H4" s="96"/>
      <c r="I4" s="96"/>
      <c r="J4" s="95" t="s">
        <v>137</v>
      </c>
      <c r="K4" s="94"/>
    </row>
    <row r="5" spans="2:11" ht="16.5" x14ac:dyDescent="0.45">
      <c r="B5" s="92" t="s">
        <v>136</v>
      </c>
      <c r="C5" s="11"/>
      <c r="D5" s="93" t="s">
        <v>286</v>
      </c>
      <c r="E5" s="11"/>
      <c r="F5" s="11"/>
      <c r="G5" s="11"/>
      <c r="H5" s="11"/>
      <c r="I5" s="11"/>
      <c r="J5" s="40" t="s">
        <v>135</v>
      </c>
      <c r="K5" s="91"/>
    </row>
    <row r="6" spans="2:11" x14ac:dyDescent="0.35">
      <c r="B6" s="92"/>
      <c r="C6" s="11"/>
      <c r="D6" s="11"/>
      <c r="E6" s="11"/>
      <c r="F6" s="11"/>
      <c r="G6" s="11"/>
      <c r="H6" s="11"/>
      <c r="I6" s="11"/>
      <c r="J6" s="40" t="s">
        <v>133</v>
      </c>
      <c r="K6" s="91"/>
    </row>
    <row r="7" spans="2:11" ht="15" thickBot="1" x14ac:dyDescent="0.4">
      <c r="B7" s="90"/>
      <c r="C7" s="89"/>
      <c r="D7" s="89"/>
      <c r="E7" s="89"/>
      <c r="F7" s="89"/>
      <c r="G7" s="89"/>
      <c r="H7" s="89"/>
      <c r="I7" s="89"/>
      <c r="J7" s="88" t="s">
        <v>132</v>
      </c>
      <c r="K7" s="87"/>
    </row>
    <row r="8" spans="2:11" ht="36.75" customHeight="1" thickBot="1" x14ac:dyDescent="0.4">
      <c r="B8" s="442" t="s">
        <v>131</v>
      </c>
      <c r="C8" s="443"/>
      <c r="D8" s="443"/>
      <c r="E8" s="443"/>
      <c r="F8" s="443"/>
      <c r="G8" s="443"/>
      <c r="H8" s="443"/>
      <c r="I8" s="443"/>
      <c r="J8" s="443"/>
      <c r="K8" s="444"/>
    </row>
    <row r="9" spans="2:11" ht="19" thickTop="1" x14ac:dyDescent="0.45">
      <c r="B9" s="86" t="s">
        <v>130</v>
      </c>
      <c r="C9" s="82"/>
      <c r="D9" s="82"/>
      <c r="E9" s="85" t="s">
        <v>129</v>
      </c>
      <c r="F9" s="85" t="s">
        <v>128</v>
      </c>
      <c r="G9" s="84" t="s">
        <v>127</v>
      </c>
      <c r="H9" s="83" t="s">
        <v>126</v>
      </c>
      <c r="I9" s="83" t="s">
        <v>125</v>
      </c>
      <c r="J9" s="82"/>
      <c r="K9" s="81"/>
    </row>
    <row r="10" spans="2:11" ht="15.5" x14ac:dyDescent="0.35">
      <c r="B10" s="15"/>
      <c r="C10" s="11"/>
      <c r="D10" s="11"/>
      <c r="E10" s="80"/>
      <c r="F10" s="80"/>
      <c r="G10" s="79"/>
      <c r="H10" s="78"/>
      <c r="I10" s="78"/>
      <c r="J10" s="11"/>
      <c r="K10" s="77"/>
    </row>
    <row r="11" spans="2:11" ht="15.5" x14ac:dyDescent="0.35">
      <c r="B11" s="43" t="s">
        <v>124</v>
      </c>
      <c r="C11" s="41" t="s">
        <v>123</v>
      </c>
      <c r="D11" s="41"/>
      <c r="E11" s="11"/>
      <c r="F11" s="11"/>
      <c r="G11" s="11"/>
      <c r="H11" s="11"/>
      <c r="I11" s="11"/>
      <c r="J11" s="76"/>
      <c r="K11" s="75"/>
    </row>
    <row r="12" spans="2:11" ht="15.5" x14ac:dyDescent="0.35">
      <c r="B12" s="15"/>
      <c r="C12" s="41" t="s">
        <v>99</v>
      </c>
      <c r="D12" s="41" t="s">
        <v>122</v>
      </c>
      <c r="E12" s="11"/>
      <c r="F12" s="11"/>
      <c r="G12" s="11"/>
      <c r="H12" s="11"/>
      <c r="I12" s="11"/>
      <c r="J12" s="74"/>
      <c r="K12" s="47"/>
    </row>
    <row r="13" spans="2:11" x14ac:dyDescent="0.35">
      <c r="B13" s="52"/>
      <c r="C13" s="37"/>
      <c r="D13" s="50" t="s">
        <v>210</v>
      </c>
      <c r="E13" s="248"/>
      <c r="F13" s="26" t="s">
        <v>63</v>
      </c>
      <c r="G13" s="248"/>
      <c r="H13" s="24">
        <f>E13*G13</f>
        <v>0</v>
      </c>
      <c r="I13" s="24"/>
      <c r="J13" s="23"/>
      <c r="K13" s="9"/>
    </row>
    <row r="14" spans="2:11" x14ac:dyDescent="0.35">
      <c r="B14" s="70"/>
      <c r="C14" s="69"/>
      <c r="D14" s="54"/>
      <c r="E14" s="62"/>
      <c r="F14" s="62"/>
      <c r="G14" s="71"/>
      <c r="H14" s="68"/>
      <c r="I14" s="68"/>
      <c r="J14" s="48" t="s">
        <v>105</v>
      </c>
      <c r="K14" s="47">
        <f>SUM(H13:H13)</f>
        <v>0</v>
      </c>
    </row>
    <row r="15" spans="2:11" ht="15.5" x14ac:dyDescent="0.35">
      <c r="B15" s="70"/>
      <c r="C15" s="72" t="s">
        <v>96</v>
      </c>
      <c r="D15" s="72" t="s">
        <v>121</v>
      </c>
      <c r="E15" s="62"/>
      <c r="F15" s="62"/>
      <c r="G15" s="71"/>
      <c r="H15" s="68"/>
      <c r="I15" s="68"/>
      <c r="J15" s="48"/>
      <c r="K15" s="38"/>
    </row>
    <row r="16" spans="2:11" x14ac:dyDescent="0.35">
      <c r="B16" s="70"/>
      <c r="C16" s="69"/>
      <c r="D16" s="54" t="s">
        <v>120</v>
      </c>
      <c r="E16" s="248"/>
      <c r="F16" s="62" t="s">
        <v>63</v>
      </c>
      <c r="G16" s="248"/>
      <c r="H16" s="24">
        <f>E16*G16</f>
        <v>0</v>
      </c>
      <c r="I16" s="68"/>
      <c r="J16" s="23"/>
      <c r="K16" s="38"/>
    </row>
    <row r="17" spans="2:11" x14ac:dyDescent="0.35">
      <c r="B17" s="67"/>
      <c r="C17" s="66"/>
      <c r="D17" s="64"/>
      <c r="E17" s="65"/>
      <c r="F17" s="65"/>
      <c r="G17" s="64"/>
      <c r="H17" s="63"/>
      <c r="I17" s="63"/>
      <c r="J17" s="48" t="s">
        <v>105</v>
      </c>
      <c r="K17" s="47">
        <f>SUM(H16:H16)</f>
        <v>0</v>
      </c>
    </row>
    <row r="18" spans="2:11" ht="15.5" x14ac:dyDescent="0.35">
      <c r="B18" s="52"/>
      <c r="C18" s="41" t="s">
        <v>94</v>
      </c>
      <c r="D18" s="41" t="s">
        <v>119</v>
      </c>
      <c r="E18" s="26"/>
      <c r="F18" s="26"/>
      <c r="G18" s="11"/>
      <c r="H18" s="24"/>
      <c r="I18" s="24"/>
      <c r="J18" s="23"/>
      <c r="K18" s="38"/>
    </row>
    <row r="19" spans="2:11" x14ac:dyDescent="0.35">
      <c r="B19" s="52"/>
      <c r="C19" s="37"/>
      <c r="D19" s="50" t="s">
        <v>211</v>
      </c>
      <c r="E19" s="248"/>
      <c r="F19" s="26" t="s">
        <v>117</v>
      </c>
      <c r="G19" s="36"/>
      <c r="H19" s="24"/>
      <c r="I19" s="24">
        <f>G19*H13</f>
        <v>0</v>
      </c>
      <c r="J19" s="23"/>
      <c r="K19" s="38"/>
    </row>
    <row r="20" spans="2:11" x14ac:dyDescent="0.35">
      <c r="B20" s="56"/>
      <c r="C20" s="54"/>
      <c r="D20" s="54"/>
      <c r="E20" s="55"/>
      <c r="F20" s="55"/>
      <c r="G20" s="54"/>
      <c r="H20" s="53"/>
      <c r="I20" s="53"/>
      <c r="J20" s="48" t="s">
        <v>105</v>
      </c>
      <c r="K20" s="47">
        <f>SUM(I19:I19)</f>
        <v>0</v>
      </c>
    </row>
    <row r="21" spans="2:11" ht="15.5" x14ac:dyDescent="0.35">
      <c r="B21" s="52"/>
      <c r="C21" s="41" t="s">
        <v>91</v>
      </c>
      <c r="D21" s="41" t="s">
        <v>116</v>
      </c>
      <c r="E21" s="26"/>
      <c r="F21" s="26"/>
      <c r="G21" s="11"/>
      <c r="H21" s="24"/>
      <c r="I21" s="24"/>
      <c r="J21" s="23"/>
      <c r="K21" s="38"/>
    </row>
    <row r="22" spans="2:11" x14ac:dyDescent="0.35">
      <c r="B22" s="60"/>
      <c r="C22" s="50"/>
      <c r="D22" s="54" t="s">
        <v>115</v>
      </c>
      <c r="E22" s="35"/>
      <c r="F22" s="51" t="s">
        <v>113</v>
      </c>
      <c r="G22" s="61"/>
      <c r="H22" s="49"/>
      <c r="I22" s="49">
        <f>E22*G22</f>
        <v>0</v>
      </c>
      <c r="J22" s="58"/>
      <c r="K22" s="57"/>
    </row>
    <row r="23" spans="2:11" x14ac:dyDescent="0.35">
      <c r="B23" s="60"/>
      <c r="C23" s="50"/>
      <c r="D23" s="54" t="s">
        <v>114</v>
      </c>
      <c r="E23" s="35"/>
      <c r="F23" s="51" t="s">
        <v>113</v>
      </c>
      <c r="G23" s="61"/>
      <c r="H23" s="49"/>
      <c r="I23" s="49">
        <f>E23*G23</f>
        <v>0</v>
      </c>
      <c r="J23" s="58"/>
      <c r="K23" s="57"/>
    </row>
    <row r="24" spans="2:11" x14ac:dyDescent="0.35">
      <c r="B24" s="56"/>
      <c r="C24" s="54"/>
      <c r="D24" s="54"/>
      <c r="E24" s="55"/>
      <c r="F24" s="55"/>
      <c r="G24" s="54"/>
      <c r="H24" s="53"/>
      <c r="I24" s="53"/>
      <c r="J24" s="48" t="s">
        <v>105</v>
      </c>
      <c r="K24" s="47">
        <f>SUM(I22:I23)</f>
        <v>0</v>
      </c>
    </row>
    <row r="25" spans="2:11" ht="15.5" x14ac:dyDescent="0.35">
      <c r="B25" s="52"/>
      <c r="C25" s="41" t="s">
        <v>89</v>
      </c>
      <c r="D25" s="41" t="s">
        <v>112</v>
      </c>
      <c r="E25" s="11"/>
      <c r="F25" s="11"/>
      <c r="G25" s="11"/>
      <c r="H25" s="24"/>
      <c r="I25" s="24"/>
      <c r="J25" s="23"/>
      <c r="K25" s="38"/>
    </row>
    <row r="26" spans="2:11" x14ac:dyDescent="0.35">
      <c r="B26" s="60"/>
      <c r="C26" s="50"/>
      <c r="D26" s="50" t="s">
        <v>212</v>
      </c>
      <c r="E26" s="35"/>
      <c r="F26" s="26" t="s">
        <v>63</v>
      </c>
      <c r="G26" s="35"/>
      <c r="H26" s="49">
        <f>E26*G26</f>
        <v>0</v>
      </c>
      <c r="I26" s="49"/>
      <c r="J26" s="58"/>
      <c r="K26" s="57"/>
    </row>
    <row r="27" spans="2:11" x14ac:dyDescent="0.35">
      <c r="B27" s="56"/>
      <c r="C27" s="54"/>
      <c r="D27" s="54"/>
      <c r="E27" s="55"/>
      <c r="F27" s="55"/>
      <c r="G27" s="54"/>
      <c r="H27" s="53"/>
      <c r="I27" s="53"/>
      <c r="J27" s="48" t="s">
        <v>105</v>
      </c>
      <c r="K27" s="47">
        <f>SUM(H26)</f>
        <v>0</v>
      </c>
    </row>
    <row r="28" spans="2:11" ht="15.5" x14ac:dyDescent="0.35">
      <c r="B28" s="52"/>
      <c r="C28" s="41" t="s">
        <v>86</v>
      </c>
      <c r="D28" s="41" t="s">
        <v>109</v>
      </c>
      <c r="E28" s="26"/>
      <c r="F28" s="26"/>
      <c r="G28" s="11"/>
      <c r="H28" s="24"/>
      <c r="I28" s="24"/>
      <c r="J28" s="23"/>
      <c r="K28" s="38"/>
    </row>
    <row r="29" spans="2:11" x14ac:dyDescent="0.35">
      <c r="B29" s="52"/>
      <c r="C29" s="37"/>
      <c r="D29" s="50" t="s">
        <v>108</v>
      </c>
      <c r="E29" s="35"/>
      <c r="F29" s="51" t="s">
        <v>106</v>
      </c>
      <c r="G29" s="35"/>
      <c r="H29" s="49"/>
      <c r="I29" s="49">
        <f>G29*E29</f>
        <v>0</v>
      </c>
      <c r="J29" s="23"/>
      <c r="K29" s="38"/>
    </row>
    <row r="30" spans="2:11" x14ac:dyDescent="0.35">
      <c r="B30" s="52"/>
      <c r="C30" s="37"/>
      <c r="D30" s="50" t="s">
        <v>107</v>
      </c>
      <c r="E30" s="35"/>
      <c r="F30" s="51" t="s">
        <v>106</v>
      </c>
      <c r="G30" s="35"/>
      <c r="H30" s="49"/>
      <c r="I30" s="49">
        <f>G30*E30</f>
        <v>0</v>
      </c>
      <c r="J30" s="23"/>
      <c r="K30" s="38"/>
    </row>
    <row r="31" spans="2:11" x14ac:dyDescent="0.35">
      <c r="B31" s="52"/>
      <c r="C31" s="37"/>
      <c r="D31" s="37"/>
      <c r="E31" s="51"/>
      <c r="F31" s="51"/>
      <c r="G31" s="50"/>
      <c r="H31" s="49"/>
      <c r="I31" s="49"/>
      <c r="J31" s="48" t="s">
        <v>105</v>
      </c>
      <c r="K31" s="47">
        <f>SUM(I29:I30)</f>
        <v>0</v>
      </c>
    </row>
    <row r="32" spans="2:11" ht="15.5" x14ac:dyDescent="0.35">
      <c r="B32" s="21" t="s">
        <v>104</v>
      </c>
      <c r="C32" s="46"/>
      <c r="D32" s="46"/>
      <c r="E32" s="445" t="s">
        <v>213</v>
      </c>
      <c r="F32" s="445"/>
      <c r="G32" s="445"/>
      <c r="H32" s="445"/>
      <c r="I32" s="44"/>
      <c r="J32" s="17" t="s">
        <v>102</v>
      </c>
      <c r="K32" s="29">
        <f>K14+K17+K20+K24+K27+K31</f>
        <v>0</v>
      </c>
    </row>
    <row r="33" spans="2:11" ht="15.5" x14ac:dyDescent="0.35">
      <c r="B33" s="13"/>
      <c r="C33" s="12"/>
      <c r="D33" s="12"/>
      <c r="E33" s="26"/>
      <c r="F33" s="26"/>
      <c r="G33" s="11"/>
      <c r="H33" s="24"/>
      <c r="I33" s="24"/>
      <c r="J33" s="10"/>
      <c r="K33" s="38"/>
    </row>
    <row r="34" spans="2:11" ht="15.5" x14ac:dyDescent="0.35">
      <c r="B34" s="43" t="s">
        <v>101</v>
      </c>
      <c r="C34" s="41" t="s">
        <v>100</v>
      </c>
      <c r="D34" s="41"/>
      <c r="E34" s="26"/>
      <c r="F34" s="26"/>
      <c r="G34" s="11"/>
      <c r="H34" s="24"/>
      <c r="I34" s="24"/>
      <c r="J34" s="10"/>
      <c r="K34" s="38"/>
    </row>
    <row r="35" spans="2:11" ht="15.5" x14ac:dyDescent="0.35">
      <c r="B35" s="15"/>
      <c r="C35" s="41" t="s">
        <v>99</v>
      </c>
      <c r="D35" s="41" t="s">
        <v>98</v>
      </c>
      <c r="E35" s="35"/>
      <c r="F35" s="26" t="s">
        <v>97</v>
      </c>
      <c r="G35" s="35"/>
      <c r="H35" s="24">
        <f>E35*G35</f>
        <v>0</v>
      </c>
      <c r="I35" s="24"/>
      <c r="J35" s="23"/>
      <c r="K35" s="38">
        <f>H35+I35</f>
        <v>0</v>
      </c>
    </row>
    <row r="36" spans="2:11" ht="15.5" x14ac:dyDescent="0.35">
      <c r="B36" s="15"/>
      <c r="C36" s="41" t="s">
        <v>96</v>
      </c>
      <c r="D36" s="41" t="s">
        <v>95</v>
      </c>
      <c r="E36" s="35"/>
      <c r="F36" s="26" t="s">
        <v>92</v>
      </c>
      <c r="G36" s="35"/>
      <c r="H36" s="24">
        <f t="shared" ref="H36:H41" si="0">E36*G36</f>
        <v>0</v>
      </c>
      <c r="I36" s="24"/>
      <c r="J36" s="23"/>
      <c r="K36" s="38">
        <f t="shared" ref="K36:K45" si="1">H36+I36</f>
        <v>0</v>
      </c>
    </row>
    <row r="37" spans="2:11" ht="15.5" x14ac:dyDescent="0.35">
      <c r="B37" s="15"/>
      <c r="C37" s="41" t="s">
        <v>94</v>
      </c>
      <c r="D37" s="41" t="s">
        <v>93</v>
      </c>
      <c r="E37" s="35"/>
      <c r="F37" s="26" t="s">
        <v>92</v>
      </c>
      <c r="G37" s="35"/>
      <c r="H37" s="24">
        <f t="shared" si="0"/>
        <v>0</v>
      </c>
      <c r="I37" s="24"/>
      <c r="J37" s="23"/>
      <c r="K37" s="38">
        <f t="shared" si="1"/>
        <v>0</v>
      </c>
    </row>
    <row r="38" spans="2:11" ht="15.5" x14ac:dyDescent="0.35">
      <c r="B38" s="15"/>
      <c r="C38" s="41" t="s">
        <v>91</v>
      </c>
      <c r="D38" s="41" t="s">
        <v>90</v>
      </c>
      <c r="E38" s="35"/>
      <c r="F38" s="26" t="s">
        <v>84</v>
      </c>
      <c r="G38" s="35"/>
      <c r="H38" s="24">
        <f t="shared" si="0"/>
        <v>0</v>
      </c>
      <c r="I38" s="24"/>
      <c r="J38" s="23"/>
      <c r="K38" s="38">
        <f t="shared" si="1"/>
        <v>0</v>
      </c>
    </row>
    <row r="39" spans="2:11" ht="15.5" x14ac:dyDescent="0.35">
      <c r="B39" s="15"/>
      <c r="C39" s="41" t="s">
        <v>89</v>
      </c>
      <c r="D39" s="41" t="s">
        <v>88</v>
      </c>
      <c r="E39" s="35"/>
      <c r="F39" s="26" t="s">
        <v>87</v>
      </c>
      <c r="G39" s="35"/>
      <c r="H39" s="24">
        <f t="shared" si="0"/>
        <v>0</v>
      </c>
      <c r="I39" s="24"/>
      <c r="J39" s="23"/>
      <c r="K39" s="38">
        <f t="shared" si="1"/>
        <v>0</v>
      </c>
    </row>
    <row r="40" spans="2:11" ht="15.5" x14ac:dyDescent="0.35">
      <c r="B40" s="15"/>
      <c r="C40" s="41" t="s">
        <v>86</v>
      </c>
      <c r="D40" s="41" t="s">
        <v>85</v>
      </c>
      <c r="E40" s="35"/>
      <c r="F40" s="26" t="s">
        <v>84</v>
      </c>
      <c r="G40" s="35"/>
      <c r="H40" s="24">
        <f t="shared" si="0"/>
        <v>0</v>
      </c>
      <c r="I40" s="24"/>
      <c r="J40" s="23"/>
      <c r="K40" s="38">
        <f t="shared" si="1"/>
        <v>0</v>
      </c>
    </row>
    <row r="41" spans="2:11" ht="15.5" x14ac:dyDescent="0.35">
      <c r="B41" s="15"/>
      <c r="C41" s="41" t="s">
        <v>83</v>
      </c>
      <c r="D41" s="41" t="s">
        <v>82</v>
      </c>
      <c r="E41" s="35"/>
      <c r="F41" s="26" t="s">
        <v>81</v>
      </c>
      <c r="G41" s="35"/>
      <c r="H41" s="24">
        <f t="shared" si="0"/>
        <v>0</v>
      </c>
      <c r="I41" s="24"/>
      <c r="J41" s="23"/>
      <c r="K41" s="38">
        <f t="shared" si="1"/>
        <v>0</v>
      </c>
    </row>
    <row r="42" spans="2:11" ht="15.5" x14ac:dyDescent="0.35">
      <c r="B42" s="15"/>
      <c r="C42" s="41" t="s">
        <v>80</v>
      </c>
      <c r="D42" s="41" t="s">
        <v>79</v>
      </c>
      <c r="E42" s="26"/>
      <c r="F42" s="26"/>
      <c r="G42" s="10"/>
      <c r="H42" s="24"/>
      <c r="I42" s="24"/>
      <c r="J42" s="23"/>
      <c r="K42" s="38"/>
    </row>
    <row r="43" spans="2:11" ht="15.5" x14ac:dyDescent="0.35">
      <c r="B43" s="15"/>
      <c r="C43" s="41"/>
      <c r="D43" s="12" t="s">
        <v>78</v>
      </c>
      <c r="F43" s="40" t="s">
        <v>77</v>
      </c>
      <c r="G43" s="36"/>
      <c r="H43" s="42"/>
      <c r="I43" s="24">
        <f>G43*I22</f>
        <v>0</v>
      </c>
      <c r="J43" s="23"/>
      <c r="K43" s="38">
        <f t="shared" si="1"/>
        <v>0</v>
      </c>
    </row>
    <row r="44" spans="2:11" ht="15.5" x14ac:dyDescent="0.35">
      <c r="B44" s="15"/>
      <c r="C44" s="41"/>
      <c r="D44" s="12" t="s">
        <v>76</v>
      </c>
      <c r="F44" s="40" t="s">
        <v>75</v>
      </c>
      <c r="G44" s="36"/>
      <c r="H44" s="42"/>
      <c r="I44" s="24">
        <f>G44*I23</f>
        <v>0</v>
      </c>
      <c r="J44" s="23"/>
      <c r="K44" s="38">
        <f t="shared" si="1"/>
        <v>0</v>
      </c>
    </row>
    <row r="45" spans="2:11" ht="15.5" x14ac:dyDescent="0.35">
      <c r="B45" s="15"/>
      <c r="C45" s="41"/>
      <c r="D45" s="12" t="s">
        <v>74</v>
      </c>
      <c r="F45" s="40" t="s">
        <v>73</v>
      </c>
      <c r="G45" s="36"/>
      <c r="H45" s="24"/>
      <c r="I45" s="24">
        <f>G45*K14</f>
        <v>0</v>
      </c>
      <c r="J45" s="23"/>
      <c r="K45" s="38">
        <f t="shared" si="1"/>
        <v>0</v>
      </c>
    </row>
    <row r="46" spans="2:11" ht="15.5" x14ac:dyDescent="0.35">
      <c r="B46" s="21" t="s">
        <v>72</v>
      </c>
      <c r="C46" s="39"/>
      <c r="D46" s="39"/>
      <c r="E46" s="445" t="s">
        <v>213</v>
      </c>
      <c r="F46" s="445"/>
      <c r="G46" s="445"/>
      <c r="H46" s="445"/>
      <c r="I46" s="30"/>
      <c r="J46" s="17" t="s">
        <v>71</v>
      </c>
      <c r="K46" s="29">
        <f>SUM(K35:K45)</f>
        <v>0</v>
      </c>
    </row>
    <row r="47" spans="2:11" ht="15.5" x14ac:dyDescent="0.35">
      <c r="B47" s="13"/>
      <c r="C47" s="12"/>
      <c r="D47" s="12"/>
      <c r="E47" s="11"/>
      <c r="F47" s="11"/>
      <c r="G47" s="11"/>
      <c r="H47" s="10"/>
      <c r="I47" s="10"/>
      <c r="J47" s="10"/>
      <c r="K47" s="38"/>
    </row>
    <row r="48" spans="2:11" ht="15.5" x14ac:dyDescent="0.35">
      <c r="B48" s="13"/>
      <c r="C48" s="12"/>
      <c r="D48" s="12"/>
      <c r="E48" s="11"/>
      <c r="F48" s="11"/>
      <c r="G48" s="11"/>
      <c r="H48" s="10"/>
      <c r="I48" s="10"/>
      <c r="J48" s="10"/>
      <c r="K48" s="38"/>
    </row>
    <row r="49" spans="2:11" ht="15.5" x14ac:dyDescent="0.35">
      <c r="B49" s="21" t="s">
        <v>70</v>
      </c>
      <c r="C49" s="34"/>
      <c r="D49" s="34"/>
      <c r="E49" s="445" t="s">
        <v>213</v>
      </c>
      <c r="F49" s="445"/>
      <c r="G49" s="445"/>
      <c r="H49" s="445"/>
      <c r="I49" s="31"/>
      <c r="J49" s="17" t="s">
        <v>69</v>
      </c>
      <c r="K49" s="29">
        <v>100000</v>
      </c>
    </row>
    <row r="50" spans="2:11" ht="15.5" x14ac:dyDescent="0.35">
      <c r="B50" s="15"/>
      <c r="C50" s="12"/>
      <c r="D50" s="12"/>
      <c r="E50" s="11"/>
      <c r="F50" s="11"/>
      <c r="G50" s="37"/>
      <c r="H50" s="10"/>
      <c r="I50" s="10"/>
      <c r="J50" s="10"/>
      <c r="K50" s="9"/>
    </row>
    <row r="51" spans="2:11" ht="15.5" x14ac:dyDescent="0.35">
      <c r="B51" s="13"/>
      <c r="C51" s="12"/>
      <c r="D51" s="12"/>
      <c r="E51" s="11"/>
      <c r="F51" s="11"/>
      <c r="G51" s="11"/>
      <c r="H51" s="10"/>
      <c r="I51" s="10"/>
      <c r="J51" s="10"/>
      <c r="K51" s="9"/>
    </row>
    <row r="52" spans="2:11" ht="15.5" x14ac:dyDescent="0.35">
      <c r="B52" s="15" t="s">
        <v>68</v>
      </c>
      <c r="C52" s="12"/>
      <c r="D52" s="12"/>
      <c r="E52" s="11"/>
      <c r="F52" s="11"/>
      <c r="G52" s="11"/>
      <c r="H52" s="10"/>
      <c r="I52" s="10"/>
      <c r="J52" s="10"/>
      <c r="K52" s="9"/>
    </row>
    <row r="53" spans="2:11" ht="15.5" x14ac:dyDescent="0.35">
      <c r="B53" s="28" t="s">
        <v>67</v>
      </c>
      <c r="C53" s="12" t="s">
        <v>66</v>
      </c>
      <c r="D53" s="12"/>
      <c r="E53" s="36"/>
      <c r="F53" s="26" t="s">
        <v>54</v>
      </c>
      <c r="G53" s="35"/>
      <c r="H53" s="10"/>
      <c r="I53" s="24">
        <f>E53*K49</f>
        <v>0</v>
      </c>
      <c r="J53" s="23"/>
      <c r="K53" s="22" t="s">
        <v>57</v>
      </c>
    </row>
    <row r="54" spans="2:11" ht="15.5" x14ac:dyDescent="0.35">
      <c r="B54" s="28" t="s">
        <v>65</v>
      </c>
      <c r="C54" s="12" t="s">
        <v>64</v>
      </c>
      <c r="D54" s="12"/>
      <c r="E54" s="35"/>
      <c r="F54" s="26" t="s">
        <v>63</v>
      </c>
      <c r="G54" s="35"/>
      <c r="H54" s="10"/>
      <c r="I54" s="24">
        <f>E54*G54</f>
        <v>0</v>
      </c>
      <c r="J54" s="23"/>
      <c r="K54" s="22" t="s">
        <v>57</v>
      </c>
    </row>
    <row r="55" spans="2:11" ht="15.5" x14ac:dyDescent="0.35">
      <c r="B55" s="21" t="s">
        <v>62</v>
      </c>
      <c r="C55" s="34"/>
      <c r="D55" s="34"/>
      <c r="E55" s="32"/>
      <c r="F55" s="33"/>
      <c r="G55" s="32"/>
      <c r="H55" s="31"/>
      <c r="I55" s="30"/>
      <c r="J55" s="17" t="s">
        <v>61</v>
      </c>
      <c r="K55" s="29">
        <f>SUM(I53:I54)</f>
        <v>0</v>
      </c>
    </row>
    <row r="56" spans="2:11" ht="15.5" x14ac:dyDescent="0.35">
      <c r="B56" s="15"/>
      <c r="C56" s="12"/>
      <c r="D56" s="12"/>
      <c r="E56" s="11"/>
      <c r="F56" s="26"/>
      <c r="G56" s="11"/>
      <c r="H56" s="10"/>
      <c r="I56" s="24"/>
      <c r="J56" s="14"/>
      <c r="K56" s="9"/>
    </row>
    <row r="57" spans="2:11" ht="15.5" x14ac:dyDescent="0.35">
      <c r="B57" s="13"/>
      <c r="C57" s="12"/>
      <c r="D57" s="12"/>
      <c r="E57" s="11"/>
      <c r="F57" s="26"/>
      <c r="G57" s="11"/>
      <c r="H57" s="10"/>
      <c r="I57" s="24"/>
      <c r="J57" s="10"/>
      <c r="K57" s="9"/>
    </row>
    <row r="58" spans="2:11" ht="15.5" x14ac:dyDescent="0.35">
      <c r="B58" s="15" t="s">
        <v>60</v>
      </c>
      <c r="C58" s="12"/>
      <c r="D58" s="12"/>
      <c r="E58" s="11"/>
      <c r="F58" s="26"/>
      <c r="G58" s="11"/>
      <c r="H58" s="10"/>
      <c r="I58" s="24"/>
      <c r="J58" s="10"/>
      <c r="K58" s="9"/>
    </row>
    <row r="59" spans="2:11" ht="15.5" x14ac:dyDescent="0.35">
      <c r="B59" s="28" t="s">
        <v>59</v>
      </c>
      <c r="C59" s="12" t="s">
        <v>58</v>
      </c>
      <c r="D59" s="12"/>
      <c r="E59" s="35"/>
      <c r="F59" s="26" t="s">
        <v>54</v>
      </c>
      <c r="G59" s="36"/>
      <c r="H59" s="10"/>
      <c r="I59" s="24"/>
      <c r="J59" s="23"/>
      <c r="K59" s="22" t="s">
        <v>57</v>
      </c>
    </row>
    <row r="60" spans="2:11" ht="15.5" x14ac:dyDescent="0.35">
      <c r="B60" s="28" t="s">
        <v>56</v>
      </c>
      <c r="C60" s="12" t="s">
        <v>55</v>
      </c>
      <c r="D60" s="12"/>
      <c r="E60" s="27"/>
      <c r="F60" s="26" t="s">
        <v>263</v>
      </c>
      <c r="G60" s="35"/>
      <c r="H60" s="10"/>
      <c r="I60" s="24">
        <f>E60*K49</f>
        <v>0</v>
      </c>
      <c r="J60" s="23"/>
      <c r="K60" s="22" t="s">
        <v>57</v>
      </c>
    </row>
    <row r="61" spans="2:11" ht="15.5" x14ac:dyDescent="0.35">
      <c r="B61" s="21" t="s">
        <v>53</v>
      </c>
      <c r="C61" s="20"/>
      <c r="D61" s="20"/>
      <c r="E61" s="19"/>
      <c r="F61" s="19"/>
      <c r="G61" s="19"/>
      <c r="H61" s="18"/>
      <c r="I61" s="18"/>
      <c r="J61" s="17" t="s">
        <v>52</v>
      </c>
      <c r="K61" s="16">
        <f>SUM(I59:I60)</f>
        <v>0</v>
      </c>
    </row>
    <row r="62" spans="2:11" ht="15.5" x14ac:dyDescent="0.35">
      <c r="B62" s="15"/>
      <c r="C62" s="12"/>
      <c r="D62" s="12"/>
      <c r="E62" s="11"/>
      <c r="F62" s="11"/>
      <c r="G62" s="11"/>
      <c r="H62" s="10"/>
      <c r="I62" s="10"/>
      <c r="J62" s="14"/>
      <c r="K62" s="9"/>
    </row>
    <row r="63" spans="2:11" ht="15.5" x14ac:dyDescent="0.35">
      <c r="B63" s="13"/>
      <c r="C63" s="12"/>
      <c r="D63" s="12"/>
      <c r="E63" s="11"/>
      <c r="F63" s="11"/>
      <c r="G63" s="11"/>
      <c r="H63" s="10"/>
      <c r="I63" s="10"/>
      <c r="J63" s="10"/>
      <c r="K63" s="9"/>
    </row>
    <row r="64" spans="2:11" ht="34.5" customHeight="1" thickBot="1" x14ac:dyDescent="0.5">
      <c r="B64" s="8" t="s">
        <v>51</v>
      </c>
      <c r="C64" s="7"/>
      <c r="D64" s="7"/>
      <c r="E64" s="7"/>
      <c r="F64" s="7"/>
      <c r="G64" s="6"/>
      <c r="H64" s="5"/>
      <c r="I64" s="4"/>
      <c r="J64" s="3" t="s">
        <v>50</v>
      </c>
      <c r="K64" s="2">
        <f>K49+K55+K61</f>
        <v>100000</v>
      </c>
    </row>
    <row r="65" ht="15" thickTop="1" x14ac:dyDescent="0.35"/>
  </sheetData>
  <mergeCells count="7">
    <mergeCell ref="E46:H46"/>
    <mergeCell ref="E49:H49"/>
    <mergeCell ref="B1:K1"/>
    <mergeCell ref="B2:K2"/>
    <mergeCell ref="J3:K3"/>
    <mergeCell ref="B8:K8"/>
    <mergeCell ref="E32:H32"/>
  </mergeCells>
  <printOptions horizontalCentered="1"/>
  <pageMargins left="0.38" right="0.4" top="0.48" bottom="0.75" header="0.3" footer="0.3"/>
  <pageSetup scale="50" firstPageNumber="45" orientation="portrait" useFirstPageNumber="1" r:id="rId1"/>
  <headerFooter>
    <oddFooter>&amp;L&amp;"Arial,Regular"&amp;8GVEA - North Pole Facility
PM2.5 NAA BACT Analysis&amp;C&amp;"Arial,Regular"&amp;8Page 64&amp;R&amp;"Arial,Regular"&amp;8August 2017</oddFooter>
  </headerFooter>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B1:L40"/>
  <sheetViews>
    <sheetView zoomScaleNormal="100" zoomScalePageLayoutView="70" workbookViewId="0">
      <selection activeCell="H37" sqref="H37"/>
    </sheetView>
  </sheetViews>
  <sheetFormatPr defaultRowHeight="14.5" x14ac:dyDescent="0.35"/>
  <cols>
    <col min="1" max="1" width="3" customWidth="1"/>
    <col min="2" max="3" width="6" customWidth="1"/>
    <col min="4" max="4" width="52.26953125" customWidth="1"/>
    <col min="5" max="5" width="11.54296875" bestFit="1" customWidth="1"/>
    <col min="6" max="6" width="13.1796875" customWidth="1"/>
    <col min="7" max="7" width="15.453125" customWidth="1"/>
    <col min="8" max="8" width="24" customWidth="1"/>
    <col min="9" max="9" width="18.7265625" customWidth="1"/>
    <col min="11" max="11" width="13.26953125" customWidth="1"/>
  </cols>
  <sheetData>
    <row r="1" spans="2:11" x14ac:dyDescent="0.35">
      <c r="B1" s="463" t="s">
        <v>224</v>
      </c>
      <c r="C1" s="463"/>
      <c r="D1" s="463"/>
      <c r="E1" s="463"/>
      <c r="F1" s="463"/>
      <c r="G1" s="463"/>
      <c r="H1" s="463"/>
      <c r="I1" s="463"/>
      <c r="J1" s="463"/>
      <c r="K1" s="463"/>
    </row>
    <row r="2" spans="2:11" x14ac:dyDescent="0.35">
      <c r="B2" s="463" t="s">
        <v>222</v>
      </c>
      <c r="C2" s="463"/>
      <c r="D2" s="463"/>
      <c r="E2" s="463"/>
      <c r="F2" s="463"/>
      <c r="G2" s="463"/>
      <c r="H2" s="463"/>
      <c r="I2" s="463"/>
      <c r="J2" s="463"/>
      <c r="K2" s="463"/>
    </row>
    <row r="3" spans="2:11" ht="15" thickBot="1" x14ac:dyDescent="0.4">
      <c r="I3" s="450" t="s">
        <v>205</v>
      </c>
      <c r="J3" s="451"/>
      <c r="K3" s="452"/>
    </row>
    <row r="4" spans="2:11" ht="19" thickTop="1" x14ac:dyDescent="0.45">
      <c r="B4" s="98" t="s">
        <v>208</v>
      </c>
      <c r="C4" s="158"/>
      <c r="D4" s="96"/>
      <c r="E4" s="96"/>
      <c r="F4" s="96"/>
      <c r="G4" s="96"/>
      <c r="H4" s="96"/>
      <c r="I4" s="96"/>
      <c r="J4" s="95" t="s">
        <v>137</v>
      </c>
      <c r="K4" s="94"/>
    </row>
    <row r="5" spans="2:11" ht="16.5" x14ac:dyDescent="0.45">
      <c r="B5" s="92" t="s">
        <v>203</v>
      </c>
      <c r="C5" s="11"/>
      <c r="D5" s="93" t="s">
        <v>286</v>
      </c>
      <c r="E5" s="93"/>
      <c r="F5" s="11"/>
      <c r="G5" s="11"/>
      <c r="H5" s="11"/>
      <c r="I5" s="11"/>
      <c r="J5" s="40" t="s">
        <v>135</v>
      </c>
      <c r="K5" s="91"/>
    </row>
    <row r="6" spans="2:11" x14ac:dyDescent="0.35">
      <c r="B6" s="92"/>
      <c r="C6" s="11"/>
      <c r="D6" s="11"/>
      <c r="E6" s="11"/>
      <c r="F6" s="11"/>
      <c r="G6" s="11"/>
      <c r="H6" s="11"/>
      <c r="I6" s="11"/>
      <c r="J6" s="40" t="s">
        <v>133</v>
      </c>
      <c r="K6" s="91"/>
    </row>
    <row r="7" spans="2:11" ht="15" thickBot="1" x14ac:dyDescent="0.4">
      <c r="B7" s="90"/>
      <c r="C7" s="89"/>
      <c r="D7" s="89"/>
      <c r="E7" s="89"/>
      <c r="F7" s="89"/>
      <c r="G7" s="89"/>
      <c r="H7" s="89"/>
      <c r="I7" s="89"/>
      <c r="J7" s="88" t="s">
        <v>132</v>
      </c>
      <c r="K7" s="87"/>
    </row>
    <row r="8" spans="2:11" ht="16" thickBot="1" x14ac:dyDescent="0.4">
      <c r="B8" s="453" t="s">
        <v>202</v>
      </c>
      <c r="C8" s="454"/>
      <c r="D8" s="454"/>
      <c r="E8" s="454"/>
      <c r="F8" s="454"/>
      <c r="G8" s="454"/>
      <c r="H8" s="454"/>
      <c r="I8" s="454"/>
      <c r="J8" s="454"/>
      <c r="K8" s="455"/>
    </row>
    <row r="9" spans="2:11" ht="15.5" x14ac:dyDescent="0.35">
      <c r="B9" s="157" t="s">
        <v>201</v>
      </c>
      <c r="C9" s="156"/>
      <c r="D9" s="107"/>
      <c r="E9" s="155" t="s">
        <v>129</v>
      </c>
      <c r="F9" s="155" t="s">
        <v>128</v>
      </c>
      <c r="G9" s="154" t="s">
        <v>127</v>
      </c>
      <c r="H9" s="153" t="s">
        <v>126</v>
      </c>
      <c r="I9" s="153" t="s">
        <v>125</v>
      </c>
      <c r="J9" s="107"/>
      <c r="K9" s="152" t="s">
        <v>200</v>
      </c>
    </row>
    <row r="10" spans="2:11" x14ac:dyDescent="0.35">
      <c r="B10" s="134" t="s">
        <v>124</v>
      </c>
      <c r="C10" s="11" t="s">
        <v>199</v>
      </c>
      <c r="D10" s="11"/>
      <c r="E10" s="248"/>
      <c r="F10" s="26" t="s">
        <v>113</v>
      </c>
      <c r="G10" s="248"/>
      <c r="H10" s="24"/>
      <c r="I10" s="24">
        <f>E10*G10</f>
        <v>0</v>
      </c>
      <c r="J10" s="136"/>
      <c r="K10" s="38">
        <f>I10</f>
        <v>0</v>
      </c>
    </row>
    <row r="11" spans="2:11" x14ac:dyDescent="0.35">
      <c r="B11" s="134" t="s">
        <v>101</v>
      </c>
      <c r="C11" s="11" t="s">
        <v>198</v>
      </c>
      <c r="D11" s="11"/>
      <c r="E11" s="248"/>
      <c r="F11" s="26" t="s">
        <v>113</v>
      </c>
      <c r="G11" s="248"/>
      <c r="H11" s="24"/>
      <c r="I11" s="24">
        <f>E11*G11</f>
        <v>0</v>
      </c>
      <c r="J11" s="136"/>
      <c r="K11" s="38">
        <f>I11</f>
        <v>0</v>
      </c>
    </row>
    <row r="12" spans="2:11" x14ac:dyDescent="0.35">
      <c r="B12" s="134" t="s">
        <v>67</v>
      </c>
      <c r="C12" s="11" t="s">
        <v>214</v>
      </c>
      <c r="D12" s="11"/>
      <c r="E12" s="248"/>
      <c r="F12" s="62" t="s">
        <v>113</v>
      </c>
      <c r="G12" s="248"/>
      <c r="H12" s="24"/>
      <c r="I12" s="24">
        <f>E12*G12</f>
        <v>0</v>
      </c>
      <c r="J12" s="136"/>
      <c r="K12" s="38">
        <f>I12</f>
        <v>0</v>
      </c>
    </row>
    <row r="13" spans="2:11" x14ac:dyDescent="0.35">
      <c r="B13" s="134" t="s">
        <v>65</v>
      </c>
      <c r="C13" s="11" t="s">
        <v>195</v>
      </c>
      <c r="D13" s="11"/>
      <c r="E13" s="248"/>
      <c r="F13" s="62" t="s">
        <v>84</v>
      </c>
      <c r="G13" s="248"/>
      <c r="H13" s="24">
        <f>E13*G13</f>
        <v>0</v>
      </c>
      <c r="I13" s="24"/>
      <c r="J13" s="136"/>
      <c r="K13" s="38">
        <f>H13</f>
        <v>0</v>
      </c>
    </row>
    <row r="14" spans="2:11" x14ac:dyDescent="0.35">
      <c r="B14" s="146"/>
      <c r="C14" s="142"/>
      <c r="D14" s="11"/>
      <c r="E14" s="137"/>
      <c r="F14" s="40"/>
      <c r="G14" s="136"/>
      <c r="H14" s="24"/>
      <c r="I14" s="141"/>
      <c r="J14" s="24"/>
      <c r="K14" s="38"/>
    </row>
    <row r="15" spans="2:11" x14ac:dyDescent="0.35">
      <c r="B15" s="130" t="s">
        <v>167</v>
      </c>
      <c r="C15" s="129"/>
      <c r="D15" s="145"/>
      <c r="E15" s="144"/>
      <c r="F15" s="126" t="s">
        <v>57</v>
      </c>
      <c r="G15" s="143"/>
      <c r="H15" s="44"/>
      <c r="I15" s="124"/>
      <c r="J15" s="117" t="s">
        <v>166</v>
      </c>
      <c r="K15" s="116">
        <f>SUM(K10:K13)</f>
        <v>0</v>
      </c>
    </row>
    <row r="16" spans="2:11" x14ac:dyDescent="0.35">
      <c r="B16" s="92"/>
      <c r="C16" s="142"/>
      <c r="D16" s="11"/>
      <c r="E16" s="26"/>
      <c r="F16" s="11"/>
      <c r="G16" s="24"/>
      <c r="H16" s="24"/>
      <c r="I16" s="141"/>
      <c r="J16" s="140"/>
      <c r="K16" s="38"/>
    </row>
    <row r="17" spans="2:12" ht="15.5" x14ac:dyDescent="0.35">
      <c r="B17" s="15" t="s">
        <v>165</v>
      </c>
      <c r="C17" s="41"/>
      <c r="D17" s="11"/>
      <c r="E17" s="26"/>
      <c r="F17" s="26"/>
      <c r="G17" s="24"/>
      <c r="H17" s="24"/>
      <c r="I17" s="24"/>
      <c r="J17" s="24"/>
      <c r="K17" s="38"/>
    </row>
    <row r="18" spans="2:12" x14ac:dyDescent="0.35">
      <c r="B18" s="134" t="s">
        <v>59</v>
      </c>
      <c r="C18" s="11" t="s">
        <v>163</v>
      </c>
      <c r="D18" s="11"/>
      <c r="E18" s="248"/>
      <c r="F18" s="26" t="s">
        <v>113</v>
      </c>
      <c r="G18" s="248"/>
      <c r="H18" s="23" t="s">
        <v>57</v>
      </c>
      <c r="I18" s="24">
        <f>E18*G18</f>
        <v>0</v>
      </c>
      <c r="J18" s="136"/>
      <c r="K18" s="38">
        <f>I18</f>
        <v>0</v>
      </c>
    </row>
    <row r="19" spans="2:12" x14ac:dyDescent="0.35">
      <c r="B19" s="134" t="s">
        <v>56</v>
      </c>
      <c r="C19" s="11" t="s">
        <v>215</v>
      </c>
      <c r="D19" s="11"/>
      <c r="E19" s="248"/>
      <c r="F19" s="26" t="s">
        <v>113</v>
      </c>
      <c r="G19" s="248"/>
      <c r="H19" s="23" t="s">
        <v>57</v>
      </c>
      <c r="I19" s="24">
        <f>E19*G19</f>
        <v>0</v>
      </c>
      <c r="J19" s="136"/>
      <c r="K19" s="38">
        <f>I19</f>
        <v>0</v>
      </c>
    </row>
    <row r="20" spans="2:12" x14ac:dyDescent="0.35">
      <c r="B20" s="134" t="s">
        <v>175</v>
      </c>
      <c r="C20" s="11" t="s">
        <v>216</v>
      </c>
      <c r="D20" s="11"/>
      <c r="E20" s="62"/>
      <c r="F20" s="62"/>
      <c r="G20" s="24"/>
      <c r="H20" s="23" t="s">
        <v>57</v>
      </c>
      <c r="I20" s="24"/>
      <c r="J20" s="136"/>
      <c r="K20" s="160"/>
      <c r="L20" s="131"/>
    </row>
    <row r="21" spans="2:12" x14ac:dyDescent="0.35">
      <c r="B21" s="134" t="s">
        <v>164</v>
      </c>
      <c r="C21" s="11" t="s">
        <v>217</v>
      </c>
      <c r="D21" s="11"/>
      <c r="E21" s="62"/>
      <c r="F21" s="62"/>
      <c r="G21" s="24"/>
      <c r="H21" s="23" t="s">
        <v>57</v>
      </c>
      <c r="I21" s="24"/>
      <c r="J21" s="136"/>
      <c r="K21" s="160"/>
      <c r="L21" s="131"/>
    </row>
    <row r="22" spans="2:12" x14ac:dyDescent="0.35">
      <c r="B22" s="134"/>
      <c r="C22" s="138" t="s">
        <v>158</v>
      </c>
      <c r="D22" s="11"/>
      <c r="E22" s="137">
        <f>($E$37/100*POWER((1+($E$37/100)),$E$38))/((POWER(((1+$E$37/100)),$E$38))-1)</f>
        <v>0.14237750272736471</v>
      </c>
      <c r="F22" s="62"/>
      <c r="G22" s="24"/>
      <c r="H22" s="24"/>
      <c r="I22" s="24"/>
      <c r="J22" s="136"/>
      <c r="K22" s="135"/>
      <c r="L22" s="131"/>
    </row>
    <row r="23" spans="2:12" x14ac:dyDescent="0.35">
      <c r="B23" s="134" t="s">
        <v>161</v>
      </c>
      <c r="C23" s="11" t="s">
        <v>156</v>
      </c>
      <c r="D23" s="11"/>
      <c r="E23" s="11"/>
      <c r="F23" s="11"/>
      <c r="G23" s="24"/>
      <c r="H23" s="133"/>
      <c r="I23" s="24"/>
      <c r="J23" s="132" t="s">
        <v>155</v>
      </c>
      <c r="K23" s="38">
        <f>E22*'3-18 EU ID 7 SCR TCI'!K64</f>
        <v>14237.750272736472</v>
      </c>
      <c r="L23" s="131"/>
    </row>
    <row r="24" spans="2:12" x14ac:dyDescent="0.35">
      <c r="B24" s="92"/>
      <c r="C24" s="11"/>
      <c r="D24" s="11"/>
      <c r="E24" s="26"/>
      <c r="F24" s="11"/>
      <c r="G24" s="24"/>
      <c r="H24" s="24"/>
      <c r="I24" s="24"/>
      <c r="J24" s="24"/>
      <c r="K24" s="38"/>
    </row>
    <row r="25" spans="2:12" x14ac:dyDescent="0.35">
      <c r="B25" s="130" t="s">
        <v>154</v>
      </c>
      <c r="C25" s="129"/>
      <c r="D25" s="128"/>
      <c r="E25" s="127"/>
      <c r="F25" s="126"/>
      <c r="G25" s="124"/>
      <c r="H25" s="125"/>
      <c r="I25" s="124"/>
      <c r="J25" s="117" t="s">
        <v>153</v>
      </c>
      <c r="K25" s="116">
        <f>SUM(K18:K23)</f>
        <v>14237.750272736472</v>
      </c>
    </row>
    <row r="26" spans="2:12" x14ac:dyDescent="0.35">
      <c r="B26" s="123"/>
      <c r="C26" s="122"/>
      <c r="D26" s="11"/>
      <c r="E26" s="26"/>
      <c r="F26" s="11"/>
      <c r="G26" s="24"/>
      <c r="H26" s="24"/>
      <c r="I26" s="24"/>
      <c r="J26" s="24"/>
      <c r="K26" s="38"/>
    </row>
    <row r="27" spans="2:12" ht="15.5" x14ac:dyDescent="0.35">
      <c r="B27" s="121" t="s">
        <v>152</v>
      </c>
      <c r="C27" s="120"/>
      <c r="D27" s="119"/>
      <c r="E27" s="249"/>
      <c r="F27" s="119"/>
      <c r="G27" s="44"/>
      <c r="H27" s="118"/>
      <c r="I27" s="44"/>
      <c r="J27" s="117" t="s">
        <v>151</v>
      </c>
      <c r="K27" s="116">
        <f>K15+K25</f>
        <v>14237.750272736472</v>
      </c>
    </row>
    <row r="28" spans="2:12" ht="15" thickBot="1" x14ac:dyDescent="0.4">
      <c r="B28" s="92"/>
      <c r="C28" s="11"/>
      <c r="D28" s="11"/>
      <c r="E28" s="26"/>
      <c r="F28" s="11"/>
      <c r="G28" s="11"/>
      <c r="H28" s="11"/>
      <c r="I28" s="11"/>
      <c r="J28" s="11"/>
      <c r="K28" s="75"/>
    </row>
    <row r="29" spans="2:12" ht="16" thickBot="1" x14ac:dyDescent="0.4">
      <c r="B29" s="458" t="s">
        <v>150</v>
      </c>
      <c r="C29" s="459"/>
      <c r="D29" s="459"/>
      <c r="E29" s="459"/>
      <c r="F29" s="459"/>
      <c r="G29" s="459"/>
      <c r="H29" s="459"/>
      <c r="I29" s="459"/>
      <c r="J29" s="459"/>
      <c r="K29" s="460"/>
    </row>
    <row r="30" spans="2:12" x14ac:dyDescent="0.35">
      <c r="B30" s="92"/>
      <c r="C30" s="11"/>
      <c r="D30" s="11"/>
      <c r="E30" s="11"/>
      <c r="F30" s="11"/>
      <c r="G30" s="11"/>
      <c r="H30" s="11"/>
      <c r="I30" s="11"/>
      <c r="J30" s="11"/>
      <c r="K30" s="75"/>
    </row>
    <row r="31" spans="2:12" ht="15.5" x14ac:dyDescent="0.35">
      <c r="B31" s="15" t="s">
        <v>218</v>
      </c>
      <c r="C31" s="41"/>
      <c r="D31" s="11"/>
      <c r="E31" s="11"/>
      <c r="F31" s="11"/>
      <c r="G31" s="11"/>
      <c r="H31" s="11"/>
      <c r="I31" s="11"/>
      <c r="J31" s="115" t="s">
        <v>148</v>
      </c>
      <c r="K31" s="259">
        <f>'3-3 Ranking-NOx'!F18</f>
        <v>0.45</v>
      </c>
    </row>
    <row r="32" spans="2:12" x14ac:dyDescent="0.35">
      <c r="B32" s="92"/>
      <c r="C32" s="11"/>
      <c r="D32" s="11"/>
      <c r="E32" s="11"/>
      <c r="F32" s="11"/>
      <c r="G32" s="11"/>
      <c r="H32" s="11"/>
      <c r="I32" s="11"/>
      <c r="J32" s="11"/>
      <c r="K32" s="75"/>
    </row>
    <row r="33" spans="2:11" ht="16" thickBot="1" x14ac:dyDescent="0.4">
      <c r="B33" s="114" t="s">
        <v>147</v>
      </c>
      <c r="C33" s="113"/>
      <c r="D33" s="111"/>
      <c r="E33" s="111"/>
      <c r="F33" s="111"/>
      <c r="G33" s="111"/>
      <c r="H33" s="112"/>
      <c r="I33" s="111"/>
      <c r="J33" s="110" t="s">
        <v>146</v>
      </c>
      <c r="K33" s="109">
        <f>K27/K31</f>
        <v>31639.445050525494</v>
      </c>
    </row>
    <row r="34" spans="2:11" ht="15" thickTop="1" x14ac:dyDescent="0.35"/>
    <row r="35" spans="2:11" ht="15" thickBot="1" x14ac:dyDescent="0.4"/>
    <row r="36" spans="2:11" x14ac:dyDescent="0.35">
      <c r="D36" s="108" t="s">
        <v>219</v>
      </c>
      <c r="E36" s="107"/>
      <c r="F36" s="106"/>
      <c r="G36" s="105"/>
    </row>
    <row r="37" spans="2:11" x14ac:dyDescent="0.35">
      <c r="D37" s="103" t="s">
        <v>144</v>
      </c>
      <c r="E37" s="104">
        <v>7</v>
      </c>
      <c r="F37" s="102" t="s">
        <v>110</v>
      </c>
    </row>
    <row r="38" spans="2:11" x14ac:dyDescent="0.35">
      <c r="D38" s="103" t="s">
        <v>143</v>
      </c>
      <c r="E38" s="248">
        <v>10</v>
      </c>
      <c r="F38" s="102" t="s">
        <v>141</v>
      </c>
    </row>
    <row r="39" spans="2:11" x14ac:dyDescent="0.35">
      <c r="D39" s="103" t="s">
        <v>220</v>
      </c>
      <c r="E39" s="248"/>
      <c r="F39" s="102" t="s">
        <v>141</v>
      </c>
    </row>
    <row r="40" spans="2:11" ht="15" thickBot="1" x14ac:dyDescent="0.4">
      <c r="D40" s="101" t="s">
        <v>221</v>
      </c>
      <c r="E40" s="100"/>
      <c r="F40" s="99" t="s">
        <v>110</v>
      </c>
    </row>
  </sheetData>
  <mergeCells count="5">
    <mergeCell ref="I3:K3"/>
    <mergeCell ref="B8:K8"/>
    <mergeCell ref="B29:K29"/>
    <mergeCell ref="B1:K1"/>
    <mergeCell ref="B2:K2"/>
  </mergeCells>
  <printOptions horizontalCentered="1"/>
  <pageMargins left="0.38" right="0.4" top="0.48" bottom="0.75" header="0.3" footer="0.3"/>
  <pageSetup scale="57" firstPageNumber="45" orientation="portrait" useFirstPageNumber="1" r:id="rId1"/>
  <headerFooter>
    <oddFooter>&amp;L&amp;"Arial,Regular"&amp;8GVEA - North Pole Facility
PM2.5 NAA BACT Analysis&amp;C&amp;"Arial,Regular"&amp;8Page 65&amp;R&amp;"Arial,Regular"&amp;8August 2017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7"/>
  <sheetViews>
    <sheetView zoomScaleNormal="100" workbookViewId="0">
      <selection activeCell="H21" sqref="H21"/>
    </sheetView>
  </sheetViews>
  <sheetFormatPr defaultColWidth="8.81640625" defaultRowHeight="14" x14ac:dyDescent="0.3"/>
  <cols>
    <col min="1" max="1" width="6.7265625" style="166" bestFit="1" customWidth="1"/>
    <col min="2" max="2" width="29.26953125" style="166" bestFit="1" customWidth="1"/>
    <col min="3" max="3" width="65.7265625" style="166" customWidth="1"/>
    <col min="4" max="16384" width="8.81640625" style="166"/>
  </cols>
  <sheetData>
    <row r="1" spans="1:5" ht="30" customHeight="1" x14ac:dyDescent="0.3">
      <c r="A1" s="394" t="s">
        <v>282</v>
      </c>
      <c r="B1" s="394"/>
      <c r="C1" s="394"/>
    </row>
    <row r="2" spans="1:5" ht="14.5" thickBot="1" x14ac:dyDescent="0.35">
      <c r="A2" s="168"/>
      <c r="B2" s="168"/>
      <c r="C2" s="161"/>
    </row>
    <row r="3" spans="1:5" x14ac:dyDescent="0.3">
      <c r="A3" s="417" t="s">
        <v>12</v>
      </c>
      <c r="B3" s="418"/>
      <c r="C3" s="404" t="s">
        <v>33</v>
      </c>
    </row>
    <row r="4" spans="1:5" ht="14.5" thickBot="1" x14ac:dyDescent="0.35">
      <c r="A4" s="376" t="s">
        <v>13</v>
      </c>
      <c r="B4" s="377" t="s">
        <v>14</v>
      </c>
      <c r="C4" s="405"/>
    </row>
    <row r="5" spans="1:5" ht="15" thickTop="1" thickBot="1" x14ac:dyDescent="0.35">
      <c r="A5" s="331"/>
      <c r="B5" s="332"/>
      <c r="C5" s="333"/>
    </row>
    <row r="6" spans="1:5" s="280" customFormat="1" ht="18.75" customHeight="1" x14ac:dyDescent="0.35">
      <c r="A6" s="413" t="s">
        <v>27</v>
      </c>
      <c r="B6" s="398" t="s">
        <v>22</v>
      </c>
      <c r="C6" s="340" t="s">
        <v>4</v>
      </c>
    </row>
    <row r="7" spans="1:5" s="280" customFormat="1" ht="18.75" customHeight="1" x14ac:dyDescent="0.35">
      <c r="A7" s="409"/>
      <c r="B7" s="399"/>
      <c r="C7" s="341" t="s">
        <v>7</v>
      </c>
    </row>
    <row r="8" spans="1:5" s="280" customFormat="1" ht="18.75" customHeight="1" x14ac:dyDescent="0.35">
      <c r="A8" s="409"/>
      <c r="B8" s="399"/>
      <c r="C8" s="341" t="s">
        <v>2</v>
      </c>
    </row>
    <row r="9" spans="1:5" s="280" customFormat="1" ht="18.75" customHeight="1" thickBot="1" x14ac:dyDescent="0.4">
      <c r="A9" s="410"/>
      <c r="B9" s="400"/>
      <c r="C9" s="342" t="s">
        <v>5</v>
      </c>
    </row>
    <row r="10" spans="1:5" s="280" customFormat="1" ht="18.75" customHeight="1" x14ac:dyDescent="0.35">
      <c r="A10" s="419" t="s">
        <v>29</v>
      </c>
      <c r="B10" s="420" t="s">
        <v>15</v>
      </c>
      <c r="C10" s="334" t="s">
        <v>4</v>
      </c>
    </row>
    <row r="11" spans="1:5" s="280" customFormat="1" ht="18.75" customHeight="1" thickBot="1" x14ac:dyDescent="0.4">
      <c r="A11" s="397"/>
      <c r="B11" s="403"/>
      <c r="C11" s="335" t="s">
        <v>2</v>
      </c>
    </row>
    <row r="12" spans="1:5" s="280" customFormat="1" ht="18.75" customHeight="1" x14ac:dyDescent="0.35">
      <c r="A12" s="413" t="s">
        <v>16</v>
      </c>
      <c r="B12" s="398" t="s">
        <v>40</v>
      </c>
      <c r="C12" s="340" t="s">
        <v>7</v>
      </c>
    </row>
    <row r="13" spans="1:5" s="281" customFormat="1" ht="18.75" customHeight="1" x14ac:dyDescent="0.35">
      <c r="A13" s="414"/>
      <c r="B13" s="399"/>
      <c r="C13" s="341" t="s">
        <v>6</v>
      </c>
    </row>
    <row r="14" spans="1:5" s="281" customFormat="1" ht="18.75" customHeight="1" x14ac:dyDescent="0.35">
      <c r="A14" s="414"/>
      <c r="B14" s="399"/>
      <c r="C14" s="341" t="s">
        <v>5</v>
      </c>
    </row>
    <row r="15" spans="1:5" s="280" customFormat="1" ht="18.75" customHeight="1" thickBot="1" x14ac:dyDescent="0.4">
      <c r="A15" s="415"/>
      <c r="B15" s="400"/>
      <c r="C15" s="342" t="s">
        <v>3</v>
      </c>
    </row>
    <row r="16" spans="1:5" s="280" customFormat="1" ht="18.75" customHeight="1" x14ac:dyDescent="0.35">
      <c r="A16" s="416" t="s">
        <v>28</v>
      </c>
      <c r="B16" s="401" t="s">
        <v>31</v>
      </c>
      <c r="C16" s="269" t="s">
        <v>229</v>
      </c>
      <c r="E16" s="170"/>
    </row>
    <row r="17" spans="1:3" s="280" customFormat="1" ht="18.75" customHeight="1" thickBot="1" x14ac:dyDescent="0.4">
      <c r="A17" s="397"/>
      <c r="B17" s="403"/>
      <c r="C17" s="165" t="s">
        <v>3</v>
      </c>
    </row>
  </sheetData>
  <mergeCells count="11">
    <mergeCell ref="B16:B17"/>
    <mergeCell ref="A1:C1"/>
    <mergeCell ref="A12:A15"/>
    <mergeCell ref="A16:A17"/>
    <mergeCell ref="A3:B3"/>
    <mergeCell ref="C3:C4"/>
    <mergeCell ref="A6:A9"/>
    <mergeCell ref="A10:A11"/>
    <mergeCell ref="B6:B9"/>
    <mergeCell ref="B10:B11"/>
    <mergeCell ref="B12:B15"/>
  </mergeCells>
  <printOptions horizontalCentered="1"/>
  <pageMargins left="0.38" right="0.4" top="0.48" bottom="0.75" header="0.3" footer="0.3"/>
  <pageSetup scale="96" firstPageNumber="45" orientation="portrait" useFirstPageNumber="1" r:id="rId1"/>
  <headerFooter>
    <oddFooter>&amp;L&amp;"Arial,Regular"&amp;8GVEA - North Pole Facility
PM2.5 NAA BACT Analysis&amp;C&amp;"Arial,Regular"&amp;8Page 48&amp;R&amp;"Arial,Regular"&amp;8August 2017</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79998168889431442"/>
    <pageSetUpPr fitToPage="1"/>
  </sheetPr>
  <dimension ref="B1:K50"/>
  <sheetViews>
    <sheetView topLeftCell="E34" zoomScale="90" zoomScaleNormal="90" zoomScalePageLayoutView="60" workbookViewId="0">
      <selection activeCell="J55" sqref="J55"/>
    </sheetView>
  </sheetViews>
  <sheetFormatPr defaultRowHeight="14.5" x14ac:dyDescent="0.35"/>
  <cols>
    <col min="1" max="1" width="2.26953125" customWidth="1"/>
    <col min="2" max="2" width="5.26953125" customWidth="1"/>
    <col min="3" max="3" width="6" customWidth="1"/>
    <col min="4" max="4" width="63.7265625" customWidth="1"/>
    <col min="6" max="6" width="19.26953125" customWidth="1"/>
    <col min="7" max="7" width="13" customWidth="1"/>
    <col min="8" max="8" width="24.1796875" customWidth="1"/>
    <col min="9" max="9" width="20.453125" customWidth="1"/>
    <col min="10" max="10" width="14.7265625" customWidth="1"/>
    <col min="11" max="11" width="17.26953125" customWidth="1"/>
    <col min="13" max="13" width="29.81640625" customWidth="1"/>
  </cols>
  <sheetData>
    <row r="1" spans="2:11" ht="17" x14ac:dyDescent="0.45">
      <c r="B1" s="463" t="s">
        <v>365</v>
      </c>
      <c r="C1" s="463"/>
      <c r="D1" s="463"/>
      <c r="E1" s="463"/>
      <c r="F1" s="463"/>
      <c r="G1" s="463"/>
      <c r="H1" s="463"/>
      <c r="I1" s="463"/>
      <c r="J1" s="463"/>
      <c r="K1" s="463"/>
    </row>
    <row r="2" spans="2:11" x14ac:dyDescent="0.35">
      <c r="B2" s="463" t="s">
        <v>287</v>
      </c>
      <c r="C2" s="463"/>
      <c r="D2" s="463"/>
      <c r="E2" s="463"/>
      <c r="F2" s="463"/>
      <c r="G2" s="463"/>
      <c r="H2" s="463"/>
      <c r="I2" s="463"/>
      <c r="J2" s="463"/>
      <c r="K2" s="463"/>
    </row>
    <row r="3" spans="2:11" ht="15" thickBot="1" x14ac:dyDescent="0.4">
      <c r="J3" s="440" t="s">
        <v>139</v>
      </c>
      <c r="K3" s="441"/>
    </row>
    <row r="4" spans="2:11" ht="21" thickTop="1" x14ac:dyDescent="0.55000000000000004">
      <c r="B4" s="98" t="s">
        <v>248</v>
      </c>
      <c r="C4" s="97"/>
      <c r="D4" s="97"/>
      <c r="E4" s="96"/>
      <c r="F4" s="96"/>
      <c r="G4" s="96"/>
      <c r="H4" s="96"/>
      <c r="I4" s="96"/>
      <c r="J4" s="95" t="s">
        <v>137</v>
      </c>
      <c r="K4" s="94"/>
    </row>
    <row r="5" spans="2:11" ht="16.5" x14ac:dyDescent="0.45">
      <c r="B5" s="92" t="s">
        <v>136</v>
      </c>
      <c r="C5" s="11"/>
      <c r="D5" s="93" t="s">
        <v>288</v>
      </c>
      <c r="E5" s="11"/>
      <c r="F5" s="11"/>
      <c r="G5" s="11"/>
      <c r="H5" s="11"/>
      <c r="I5" s="11"/>
      <c r="J5" s="40" t="s">
        <v>135</v>
      </c>
      <c r="K5" s="91"/>
    </row>
    <row r="6" spans="2:11" x14ac:dyDescent="0.35">
      <c r="B6" s="92"/>
      <c r="C6" s="11"/>
      <c r="D6" s="11"/>
      <c r="E6" s="11"/>
      <c r="F6" s="11"/>
      <c r="G6" s="11"/>
      <c r="H6" s="11"/>
      <c r="I6" s="11"/>
      <c r="J6" s="40" t="s">
        <v>133</v>
      </c>
      <c r="K6" s="91"/>
    </row>
    <row r="7" spans="2:11" ht="15" thickBot="1" x14ac:dyDescent="0.4">
      <c r="B7" s="90"/>
      <c r="C7" s="89"/>
      <c r="D7" s="89"/>
      <c r="E7" s="89"/>
      <c r="F7" s="89"/>
      <c r="G7" s="89"/>
      <c r="H7" s="89"/>
      <c r="I7" s="89"/>
      <c r="J7" s="88" t="s">
        <v>132</v>
      </c>
      <c r="K7" s="87"/>
    </row>
    <row r="8" spans="2:11" ht="36.75" customHeight="1" thickBot="1" x14ac:dyDescent="0.4">
      <c r="B8" s="442" t="s">
        <v>131</v>
      </c>
      <c r="C8" s="443"/>
      <c r="D8" s="443"/>
      <c r="E8" s="443"/>
      <c r="F8" s="443"/>
      <c r="G8" s="443"/>
      <c r="H8" s="443"/>
      <c r="I8" s="443"/>
      <c r="J8" s="443"/>
      <c r="K8" s="444"/>
    </row>
    <row r="9" spans="2:11" ht="19" thickTop="1" x14ac:dyDescent="0.45">
      <c r="B9" s="86" t="s">
        <v>130</v>
      </c>
      <c r="C9" s="82"/>
      <c r="D9" s="82"/>
      <c r="E9" s="85" t="s">
        <v>129</v>
      </c>
      <c r="F9" s="85" t="s">
        <v>128</v>
      </c>
      <c r="G9" s="84" t="s">
        <v>127</v>
      </c>
      <c r="H9" s="83" t="s">
        <v>126</v>
      </c>
      <c r="I9" s="83" t="s">
        <v>125</v>
      </c>
      <c r="J9" s="82"/>
      <c r="K9" s="81"/>
    </row>
    <row r="10" spans="2:11" ht="15.5" x14ac:dyDescent="0.35">
      <c r="B10" s="15"/>
      <c r="C10" s="11"/>
      <c r="D10" s="11"/>
      <c r="E10" s="80"/>
      <c r="F10" s="80"/>
      <c r="G10" s="79"/>
      <c r="H10" s="78"/>
      <c r="I10" s="78"/>
      <c r="J10" s="11"/>
      <c r="K10" s="77"/>
    </row>
    <row r="11" spans="2:11" ht="15.5" x14ac:dyDescent="0.35">
      <c r="B11" s="43" t="s">
        <v>124</v>
      </c>
      <c r="C11" s="41" t="s">
        <v>123</v>
      </c>
      <c r="D11" s="41"/>
      <c r="E11" s="11"/>
      <c r="F11" s="11"/>
      <c r="G11" s="11"/>
      <c r="H11" s="11"/>
      <c r="I11" s="11"/>
      <c r="J11" s="76"/>
      <c r="K11" s="75"/>
    </row>
    <row r="12" spans="2:11" ht="15.5" x14ac:dyDescent="0.35">
      <c r="B12" s="15"/>
      <c r="C12" s="41" t="s">
        <v>99</v>
      </c>
      <c r="D12" s="41" t="s">
        <v>122</v>
      </c>
      <c r="E12" s="11"/>
      <c r="F12" s="11"/>
      <c r="G12" s="11"/>
      <c r="H12" s="11"/>
      <c r="I12" s="11"/>
      <c r="J12" s="74"/>
      <c r="K12" s="47"/>
    </row>
    <row r="13" spans="2:11" x14ac:dyDescent="0.35">
      <c r="B13" s="52"/>
      <c r="C13" s="37"/>
      <c r="D13" s="50" t="s">
        <v>249</v>
      </c>
      <c r="E13" s="262">
        <v>1</v>
      </c>
      <c r="F13" s="26" t="s">
        <v>63</v>
      </c>
      <c r="G13" s="262">
        <v>21500</v>
      </c>
      <c r="H13" s="24">
        <f>E13*G13</f>
        <v>21500</v>
      </c>
      <c r="I13" s="24"/>
      <c r="J13" s="23"/>
      <c r="K13" s="9"/>
    </row>
    <row r="14" spans="2:11" x14ac:dyDescent="0.35">
      <c r="B14" s="70"/>
      <c r="C14" s="69"/>
      <c r="D14" s="54"/>
      <c r="E14" s="62"/>
      <c r="F14" s="62"/>
      <c r="G14" s="71"/>
      <c r="H14" s="68"/>
      <c r="I14" s="68"/>
      <c r="J14" s="48" t="s">
        <v>105</v>
      </c>
      <c r="K14" s="47">
        <f>SUM(H13:H13)</f>
        <v>21500</v>
      </c>
    </row>
    <row r="15" spans="2:11" ht="15.5" x14ac:dyDescent="0.35">
      <c r="B15" s="70"/>
      <c r="C15" s="72" t="s">
        <v>96</v>
      </c>
      <c r="D15" s="72" t="s">
        <v>121</v>
      </c>
      <c r="E15" s="62"/>
      <c r="F15" s="62"/>
      <c r="G15" s="71"/>
      <c r="H15" s="68"/>
      <c r="I15" s="68"/>
      <c r="J15" s="48"/>
      <c r="K15" s="38"/>
    </row>
    <row r="16" spans="2:11" x14ac:dyDescent="0.35">
      <c r="B16" s="70"/>
      <c r="C16" s="69"/>
      <c r="D16" s="54" t="s">
        <v>250</v>
      </c>
      <c r="E16" s="262"/>
      <c r="F16" s="62" t="s">
        <v>63</v>
      </c>
      <c r="G16" s="262"/>
      <c r="H16" s="24" t="s">
        <v>251</v>
      </c>
      <c r="I16" s="68"/>
      <c r="J16" s="23"/>
      <c r="K16" s="38"/>
    </row>
    <row r="17" spans="2:11" x14ac:dyDescent="0.35">
      <c r="B17" s="67"/>
      <c r="C17" s="66"/>
      <c r="D17" s="64"/>
      <c r="E17" s="65"/>
      <c r="F17" s="65"/>
      <c r="G17" s="64"/>
      <c r="H17" s="63"/>
      <c r="I17" s="63"/>
      <c r="J17" s="48" t="s">
        <v>105</v>
      </c>
      <c r="K17" s="47">
        <f>SUM(H16:H16)</f>
        <v>0</v>
      </c>
    </row>
    <row r="18" spans="2:11" ht="15.5" x14ac:dyDescent="0.35">
      <c r="B18" s="52"/>
      <c r="C18" s="41" t="s">
        <v>94</v>
      </c>
      <c r="D18" s="41" t="s">
        <v>119</v>
      </c>
      <c r="E18" s="26"/>
      <c r="F18" s="26"/>
      <c r="G18" s="11"/>
      <c r="H18" s="24"/>
      <c r="I18" s="24"/>
      <c r="J18" s="23"/>
      <c r="K18" s="38"/>
    </row>
    <row r="19" spans="2:11" x14ac:dyDescent="0.35">
      <c r="B19" s="52"/>
      <c r="C19" s="37"/>
      <c r="D19" s="50" t="s">
        <v>252</v>
      </c>
      <c r="E19" s="36"/>
      <c r="F19" s="26" t="s">
        <v>117</v>
      </c>
      <c r="G19" s="36"/>
      <c r="H19" s="68" t="s">
        <v>251</v>
      </c>
      <c r="I19" s="24">
        <f>G19*H13</f>
        <v>0</v>
      </c>
      <c r="J19" s="23"/>
      <c r="K19" s="38"/>
    </row>
    <row r="20" spans="2:11" x14ac:dyDescent="0.35">
      <c r="B20" s="56"/>
      <c r="C20" s="54"/>
      <c r="D20" s="54"/>
      <c r="E20" s="55"/>
      <c r="F20" s="55"/>
      <c r="G20" s="54"/>
      <c r="H20" s="53"/>
      <c r="I20" s="53"/>
      <c r="J20" s="48" t="s">
        <v>105</v>
      </c>
      <c r="K20" s="47">
        <f>SUM(I19:I19)</f>
        <v>0</v>
      </c>
    </row>
    <row r="21" spans="2:11" ht="15.5" x14ac:dyDescent="0.35">
      <c r="B21" s="52"/>
      <c r="C21" s="41" t="s">
        <v>91</v>
      </c>
      <c r="D21" s="41" t="s">
        <v>116</v>
      </c>
      <c r="E21" s="26"/>
      <c r="F21" s="26"/>
      <c r="G21" s="11"/>
      <c r="H21" s="24"/>
      <c r="I21" s="24"/>
      <c r="J21" s="23"/>
      <c r="K21" s="38"/>
    </row>
    <row r="22" spans="2:11" x14ac:dyDescent="0.35">
      <c r="B22" s="60"/>
      <c r="C22" s="50"/>
      <c r="D22" s="54" t="s">
        <v>115</v>
      </c>
      <c r="E22" s="35">
        <v>0</v>
      </c>
      <c r="F22" s="51" t="s">
        <v>113</v>
      </c>
      <c r="G22" s="61"/>
      <c r="H22" s="49" t="s">
        <v>253</v>
      </c>
      <c r="I22" s="49">
        <f>E22*G22</f>
        <v>0</v>
      </c>
      <c r="J22" s="58"/>
      <c r="K22" s="57"/>
    </row>
    <row r="23" spans="2:11" x14ac:dyDescent="0.35">
      <c r="B23" s="60"/>
      <c r="C23" s="50"/>
      <c r="D23" s="54" t="s">
        <v>114</v>
      </c>
      <c r="E23" s="35">
        <v>0</v>
      </c>
      <c r="F23" s="51" t="s">
        <v>113</v>
      </c>
      <c r="G23" s="61">
        <v>0</v>
      </c>
      <c r="H23" s="49" t="s">
        <v>254</v>
      </c>
      <c r="I23" s="49">
        <f>E23*G23</f>
        <v>0</v>
      </c>
      <c r="J23" s="58"/>
      <c r="K23" s="57"/>
    </row>
    <row r="24" spans="2:11" x14ac:dyDescent="0.35">
      <c r="B24" s="56"/>
      <c r="C24" s="54"/>
      <c r="D24" s="54"/>
      <c r="E24" s="55"/>
      <c r="F24" s="55"/>
      <c r="G24" s="54"/>
      <c r="H24" s="53"/>
      <c r="I24" s="53"/>
      <c r="J24" s="48" t="s">
        <v>105</v>
      </c>
      <c r="K24" s="47">
        <f>SUM(I22:I23)</f>
        <v>0</v>
      </c>
    </row>
    <row r="25" spans="2:11" ht="15.5" x14ac:dyDescent="0.35">
      <c r="B25" s="52"/>
      <c r="C25" s="41" t="s">
        <v>255</v>
      </c>
      <c r="D25" s="41" t="s">
        <v>109</v>
      </c>
      <c r="E25" s="26"/>
      <c r="F25" s="26"/>
      <c r="G25" s="11"/>
      <c r="H25" s="24"/>
      <c r="I25" s="24"/>
      <c r="J25" s="23"/>
      <c r="K25" s="38"/>
    </row>
    <row r="26" spans="2:11" x14ac:dyDescent="0.35">
      <c r="B26" s="52"/>
      <c r="C26" s="37"/>
      <c r="D26" s="50" t="s">
        <v>108</v>
      </c>
      <c r="E26" s="35">
        <v>0</v>
      </c>
      <c r="F26" s="51" t="s">
        <v>106</v>
      </c>
      <c r="G26" s="35"/>
      <c r="H26" s="49" t="s">
        <v>253</v>
      </c>
      <c r="I26" s="49">
        <f>G26*E26</f>
        <v>0</v>
      </c>
      <c r="J26" s="23"/>
      <c r="K26" s="38"/>
    </row>
    <row r="27" spans="2:11" x14ac:dyDescent="0.35">
      <c r="B27" s="52"/>
      <c r="C27" s="37"/>
      <c r="D27" s="50" t="s">
        <v>107</v>
      </c>
      <c r="E27" s="35">
        <v>0</v>
      </c>
      <c r="F27" s="51" t="s">
        <v>106</v>
      </c>
      <c r="G27" s="35"/>
      <c r="H27" s="49" t="s">
        <v>253</v>
      </c>
      <c r="I27" s="49">
        <f>G27*E27</f>
        <v>0</v>
      </c>
      <c r="J27" s="23"/>
      <c r="K27" s="38"/>
    </row>
    <row r="28" spans="2:11" x14ac:dyDescent="0.35">
      <c r="B28" s="52"/>
      <c r="C28" s="37"/>
      <c r="D28" s="37"/>
      <c r="E28" s="51"/>
      <c r="F28" s="51"/>
      <c r="G28" s="50"/>
      <c r="H28" s="49"/>
      <c r="I28" s="49"/>
      <c r="J28" s="48" t="s">
        <v>105</v>
      </c>
      <c r="K28" s="47">
        <f>SUM(I26:I27)</f>
        <v>0</v>
      </c>
    </row>
    <row r="29" spans="2:11" ht="15.5" x14ac:dyDescent="0.35">
      <c r="B29" s="21" t="s">
        <v>104</v>
      </c>
      <c r="C29" s="46"/>
      <c r="D29" s="46"/>
      <c r="E29" s="263"/>
      <c r="F29" s="263"/>
      <c r="G29" s="119"/>
      <c r="H29" s="44"/>
      <c r="I29" s="44"/>
      <c r="J29" s="17" t="s">
        <v>102</v>
      </c>
      <c r="K29" s="238">
        <f>K14+K17+K20+K24+K28</f>
        <v>21500</v>
      </c>
    </row>
    <row r="30" spans="2:11" ht="15.5" x14ac:dyDescent="0.35">
      <c r="B30" s="13"/>
      <c r="C30" s="12"/>
      <c r="D30" s="12"/>
      <c r="E30" s="26"/>
      <c r="F30" s="26"/>
      <c r="G30" s="11"/>
      <c r="H30" s="24"/>
      <c r="I30" s="24"/>
      <c r="J30" s="10"/>
      <c r="K30" s="38"/>
    </row>
    <row r="31" spans="2:11" ht="15.5" x14ac:dyDescent="0.35">
      <c r="B31" s="21" t="s">
        <v>72</v>
      </c>
      <c r="C31" s="39"/>
      <c r="D31" s="39"/>
      <c r="E31" s="33"/>
      <c r="F31" s="33"/>
      <c r="G31" s="32"/>
      <c r="H31" s="30"/>
      <c r="I31" s="30"/>
      <c r="J31" s="17" t="s">
        <v>71</v>
      </c>
      <c r="K31" s="238">
        <f>15000</f>
        <v>15000</v>
      </c>
    </row>
    <row r="32" spans="2:11" ht="15.5" x14ac:dyDescent="0.35">
      <c r="B32" s="13"/>
      <c r="C32" s="12"/>
      <c r="D32" s="12"/>
      <c r="E32" s="11"/>
      <c r="F32" s="11"/>
      <c r="G32" s="11"/>
      <c r="H32" s="10"/>
      <c r="I32" s="10"/>
      <c r="J32" s="10"/>
      <c r="K32" s="38"/>
    </row>
    <row r="33" spans="2:11" ht="15.5" x14ac:dyDescent="0.35">
      <c r="B33" s="13"/>
      <c r="C33" s="12"/>
      <c r="D33" s="12"/>
      <c r="E33" s="11"/>
      <c r="F33" s="11"/>
      <c r="G33" s="11"/>
      <c r="H33" s="10"/>
      <c r="I33" s="10"/>
      <c r="J33" s="10"/>
      <c r="K33" s="38"/>
    </row>
    <row r="34" spans="2:11" ht="15.5" x14ac:dyDescent="0.35">
      <c r="B34" s="21" t="s">
        <v>70</v>
      </c>
      <c r="C34" s="34"/>
      <c r="D34" s="34"/>
      <c r="E34" s="32"/>
      <c r="F34" s="32"/>
      <c r="G34" s="32"/>
      <c r="H34" s="31"/>
      <c r="I34" s="31"/>
      <c r="J34" s="17" t="s">
        <v>69</v>
      </c>
      <c r="K34" s="238">
        <f>+K29+K31</f>
        <v>36500</v>
      </c>
    </row>
    <row r="35" spans="2:11" ht="15.5" x14ac:dyDescent="0.35">
      <c r="B35" s="15"/>
      <c r="C35" s="12"/>
      <c r="D35" s="12"/>
      <c r="E35" s="11"/>
      <c r="F35" s="11"/>
      <c r="G35" s="37"/>
      <c r="H35" s="10"/>
      <c r="I35" s="10"/>
      <c r="J35" s="10"/>
      <c r="K35" s="9"/>
    </row>
    <row r="36" spans="2:11" ht="15.5" x14ac:dyDescent="0.35">
      <c r="B36" s="13"/>
      <c r="C36" s="12"/>
      <c r="D36" s="12"/>
      <c r="E36" s="11"/>
      <c r="F36" s="11"/>
      <c r="G36" s="11"/>
      <c r="H36" s="10"/>
      <c r="I36" s="10"/>
      <c r="J36" s="10"/>
      <c r="K36" s="9"/>
    </row>
    <row r="37" spans="2:11" ht="15.5" x14ac:dyDescent="0.35">
      <c r="B37" s="15" t="s">
        <v>68</v>
      </c>
      <c r="C37" s="12"/>
      <c r="D37" s="12"/>
      <c r="E37" s="11"/>
      <c r="F37" s="11"/>
      <c r="G37" s="11"/>
      <c r="H37" s="10"/>
      <c r="I37" s="10"/>
      <c r="J37" s="10"/>
      <c r="K37" s="9"/>
    </row>
    <row r="38" spans="2:11" ht="15.5" x14ac:dyDescent="0.35">
      <c r="B38" s="28" t="s">
        <v>101</v>
      </c>
      <c r="C38" s="12" t="s">
        <v>66</v>
      </c>
      <c r="D38" s="12"/>
      <c r="E38" s="36"/>
      <c r="F38" s="26" t="s">
        <v>54</v>
      </c>
      <c r="G38" s="36"/>
      <c r="H38" s="10"/>
      <c r="I38" s="24">
        <f>E38*K34</f>
        <v>0</v>
      </c>
      <c r="J38" s="23"/>
      <c r="K38" s="22" t="s">
        <v>57</v>
      </c>
    </row>
    <row r="39" spans="2:11" ht="15.5" x14ac:dyDescent="0.35">
      <c r="B39" s="28" t="s">
        <v>67</v>
      </c>
      <c r="C39" s="12" t="s">
        <v>64</v>
      </c>
      <c r="D39" s="12"/>
      <c r="E39" s="35"/>
      <c r="F39" s="26" t="s">
        <v>63</v>
      </c>
      <c r="G39" s="35"/>
      <c r="H39" s="10"/>
      <c r="I39" s="24">
        <f>G39*E39</f>
        <v>0</v>
      </c>
      <c r="J39" s="23"/>
      <c r="K39" s="22" t="s">
        <v>57</v>
      </c>
    </row>
    <row r="40" spans="2:11" ht="15.5" x14ac:dyDescent="0.35">
      <c r="B40" s="21" t="s">
        <v>62</v>
      </c>
      <c r="C40" s="34"/>
      <c r="D40" s="34"/>
      <c r="E40" s="32"/>
      <c r="F40" s="33"/>
      <c r="G40" s="32"/>
      <c r="H40" s="31"/>
      <c r="I40" s="30"/>
      <c r="J40" s="17" t="s">
        <v>61</v>
      </c>
      <c r="K40" s="238">
        <f>SUM(I38:I39)</f>
        <v>0</v>
      </c>
    </row>
    <row r="41" spans="2:11" ht="15.5" x14ac:dyDescent="0.35">
      <c r="B41" s="15"/>
      <c r="C41" s="12"/>
      <c r="D41" s="12"/>
      <c r="E41" s="11"/>
      <c r="F41" s="26"/>
      <c r="G41" s="11"/>
      <c r="H41" s="10"/>
      <c r="I41" s="24"/>
      <c r="J41" s="14"/>
      <c r="K41" s="9"/>
    </row>
    <row r="42" spans="2:11" ht="15.5" x14ac:dyDescent="0.35">
      <c r="B42" s="13"/>
      <c r="C42" s="12"/>
      <c r="D42" s="12"/>
      <c r="E42" s="11"/>
      <c r="F42" s="26"/>
      <c r="G42" s="11"/>
      <c r="H42" s="10"/>
      <c r="I42" s="24"/>
      <c r="J42" s="10"/>
      <c r="K42" s="9"/>
    </row>
    <row r="43" spans="2:11" ht="15.5" x14ac:dyDescent="0.35">
      <c r="B43" s="15" t="s">
        <v>60</v>
      </c>
      <c r="C43" s="12"/>
      <c r="D43" s="12"/>
      <c r="E43" s="11"/>
      <c r="F43" s="26"/>
      <c r="G43" s="11"/>
      <c r="H43" s="10"/>
      <c r="I43" s="24"/>
      <c r="J43" s="10"/>
      <c r="K43" s="9"/>
    </row>
    <row r="44" spans="2:11" ht="15.5" x14ac:dyDescent="0.35">
      <c r="B44" s="28" t="s">
        <v>65</v>
      </c>
      <c r="C44" s="12" t="s">
        <v>58</v>
      </c>
      <c r="D44" s="12"/>
      <c r="E44" s="36"/>
      <c r="F44" s="26" t="s">
        <v>54</v>
      </c>
      <c r="G44" s="36"/>
      <c r="H44" s="10"/>
      <c r="I44" s="24"/>
      <c r="J44" s="23"/>
      <c r="K44" s="22" t="s">
        <v>57</v>
      </c>
    </row>
    <row r="45" spans="2:11" ht="15.5" x14ac:dyDescent="0.35">
      <c r="B45" s="28" t="s">
        <v>59</v>
      </c>
      <c r="C45" s="12" t="s">
        <v>55</v>
      </c>
      <c r="D45" s="12"/>
      <c r="E45" s="27">
        <v>0.1</v>
      </c>
      <c r="F45" s="26" t="s">
        <v>269</v>
      </c>
      <c r="G45" s="36"/>
      <c r="H45" s="10"/>
      <c r="I45" s="24">
        <f>E45*K14</f>
        <v>2150</v>
      </c>
      <c r="J45" s="23"/>
      <c r="K45" s="22"/>
    </row>
    <row r="46" spans="2:11" ht="15.5" x14ac:dyDescent="0.35">
      <c r="B46" s="21" t="s">
        <v>53</v>
      </c>
      <c r="C46" s="20"/>
      <c r="D46" s="20"/>
      <c r="E46" s="19"/>
      <c r="F46" s="19"/>
      <c r="G46" s="19"/>
      <c r="H46" s="18"/>
      <c r="I46" s="18"/>
      <c r="J46" s="17" t="s">
        <v>52</v>
      </c>
      <c r="K46" s="239">
        <f>SUM(I44:I45)</f>
        <v>2150</v>
      </c>
    </row>
    <row r="47" spans="2:11" ht="15.5" x14ac:dyDescent="0.35">
      <c r="B47" s="15"/>
      <c r="C47" s="12"/>
      <c r="D47" s="12"/>
      <c r="E47" s="11"/>
      <c r="F47" s="11"/>
      <c r="G47" s="11"/>
      <c r="H47" s="10"/>
      <c r="I47" s="10"/>
      <c r="J47" s="14"/>
      <c r="K47" s="9"/>
    </row>
    <row r="48" spans="2:11" ht="15.5" x14ac:dyDescent="0.35">
      <c r="B48" s="13"/>
      <c r="C48" s="12"/>
      <c r="D48" s="12"/>
      <c r="E48" s="11"/>
      <c r="F48" s="11"/>
      <c r="G48" s="11"/>
      <c r="H48" s="10"/>
      <c r="I48" s="10"/>
      <c r="J48" s="10"/>
      <c r="K48" s="9"/>
    </row>
    <row r="49" spans="2:11" ht="34.5" customHeight="1" thickBot="1" x14ac:dyDescent="0.5">
      <c r="B49" s="8" t="s">
        <v>51</v>
      </c>
      <c r="C49" s="7"/>
      <c r="D49" s="7"/>
      <c r="E49" s="7"/>
      <c r="F49" s="7"/>
      <c r="G49" s="6"/>
      <c r="H49" s="5"/>
      <c r="I49" s="4"/>
      <c r="J49" s="3" t="s">
        <v>50</v>
      </c>
      <c r="K49" s="240">
        <f>K34+K40+K46</f>
        <v>38650</v>
      </c>
    </row>
    <row r="50" spans="2:11" ht="15" thickTop="1" x14ac:dyDescent="0.35"/>
  </sheetData>
  <mergeCells count="4">
    <mergeCell ref="J3:K3"/>
    <mergeCell ref="B8:K8"/>
    <mergeCell ref="B1:K1"/>
    <mergeCell ref="B2:K2"/>
  </mergeCells>
  <printOptions horizontalCentered="1"/>
  <pageMargins left="0.38" right="0.4" top="0.48" bottom="0.75" header="0.3" footer="0.3"/>
  <pageSetup scale="50" firstPageNumber="45" orientation="portrait" useFirstPageNumber="1" r:id="rId1"/>
  <headerFooter>
    <oddFooter>&amp;L&amp;"Arial,Regular"&amp;8GVEA - North Pole Facility
PM2.5 NAA BACT Analysis&amp;C&amp;"Arial,Regular"&amp;8Page 66&amp;R&amp;"Arial,Regular"&amp;8August 2017</oddFooter>
  </headerFooter>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B1:L40"/>
  <sheetViews>
    <sheetView tabSelected="1" topLeftCell="D22" zoomScaleNormal="100" zoomScalePageLayoutView="60" workbookViewId="0">
      <selection activeCell="J37" sqref="J37"/>
    </sheetView>
  </sheetViews>
  <sheetFormatPr defaultRowHeight="14.5" x14ac:dyDescent="0.35"/>
  <cols>
    <col min="1" max="1" width="3" customWidth="1"/>
    <col min="2" max="3" width="6" customWidth="1"/>
    <col min="4" max="4" width="52.54296875" customWidth="1"/>
    <col min="5" max="5" width="11.54296875" bestFit="1" customWidth="1"/>
    <col min="6" max="6" width="13.1796875" customWidth="1"/>
    <col min="7" max="7" width="15.453125" customWidth="1"/>
    <col min="8" max="8" width="24" customWidth="1"/>
    <col min="9" max="9" width="18.7265625" customWidth="1"/>
    <col min="11" max="11" width="13.26953125" customWidth="1"/>
  </cols>
  <sheetData>
    <row r="1" spans="2:11" ht="17" x14ac:dyDescent="0.45">
      <c r="B1" s="463" t="s">
        <v>366</v>
      </c>
      <c r="C1" s="463"/>
      <c r="D1" s="463"/>
      <c r="E1" s="463"/>
      <c r="F1" s="463"/>
      <c r="G1" s="463"/>
      <c r="H1" s="463"/>
      <c r="I1" s="463"/>
      <c r="J1" s="463"/>
      <c r="K1" s="463"/>
    </row>
    <row r="2" spans="2:11" x14ac:dyDescent="0.35">
      <c r="B2" s="463" t="s">
        <v>287</v>
      </c>
      <c r="C2" s="463"/>
      <c r="D2" s="463"/>
      <c r="E2" s="463"/>
      <c r="F2" s="463"/>
      <c r="G2" s="463"/>
      <c r="H2" s="463"/>
      <c r="I2" s="463"/>
      <c r="J2" s="463"/>
      <c r="K2" s="463"/>
    </row>
    <row r="3" spans="2:11" ht="15" thickBot="1" x14ac:dyDescent="0.4">
      <c r="I3" s="450" t="s">
        <v>205</v>
      </c>
      <c r="J3" s="451"/>
      <c r="K3" s="452"/>
    </row>
    <row r="4" spans="2:11" ht="21" thickTop="1" x14ac:dyDescent="0.55000000000000004">
      <c r="B4" s="98" t="s">
        <v>245</v>
      </c>
      <c r="C4" s="158"/>
      <c r="D4" s="96"/>
      <c r="E4" s="96"/>
      <c r="F4" s="96"/>
      <c r="G4" s="96"/>
      <c r="H4" s="96"/>
      <c r="I4" s="96"/>
      <c r="J4" s="95" t="s">
        <v>137</v>
      </c>
      <c r="K4" s="94"/>
    </row>
    <row r="5" spans="2:11" ht="16.5" x14ac:dyDescent="0.45">
      <c r="B5" s="92" t="s">
        <v>203</v>
      </c>
      <c r="C5" s="11"/>
      <c r="D5" s="93" t="s">
        <v>289</v>
      </c>
      <c r="E5" s="93"/>
      <c r="F5" s="11"/>
      <c r="G5" s="11"/>
      <c r="H5" s="11"/>
      <c r="I5" s="11"/>
      <c r="J5" s="40" t="s">
        <v>135</v>
      </c>
      <c r="K5" s="91"/>
    </row>
    <row r="6" spans="2:11" x14ac:dyDescent="0.35">
      <c r="B6" s="92"/>
      <c r="C6" s="11"/>
      <c r="D6" s="11"/>
      <c r="E6" s="11"/>
      <c r="F6" s="11"/>
      <c r="G6" s="11"/>
      <c r="H6" s="11"/>
      <c r="I6" s="11"/>
      <c r="J6" s="40" t="s">
        <v>133</v>
      </c>
      <c r="K6" s="91"/>
    </row>
    <row r="7" spans="2:11" ht="15" thickBot="1" x14ac:dyDescent="0.4">
      <c r="B7" s="90"/>
      <c r="C7" s="89"/>
      <c r="D7" s="89"/>
      <c r="E7" s="89"/>
      <c r="F7" s="89"/>
      <c r="G7" s="89"/>
      <c r="H7" s="89"/>
      <c r="I7" s="89"/>
      <c r="J7" s="88" t="s">
        <v>132</v>
      </c>
      <c r="K7" s="87"/>
    </row>
    <row r="8" spans="2:11" ht="16" thickBot="1" x14ac:dyDescent="0.4">
      <c r="B8" s="453" t="s">
        <v>202</v>
      </c>
      <c r="C8" s="454"/>
      <c r="D8" s="454"/>
      <c r="E8" s="454"/>
      <c r="F8" s="454"/>
      <c r="G8" s="454"/>
      <c r="H8" s="454"/>
      <c r="I8" s="454"/>
      <c r="J8" s="454"/>
      <c r="K8" s="455"/>
    </row>
    <row r="9" spans="2:11" ht="15.5" x14ac:dyDescent="0.35">
      <c r="B9" s="157" t="s">
        <v>201</v>
      </c>
      <c r="C9" s="156"/>
      <c r="D9" s="107"/>
      <c r="E9" s="155" t="s">
        <v>129</v>
      </c>
      <c r="F9" s="155" t="s">
        <v>128</v>
      </c>
      <c r="G9" s="154" t="s">
        <v>127</v>
      </c>
      <c r="H9" s="153" t="s">
        <v>126</v>
      </c>
      <c r="I9" s="153" t="s">
        <v>125</v>
      </c>
      <c r="J9" s="107"/>
      <c r="K9" s="152" t="s">
        <v>200</v>
      </c>
    </row>
    <row r="10" spans="2:11" x14ac:dyDescent="0.35">
      <c r="B10" s="134" t="s">
        <v>124</v>
      </c>
      <c r="C10" s="11" t="s">
        <v>199</v>
      </c>
      <c r="D10" s="11"/>
      <c r="E10" s="262"/>
      <c r="F10" s="26" t="s">
        <v>113</v>
      </c>
      <c r="G10" s="262"/>
      <c r="H10" s="24"/>
      <c r="I10" s="24">
        <f>E10*G10</f>
        <v>0</v>
      </c>
      <c r="J10" s="136"/>
      <c r="K10" s="38">
        <f>I10</f>
        <v>0</v>
      </c>
    </row>
    <row r="11" spans="2:11" x14ac:dyDescent="0.35">
      <c r="B11" s="134" t="s">
        <v>101</v>
      </c>
      <c r="C11" s="11" t="s">
        <v>198</v>
      </c>
      <c r="D11" s="11"/>
      <c r="E11" s="262"/>
      <c r="F11" s="26" t="s">
        <v>113</v>
      </c>
      <c r="G11" s="262"/>
      <c r="H11" s="24"/>
      <c r="I11" s="24">
        <f>E11*G11</f>
        <v>0</v>
      </c>
      <c r="J11" s="136"/>
      <c r="K11" s="38">
        <f>I11</f>
        <v>0</v>
      </c>
    </row>
    <row r="12" spans="2:11" x14ac:dyDescent="0.35">
      <c r="B12" s="134" t="s">
        <v>67</v>
      </c>
      <c r="C12" s="11" t="s">
        <v>214</v>
      </c>
      <c r="D12" s="11"/>
      <c r="E12" s="262"/>
      <c r="F12" s="62" t="s">
        <v>113</v>
      </c>
      <c r="G12" s="262"/>
      <c r="H12" s="24"/>
      <c r="I12" s="24">
        <f>E12*G12</f>
        <v>0</v>
      </c>
      <c r="J12" s="136"/>
      <c r="K12" s="38">
        <f>I12</f>
        <v>0</v>
      </c>
    </row>
    <row r="13" spans="2:11" x14ac:dyDescent="0.35">
      <c r="B13" s="134" t="s">
        <v>65</v>
      </c>
      <c r="C13" s="11" t="s">
        <v>195</v>
      </c>
      <c r="D13" s="11"/>
      <c r="E13" s="262"/>
      <c r="F13" s="62" t="s">
        <v>84</v>
      </c>
      <c r="G13" s="262"/>
      <c r="H13" s="24">
        <f>E13*G13</f>
        <v>0</v>
      </c>
      <c r="I13" s="24"/>
      <c r="J13" s="136"/>
      <c r="K13" s="38">
        <f>H13</f>
        <v>0</v>
      </c>
    </row>
    <row r="14" spans="2:11" x14ac:dyDescent="0.35">
      <c r="B14" s="146"/>
      <c r="C14" s="142"/>
      <c r="D14" s="11"/>
      <c r="E14" s="137"/>
      <c r="F14" s="40"/>
      <c r="G14" s="136"/>
      <c r="H14" s="24"/>
      <c r="I14" s="141"/>
      <c r="J14" s="24"/>
      <c r="K14" s="38"/>
    </row>
    <row r="15" spans="2:11" x14ac:dyDescent="0.35">
      <c r="B15" s="130" t="s">
        <v>167</v>
      </c>
      <c r="C15" s="129"/>
      <c r="D15" s="145"/>
      <c r="E15" s="144"/>
      <c r="F15" s="237" t="s">
        <v>209</v>
      </c>
      <c r="G15" s="143"/>
      <c r="H15" s="44"/>
      <c r="I15" s="124"/>
      <c r="J15" s="117" t="s">
        <v>166</v>
      </c>
      <c r="K15" s="116">
        <f>SUM(K10:K13)</f>
        <v>0</v>
      </c>
    </row>
    <row r="16" spans="2:11" x14ac:dyDescent="0.35">
      <c r="B16" s="92"/>
      <c r="C16" s="142"/>
      <c r="D16" s="11"/>
      <c r="E16" s="26"/>
      <c r="F16" s="11"/>
      <c r="G16" s="24"/>
      <c r="H16" s="24"/>
      <c r="I16" s="141"/>
      <c r="J16" s="140"/>
      <c r="K16" s="38"/>
    </row>
    <row r="17" spans="2:12" ht="15.5" x14ac:dyDescent="0.35">
      <c r="B17" s="15" t="s">
        <v>165</v>
      </c>
      <c r="C17" s="41"/>
      <c r="D17" s="11"/>
      <c r="E17" s="26"/>
      <c r="F17" s="26"/>
      <c r="G17" s="24"/>
      <c r="H17" s="24"/>
      <c r="I17" s="24"/>
      <c r="J17" s="24"/>
      <c r="K17" s="38"/>
    </row>
    <row r="18" spans="2:12" x14ac:dyDescent="0.35">
      <c r="B18" s="134" t="s">
        <v>59</v>
      </c>
      <c r="C18" s="11" t="s">
        <v>163</v>
      </c>
      <c r="D18" s="11"/>
      <c r="E18" s="262"/>
      <c r="F18" s="26" t="s">
        <v>113</v>
      </c>
      <c r="G18" s="262"/>
      <c r="H18" s="23" t="s">
        <v>57</v>
      </c>
      <c r="I18" s="24">
        <f>E18*G18</f>
        <v>0</v>
      </c>
      <c r="J18" s="136"/>
      <c r="K18" s="38">
        <f>I18</f>
        <v>0</v>
      </c>
    </row>
    <row r="19" spans="2:12" x14ac:dyDescent="0.35">
      <c r="B19" s="134" t="s">
        <v>56</v>
      </c>
      <c r="C19" s="11" t="s">
        <v>215</v>
      </c>
      <c r="D19" s="11"/>
      <c r="E19" s="262"/>
      <c r="F19" s="26" t="s">
        <v>113</v>
      </c>
      <c r="G19" s="262"/>
      <c r="H19" s="23" t="s">
        <v>57</v>
      </c>
      <c r="I19" s="24">
        <f>E19*G19</f>
        <v>0</v>
      </c>
      <c r="J19" s="136"/>
      <c r="K19" s="38">
        <f>I19</f>
        <v>0</v>
      </c>
    </row>
    <row r="20" spans="2:12" x14ac:dyDescent="0.35">
      <c r="B20" s="134" t="s">
        <v>175</v>
      </c>
      <c r="C20" s="11" t="s">
        <v>216</v>
      </c>
      <c r="D20" s="11"/>
      <c r="E20" s="62"/>
      <c r="F20" s="62"/>
      <c r="G20" s="24"/>
      <c r="H20" s="23" t="s">
        <v>57</v>
      </c>
      <c r="I20" s="24"/>
      <c r="J20" s="136"/>
      <c r="K20" s="160"/>
      <c r="L20" s="131"/>
    </row>
    <row r="21" spans="2:12" x14ac:dyDescent="0.35">
      <c r="B21" s="134" t="s">
        <v>164</v>
      </c>
      <c r="C21" s="11" t="s">
        <v>217</v>
      </c>
      <c r="D21" s="11"/>
      <c r="E21" s="62"/>
      <c r="F21" s="62"/>
      <c r="G21" s="24"/>
      <c r="H21" s="23" t="s">
        <v>57</v>
      </c>
      <c r="I21" s="24"/>
      <c r="J21" s="136"/>
      <c r="K21" s="160"/>
      <c r="L21" s="131"/>
    </row>
    <row r="22" spans="2:12" x14ac:dyDescent="0.35">
      <c r="B22" s="134"/>
      <c r="C22" s="138" t="s">
        <v>158</v>
      </c>
      <c r="D22" s="11"/>
      <c r="E22" s="137">
        <f>($E$37/100*POWER((1+($E$37/100)),$E$38))/((POWER(((1+$E$37/100)),$E$38))-1)</f>
        <v>8.0242587190691314E-2</v>
      </c>
      <c r="F22" s="62"/>
      <c r="G22" s="24"/>
      <c r="H22" s="24"/>
      <c r="I22" s="24"/>
      <c r="J22" s="136"/>
      <c r="K22" s="135"/>
      <c r="L22" s="131"/>
    </row>
    <row r="23" spans="2:12" x14ac:dyDescent="0.35">
      <c r="B23" s="134" t="s">
        <v>161</v>
      </c>
      <c r="C23" s="11" t="s">
        <v>156</v>
      </c>
      <c r="D23" s="11"/>
      <c r="E23" s="11"/>
      <c r="F23" s="11"/>
      <c r="G23" s="24"/>
      <c r="H23" s="133"/>
      <c r="I23" s="24"/>
      <c r="J23" s="132" t="s">
        <v>155</v>
      </c>
      <c r="K23" s="38">
        <f>E22*'3-20 EU ID 11 &amp; 12 LNB TCI'!K49</f>
        <v>3101.3759949202195</v>
      </c>
      <c r="L23" s="131"/>
    </row>
    <row r="24" spans="2:12" x14ac:dyDescent="0.35">
      <c r="B24" s="92"/>
      <c r="C24" s="11"/>
      <c r="D24" s="11"/>
      <c r="E24" s="26"/>
      <c r="F24" s="11"/>
      <c r="G24" s="24"/>
      <c r="H24" s="24"/>
      <c r="I24" s="24"/>
      <c r="J24" s="24"/>
      <c r="K24" s="38"/>
    </row>
    <row r="25" spans="2:12" x14ac:dyDescent="0.35">
      <c r="B25" s="130" t="s">
        <v>154</v>
      </c>
      <c r="C25" s="129"/>
      <c r="D25" s="128"/>
      <c r="E25" s="127"/>
      <c r="F25" s="128"/>
      <c r="G25" s="124"/>
      <c r="H25" s="125"/>
      <c r="I25" s="124"/>
      <c r="J25" s="117" t="s">
        <v>153</v>
      </c>
      <c r="K25" s="116">
        <f>SUM(K18:K23)</f>
        <v>3101.3759949202195</v>
      </c>
    </row>
    <row r="26" spans="2:12" x14ac:dyDescent="0.35">
      <c r="B26" s="123"/>
      <c r="C26" s="122"/>
      <c r="D26" s="11"/>
      <c r="E26" s="26"/>
      <c r="F26" s="11"/>
      <c r="G26" s="24"/>
      <c r="H26" s="24"/>
      <c r="I26" s="24"/>
      <c r="J26" s="24"/>
      <c r="K26" s="38"/>
    </row>
    <row r="27" spans="2:12" ht="15.5" x14ac:dyDescent="0.35">
      <c r="B27" s="121" t="s">
        <v>152</v>
      </c>
      <c r="C27" s="120"/>
      <c r="D27" s="119"/>
      <c r="E27" s="263"/>
      <c r="F27" s="119"/>
      <c r="G27" s="44"/>
      <c r="H27" s="118"/>
      <c r="I27" s="44"/>
      <c r="J27" s="117" t="s">
        <v>151</v>
      </c>
      <c r="K27" s="116">
        <f>K15+K25</f>
        <v>3101.3759949202195</v>
      </c>
    </row>
    <row r="28" spans="2:12" ht="15" thickBot="1" x14ac:dyDescent="0.4">
      <c r="B28" s="92"/>
      <c r="C28" s="11"/>
      <c r="D28" s="11"/>
      <c r="E28" s="26"/>
      <c r="F28" s="11"/>
      <c r="G28" s="11"/>
      <c r="H28" s="11"/>
      <c r="I28" s="11"/>
      <c r="J28" s="11"/>
      <c r="K28" s="75"/>
    </row>
    <row r="29" spans="2:12" ht="16" thickBot="1" x14ac:dyDescent="0.4">
      <c r="B29" s="458" t="s">
        <v>150</v>
      </c>
      <c r="C29" s="459"/>
      <c r="D29" s="459"/>
      <c r="E29" s="459"/>
      <c r="F29" s="459"/>
      <c r="G29" s="459"/>
      <c r="H29" s="459"/>
      <c r="I29" s="459"/>
      <c r="J29" s="459"/>
      <c r="K29" s="460"/>
    </row>
    <row r="30" spans="2:12" x14ac:dyDescent="0.35">
      <c r="B30" s="92"/>
      <c r="C30" s="11"/>
      <c r="D30" s="11"/>
      <c r="E30" s="11"/>
      <c r="F30" s="11"/>
      <c r="G30" s="11"/>
      <c r="H30" s="11"/>
      <c r="I30" s="11"/>
      <c r="J30" s="11"/>
      <c r="K30" s="75"/>
    </row>
    <row r="31" spans="2:12" ht="15.5" x14ac:dyDescent="0.35">
      <c r="B31" s="15" t="s">
        <v>218</v>
      </c>
      <c r="C31" s="41"/>
      <c r="D31" s="11"/>
      <c r="E31" s="11"/>
      <c r="F31" s="11"/>
      <c r="G31" s="11"/>
      <c r="H31" s="11"/>
      <c r="I31" s="11"/>
      <c r="J31" s="115" t="s">
        <v>148</v>
      </c>
      <c r="K31" s="259">
        <f>'3-3 Ranking-NOx'!F20</f>
        <v>2.17</v>
      </c>
    </row>
    <row r="32" spans="2:12" x14ac:dyDescent="0.35">
      <c r="B32" s="92"/>
      <c r="C32" s="11"/>
      <c r="D32" s="11"/>
      <c r="E32" s="11"/>
      <c r="F32" s="11"/>
      <c r="G32" s="11"/>
      <c r="H32" s="11"/>
      <c r="I32" s="11"/>
      <c r="J32" s="11"/>
      <c r="K32" s="75"/>
    </row>
    <row r="33" spans="2:11" ht="16" thickBot="1" x14ac:dyDescent="0.4">
      <c r="B33" s="114" t="s">
        <v>147</v>
      </c>
      <c r="C33" s="113"/>
      <c r="D33" s="111"/>
      <c r="E33" s="111"/>
      <c r="F33" s="111"/>
      <c r="G33" s="111"/>
      <c r="H33" s="112"/>
      <c r="I33" s="111"/>
      <c r="J33" s="110" t="s">
        <v>146</v>
      </c>
      <c r="K33" s="109">
        <f>K27/K31</f>
        <v>1429.2055276130045</v>
      </c>
    </row>
    <row r="34" spans="2:11" ht="15" thickTop="1" x14ac:dyDescent="0.35"/>
    <row r="35" spans="2:11" ht="15" thickBot="1" x14ac:dyDescent="0.4"/>
    <row r="36" spans="2:11" x14ac:dyDescent="0.35">
      <c r="D36" s="108" t="s">
        <v>246</v>
      </c>
      <c r="E36" s="107"/>
      <c r="F36" s="106"/>
      <c r="G36" s="105"/>
    </row>
    <row r="37" spans="2:11" x14ac:dyDescent="0.35">
      <c r="D37" s="103" t="s">
        <v>144</v>
      </c>
      <c r="E37" s="104">
        <v>5</v>
      </c>
      <c r="F37" s="102" t="s">
        <v>110</v>
      </c>
    </row>
    <row r="38" spans="2:11" x14ac:dyDescent="0.35">
      <c r="D38" s="103" t="s">
        <v>143</v>
      </c>
      <c r="E38" s="262">
        <v>20</v>
      </c>
      <c r="F38" s="102" t="s">
        <v>141</v>
      </c>
    </row>
    <row r="39" spans="2:11" x14ac:dyDescent="0.35">
      <c r="D39" s="103" t="s">
        <v>142</v>
      </c>
      <c r="E39" s="262" t="s">
        <v>23</v>
      </c>
      <c r="F39" s="102" t="s">
        <v>141</v>
      </c>
    </row>
    <row r="40" spans="2:11" ht="15" thickBot="1" x14ac:dyDescent="0.4">
      <c r="D40" s="101" t="s">
        <v>247</v>
      </c>
      <c r="E40" s="100" t="s">
        <v>23</v>
      </c>
      <c r="F40" s="99" t="s">
        <v>110</v>
      </c>
    </row>
  </sheetData>
  <mergeCells count="5">
    <mergeCell ref="I3:K3"/>
    <mergeCell ref="B8:K8"/>
    <mergeCell ref="B29:K29"/>
    <mergeCell ref="B1:K1"/>
    <mergeCell ref="B2:K2"/>
  </mergeCells>
  <printOptions horizontalCentered="1"/>
  <pageMargins left="0.38" right="0.4" top="0.48" bottom="0.75" header="0.3" footer="0.3"/>
  <pageSetup scale="56" firstPageNumber="45" orientation="portrait" useFirstPageNumber="1" r:id="rId1"/>
  <headerFooter>
    <oddFooter>&amp;L&amp;"Arial,Regular"&amp;8GVEA - North Pole Facility
PM2.5 NAA BACT Analysis&amp;C&amp;"Arial,Regular"&amp;8Page 66&amp;R&amp;"Arial,Regular"&amp;8August 2017</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7"/>
  <sheetViews>
    <sheetView zoomScaleNormal="100" workbookViewId="0">
      <selection activeCell="H21" sqref="H21"/>
    </sheetView>
  </sheetViews>
  <sheetFormatPr defaultRowHeight="12.5" x14ac:dyDescent="0.25"/>
  <cols>
    <col min="1" max="1" width="41.26953125" style="174" customWidth="1"/>
    <col min="2" max="2" width="14.81640625" style="174" customWidth="1"/>
    <col min="3" max="5" width="17.7265625" style="174" customWidth="1"/>
    <col min="6" max="6" width="17.81640625" style="174" customWidth="1"/>
    <col min="7" max="7" width="20.1796875" style="174" customWidth="1"/>
    <col min="8" max="247" width="8.81640625" style="174"/>
    <col min="248" max="248" width="35.7265625" style="174" customWidth="1"/>
    <col min="249" max="249" width="10.7265625" style="174" customWidth="1"/>
    <col min="250" max="250" width="11" style="174" customWidth="1"/>
    <col min="251" max="251" width="10.7265625" style="174" customWidth="1"/>
    <col min="252" max="252" width="13.26953125" style="174" customWidth="1"/>
    <col min="253" max="253" width="9.26953125" style="174" bestFit="1" customWidth="1"/>
    <col min="254" max="260" width="9.1796875" style="174" customWidth="1"/>
    <col min="261" max="261" width="9.26953125" style="174" bestFit="1" customWidth="1"/>
    <col min="262" max="503" width="8.81640625" style="174"/>
    <col min="504" max="504" width="35.7265625" style="174" customWidth="1"/>
    <col min="505" max="505" width="10.7265625" style="174" customWidth="1"/>
    <col min="506" max="506" width="11" style="174" customWidth="1"/>
    <col min="507" max="507" width="10.7265625" style="174" customWidth="1"/>
    <col min="508" max="508" width="13.26953125" style="174" customWidth="1"/>
    <col min="509" max="509" width="9.26953125" style="174" bestFit="1" customWidth="1"/>
    <col min="510" max="516" width="9.1796875" style="174" customWidth="1"/>
    <col min="517" max="517" width="9.26953125" style="174" bestFit="1" customWidth="1"/>
    <col min="518" max="759" width="8.81640625" style="174"/>
    <col min="760" max="760" width="35.7265625" style="174" customWidth="1"/>
    <col min="761" max="761" width="10.7265625" style="174" customWidth="1"/>
    <col min="762" max="762" width="11" style="174" customWidth="1"/>
    <col min="763" max="763" width="10.7265625" style="174" customWidth="1"/>
    <col min="764" max="764" width="13.26953125" style="174" customWidth="1"/>
    <col min="765" max="765" width="9.26953125" style="174" bestFit="1" customWidth="1"/>
    <col min="766" max="772" width="9.1796875" style="174" customWidth="1"/>
    <col min="773" max="773" width="9.26953125" style="174" bestFit="1" customWidth="1"/>
    <col min="774" max="1015" width="8.81640625" style="174"/>
    <col min="1016" max="1016" width="35.7265625" style="174" customWidth="1"/>
    <col min="1017" max="1017" width="10.7265625" style="174" customWidth="1"/>
    <col min="1018" max="1018" width="11" style="174" customWidth="1"/>
    <col min="1019" max="1019" width="10.7265625" style="174" customWidth="1"/>
    <col min="1020" max="1020" width="13.26953125" style="174" customWidth="1"/>
    <col min="1021" max="1021" width="9.26953125" style="174" bestFit="1" customWidth="1"/>
    <col min="1022" max="1028" width="9.1796875" style="174" customWidth="1"/>
    <col min="1029" max="1029" width="9.26953125" style="174" bestFit="1" customWidth="1"/>
    <col min="1030" max="1271" width="8.81640625" style="174"/>
    <col min="1272" max="1272" width="35.7265625" style="174" customWidth="1"/>
    <col min="1273" max="1273" width="10.7265625" style="174" customWidth="1"/>
    <col min="1274" max="1274" width="11" style="174" customWidth="1"/>
    <col min="1275" max="1275" width="10.7265625" style="174" customWidth="1"/>
    <col min="1276" max="1276" width="13.26953125" style="174" customWidth="1"/>
    <col min="1277" max="1277" width="9.26953125" style="174" bestFit="1" customWidth="1"/>
    <col min="1278" max="1284" width="9.1796875" style="174" customWidth="1"/>
    <col min="1285" max="1285" width="9.26953125" style="174" bestFit="1" customWidth="1"/>
    <col min="1286" max="1527" width="8.81640625" style="174"/>
    <col min="1528" max="1528" width="35.7265625" style="174" customWidth="1"/>
    <col min="1529" max="1529" width="10.7265625" style="174" customWidth="1"/>
    <col min="1530" max="1530" width="11" style="174" customWidth="1"/>
    <col min="1531" max="1531" width="10.7265625" style="174" customWidth="1"/>
    <col min="1532" max="1532" width="13.26953125" style="174" customWidth="1"/>
    <col min="1533" max="1533" width="9.26953125" style="174" bestFit="1" customWidth="1"/>
    <col min="1534" max="1540" width="9.1796875" style="174" customWidth="1"/>
    <col min="1541" max="1541" width="9.26953125" style="174" bestFit="1" customWidth="1"/>
    <col min="1542" max="1783" width="8.81640625" style="174"/>
    <col min="1784" max="1784" width="35.7265625" style="174" customWidth="1"/>
    <col min="1785" max="1785" width="10.7265625" style="174" customWidth="1"/>
    <col min="1786" max="1786" width="11" style="174" customWidth="1"/>
    <col min="1787" max="1787" width="10.7265625" style="174" customWidth="1"/>
    <col min="1788" max="1788" width="13.26953125" style="174" customWidth="1"/>
    <col min="1789" max="1789" width="9.26953125" style="174" bestFit="1" customWidth="1"/>
    <col min="1790" max="1796" width="9.1796875" style="174" customWidth="1"/>
    <col min="1797" max="1797" width="9.26953125" style="174" bestFit="1" customWidth="1"/>
    <col min="1798" max="2039" width="8.81640625" style="174"/>
    <col min="2040" max="2040" width="35.7265625" style="174" customWidth="1"/>
    <col min="2041" max="2041" width="10.7265625" style="174" customWidth="1"/>
    <col min="2042" max="2042" width="11" style="174" customWidth="1"/>
    <col min="2043" max="2043" width="10.7265625" style="174" customWidth="1"/>
    <col min="2044" max="2044" width="13.26953125" style="174" customWidth="1"/>
    <col min="2045" max="2045" width="9.26953125" style="174" bestFit="1" customWidth="1"/>
    <col min="2046" max="2052" width="9.1796875" style="174" customWidth="1"/>
    <col min="2053" max="2053" width="9.26953125" style="174" bestFit="1" customWidth="1"/>
    <col min="2054" max="2295" width="8.81640625" style="174"/>
    <col min="2296" max="2296" width="35.7265625" style="174" customWidth="1"/>
    <col min="2297" max="2297" width="10.7265625" style="174" customWidth="1"/>
    <col min="2298" max="2298" width="11" style="174" customWidth="1"/>
    <col min="2299" max="2299" width="10.7265625" style="174" customWidth="1"/>
    <col min="2300" max="2300" width="13.26953125" style="174" customWidth="1"/>
    <col min="2301" max="2301" width="9.26953125" style="174" bestFit="1" customWidth="1"/>
    <col min="2302" max="2308" width="9.1796875" style="174" customWidth="1"/>
    <col min="2309" max="2309" width="9.26953125" style="174" bestFit="1" customWidth="1"/>
    <col min="2310" max="2551" width="8.81640625" style="174"/>
    <col min="2552" max="2552" width="35.7265625" style="174" customWidth="1"/>
    <col min="2553" max="2553" width="10.7265625" style="174" customWidth="1"/>
    <col min="2554" max="2554" width="11" style="174" customWidth="1"/>
    <col min="2555" max="2555" width="10.7265625" style="174" customWidth="1"/>
    <col min="2556" max="2556" width="13.26953125" style="174" customWidth="1"/>
    <col min="2557" max="2557" width="9.26953125" style="174" bestFit="1" customWidth="1"/>
    <col min="2558" max="2564" width="9.1796875" style="174" customWidth="1"/>
    <col min="2565" max="2565" width="9.26953125" style="174" bestFit="1" customWidth="1"/>
    <col min="2566" max="2807" width="8.81640625" style="174"/>
    <col min="2808" max="2808" width="35.7265625" style="174" customWidth="1"/>
    <col min="2809" max="2809" width="10.7265625" style="174" customWidth="1"/>
    <col min="2810" max="2810" width="11" style="174" customWidth="1"/>
    <col min="2811" max="2811" width="10.7265625" style="174" customWidth="1"/>
    <col min="2812" max="2812" width="13.26953125" style="174" customWidth="1"/>
    <col min="2813" max="2813" width="9.26953125" style="174" bestFit="1" customWidth="1"/>
    <col min="2814" max="2820" width="9.1796875" style="174" customWidth="1"/>
    <col min="2821" max="2821" width="9.26953125" style="174" bestFit="1" customWidth="1"/>
    <col min="2822" max="3063" width="8.81640625" style="174"/>
    <col min="3064" max="3064" width="35.7265625" style="174" customWidth="1"/>
    <col min="3065" max="3065" width="10.7265625" style="174" customWidth="1"/>
    <col min="3066" max="3066" width="11" style="174" customWidth="1"/>
    <col min="3067" max="3067" width="10.7265625" style="174" customWidth="1"/>
    <col min="3068" max="3068" width="13.26953125" style="174" customWidth="1"/>
    <col min="3069" max="3069" width="9.26953125" style="174" bestFit="1" customWidth="1"/>
    <col min="3070" max="3076" width="9.1796875" style="174" customWidth="1"/>
    <col min="3077" max="3077" width="9.26953125" style="174" bestFit="1" customWidth="1"/>
    <col min="3078" max="3319" width="8.81640625" style="174"/>
    <col min="3320" max="3320" width="35.7265625" style="174" customWidth="1"/>
    <col min="3321" max="3321" width="10.7265625" style="174" customWidth="1"/>
    <col min="3322" max="3322" width="11" style="174" customWidth="1"/>
    <col min="3323" max="3323" width="10.7265625" style="174" customWidth="1"/>
    <col min="3324" max="3324" width="13.26953125" style="174" customWidth="1"/>
    <col min="3325" max="3325" width="9.26953125" style="174" bestFit="1" customWidth="1"/>
    <col min="3326" max="3332" width="9.1796875" style="174" customWidth="1"/>
    <col min="3333" max="3333" width="9.26953125" style="174" bestFit="1" customWidth="1"/>
    <col min="3334" max="3575" width="8.81640625" style="174"/>
    <col min="3576" max="3576" width="35.7265625" style="174" customWidth="1"/>
    <col min="3577" max="3577" width="10.7265625" style="174" customWidth="1"/>
    <col min="3578" max="3578" width="11" style="174" customWidth="1"/>
    <col min="3579" max="3579" width="10.7265625" style="174" customWidth="1"/>
    <col min="3580" max="3580" width="13.26953125" style="174" customWidth="1"/>
    <col min="3581" max="3581" width="9.26953125" style="174" bestFit="1" customWidth="1"/>
    <col min="3582" max="3588" width="9.1796875" style="174" customWidth="1"/>
    <col min="3589" max="3589" width="9.26953125" style="174" bestFit="1" customWidth="1"/>
    <col min="3590" max="3831" width="8.81640625" style="174"/>
    <col min="3832" max="3832" width="35.7265625" style="174" customWidth="1"/>
    <col min="3833" max="3833" width="10.7265625" style="174" customWidth="1"/>
    <col min="3834" max="3834" width="11" style="174" customWidth="1"/>
    <col min="3835" max="3835" width="10.7265625" style="174" customWidth="1"/>
    <col min="3836" max="3836" width="13.26953125" style="174" customWidth="1"/>
    <col min="3837" max="3837" width="9.26953125" style="174" bestFit="1" customWidth="1"/>
    <col min="3838" max="3844" width="9.1796875" style="174" customWidth="1"/>
    <col min="3845" max="3845" width="9.26953125" style="174" bestFit="1" customWidth="1"/>
    <col min="3846" max="4087" width="8.81640625" style="174"/>
    <col min="4088" max="4088" width="35.7265625" style="174" customWidth="1"/>
    <col min="4089" max="4089" width="10.7265625" style="174" customWidth="1"/>
    <col min="4090" max="4090" width="11" style="174" customWidth="1"/>
    <col min="4091" max="4091" width="10.7265625" style="174" customWidth="1"/>
    <col min="4092" max="4092" width="13.26953125" style="174" customWidth="1"/>
    <col min="4093" max="4093" width="9.26953125" style="174" bestFit="1" customWidth="1"/>
    <col min="4094" max="4100" width="9.1796875" style="174" customWidth="1"/>
    <col min="4101" max="4101" width="9.26953125" style="174" bestFit="1" customWidth="1"/>
    <col min="4102" max="4343" width="8.81640625" style="174"/>
    <col min="4344" max="4344" width="35.7265625" style="174" customWidth="1"/>
    <col min="4345" max="4345" width="10.7265625" style="174" customWidth="1"/>
    <col min="4346" max="4346" width="11" style="174" customWidth="1"/>
    <col min="4347" max="4347" width="10.7265625" style="174" customWidth="1"/>
    <col min="4348" max="4348" width="13.26953125" style="174" customWidth="1"/>
    <col min="4349" max="4349" width="9.26953125" style="174" bestFit="1" customWidth="1"/>
    <col min="4350" max="4356" width="9.1796875" style="174" customWidth="1"/>
    <col min="4357" max="4357" width="9.26953125" style="174" bestFit="1" customWidth="1"/>
    <col min="4358" max="4599" width="8.81640625" style="174"/>
    <col min="4600" max="4600" width="35.7265625" style="174" customWidth="1"/>
    <col min="4601" max="4601" width="10.7265625" style="174" customWidth="1"/>
    <col min="4602" max="4602" width="11" style="174" customWidth="1"/>
    <col min="4603" max="4603" width="10.7265625" style="174" customWidth="1"/>
    <col min="4604" max="4604" width="13.26953125" style="174" customWidth="1"/>
    <col min="4605" max="4605" width="9.26953125" style="174" bestFit="1" customWidth="1"/>
    <col min="4606" max="4612" width="9.1796875" style="174" customWidth="1"/>
    <col min="4613" max="4613" width="9.26953125" style="174" bestFit="1" customWidth="1"/>
    <col min="4614" max="4855" width="8.81640625" style="174"/>
    <col min="4856" max="4856" width="35.7265625" style="174" customWidth="1"/>
    <col min="4857" max="4857" width="10.7265625" style="174" customWidth="1"/>
    <col min="4858" max="4858" width="11" style="174" customWidth="1"/>
    <col min="4859" max="4859" width="10.7265625" style="174" customWidth="1"/>
    <col min="4860" max="4860" width="13.26953125" style="174" customWidth="1"/>
    <col min="4861" max="4861" width="9.26953125" style="174" bestFit="1" customWidth="1"/>
    <col min="4862" max="4868" width="9.1796875" style="174" customWidth="1"/>
    <col min="4869" max="4869" width="9.26953125" style="174" bestFit="1" customWidth="1"/>
    <col min="4870" max="5111" width="8.81640625" style="174"/>
    <col min="5112" max="5112" width="35.7265625" style="174" customWidth="1"/>
    <col min="5113" max="5113" width="10.7265625" style="174" customWidth="1"/>
    <col min="5114" max="5114" width="11" style="174" customWidth="1"/>
    <col min="5115" max="5115" width="10.7265625" style="174" customWidth="1"/>
    <col min="5116" max="5116" width="13.26953125" style="174" customWidth="1"/>
    <col min="5117" max="5117" width="9.26953125" style="174" bestFit="1" customWidth="1"/>
    <col min="5118" max="5124" width="9.1796875" style="174" customWidth="1"/>
    <col min="5125" max="5125" width="9.26953125" style="174" bestFit="1" customWidth="1"/>
    <col min="5126" max="5367" width="8.81640625" style="174"/>
    <col min="5368" max="5368" width="35.7265625" style="174" customWidth="1"/>
    <col min="5369" max="5369" width="10.7265625" style="174" customWidth="1"/>
    <col min="5370" max="5370" width="11" style="174" customWidth="1"/>
    <col min="5371" max="5371" width="10.7265625" style="174" customWidth="1"/>
    <col min="5372" max="5372" width="13.26953125" style="174" customWidth="1"/>
    <col min="5373" max="5373" width="9.26953125" style="174" bestFit="1" customWidth="1"/>
    <col min="5374" max="5380" width="9.1796875" style="174" customWidth="1"/>
    <col min="5381" max="5381" width="9.26953125" style="174" bestFit="1" customWidth="1"/>
    <col min="5382" max="5623" width="8.81640625" style="174"/>
    <col min="5624" max="5624" width="35.7265625" style="174" customWidth="1"/>
    <col min="5625" max="5625" width="10.7265625" style="174" customWidth="1"/>
    <col min="5626" max="5626" width="11" style="174" customWidth="1"/>
    <col min="5627" max="5627" width="10.7265625" style="174" customWidth="1"/>
    <col min="5628" max="5628" width="13.26953125" style="174" customWidth="1"/>
    <col min="5629" max="5629" width="9.26953125" style="174" bestFit="1" customWidth="1"/>
    <col min="5630" max="5636" width="9.1796875" style="174" customWidth="1"/>
    <col min="5637" max="5637" width="9.26953125" style="174" bestFit="1" customWidth="1"/>
    <col min="5638" max="5879" width="8.81640625" style="174"/>
    <col min="5880" max="5880" width="35.7265625" style="174" customWidth="1"/>
    <col min="5881" max="5881" width="10.7265625" style="174" customWidth="1"/>
    <col min="5882" max="5882" width="11" style="174" customWidth="1"/>
    <col min="5883" max="5883" width="10.7265625" style="174" customWidth="1"/>
    <col min="5884" max="5884" width="13.26953125" style="174" customWidth="1"/>
    <col min="5885" max="5885" width="9.26953125" style="174" bestFit="1" customWidth="1"/>
    <col min="5886" max="5892" width="9.1796875" style="174" customWidth="1"/>
    <col min="5893" max="5893" width="9.26953125" style="174" bestFit="1" customWidth="1"/>
    <col min="5894" max="6135" width="8.81640625" style="174"/>
    <col min="6136" max="6136" width="35.7265625" style="174" customWidth="1"/>
    <col min="6137" max="6137" width="10.7265625" style="174" customWidth="1"/>
    <col min="6138" max="6138" width="11" style="174" customWidth="1"/>
    <col min="6139" max="6139" width="10.7265625" style="174" customWidth="1"/>
    <col min="6140" max="6140" width="13.26953125" style="174" customWidth="1"/>
    <col min="6141" max="6141" width="9.26953125" style="174" bestFit="1" customWidth="1"/>
    <col min="6142" max="6148" width="9.1796875" style="174" customWidth="1"/>
    <col min="6149" max="6149" width="9.26953125" style="174" bestFit="1" customWidth="1"/>
    <col min="6150" max="6391" width="8.81640625" style="174"/>
    <col min="6392" max="6392" width="35.7265625" style="174" customWidth="1"/>
    <col min="6393" max="6393" width="10.7265625" style="174" customWidth="1"/>
    <col min="6394" max="6394" width="11" style="174" customWidth="1"/>
    <col min="6395" max="6395" width="10.7265625" style="174" customWidth="1"/>
    <col min="6396" max="6396" width="13.26953125" style="174" customWidth="1"/>
    <col min="6397" max="6397" width="9.26953125" style="174" bestFit="1" customWidth="1"/>
    <col min="6398" max="6404" width="9.1796875" style="174" customWidth="1"/>
    <col min="6405" max="6405" width="9.26953125" style="174" bestFit="1" customWidth="1"/>
    <col min="6406" max="6647" width="8.81640625" style="174"/>
    <col min="6648" max="6648" width="35.7265625" style="174" customWidth="1"/>
    <col min="6649" max="6649" width="10.7265625" style="174" customWidth="1"/>
    <col min="6650" max="6650" width="11" style="174" customWidth="1"/>
    <col min="6651" max="6651" width="10.7265625" style="174" customWidth="1"/>
    <col min="6652" max="6652" width="13.26953125" style="174" customWidth="1"/>
    <col min="6653" max="6653" width="9.26953125" style="174" bestFit="1" customWidth="1"/>
    <col min="6654" max="6660" width="9.1796875" style="174" customWidth="1"/>
    <col min="6661" max="6661" width="9.26953125" style="174" bestFit="1" customWidth="1"/>
    <col min="6662" max="6903" width="8.81640625" style="174"/>
    <col min="6904" max="6904" width="35.7265625" style="174" customWidth="1"/>
    <col min="6905" max="6905" width="10.7265625" style="174" customWidth="1"/>
    <col min="6906" max="6906" width="11" style="174" customWidth="1"/>
    <col min="6907" max="6907" width="10.7265625" style="174" customWidth="1"/>
    <col min="6908" max="6908" width="13.26953125" style="174" customWidth="1"/>
    <col min="6909" max="6909" width="9.26953125" style="174" bestFit="1" customWidth="1"/>
    <col min="6910" max="6916" width="9.1796875" style="174" customWidth="1"/>
    <col min="6917" max="6917" width="9.26953125" style="174" bestFit="1" customWidth="1"/>
    <col min="6918" max="7159" width="8.81640625" style="174"/>
    <col min="7160" max="7160" width="35.7265625" style="174" customWidth="1"/>
    <col min="7161" max="7161" width="10.7265625" style="174" customWidth="1"/>
    <col min="7162" max="7162" width="11" style="174" customWidth="1"/>
    <col min="7163" max="7163" width="10.7265625" style="174" customWidth="1"/>
    <col min="7164" max="7164" width="13.26953125" style="174" customWidth="1"/>
    <col min="7165" max="7165" width="9.26953125" style="174" bestFit="1" customWidth="1"/>
    <col min="7166" max="7172" width="9.1796875" style="174" customWidth="1"/>
    <col min="7173" max="7173" width="9.26953125" style="174" bestFit="1" customWidth="1"/>
    <col min="7174" max="7415" width="8.81640625" style="174"/>
    <col min="7416" max="7416" width="35.7265625" style="174" customWidth="1"/>
    <col min="7417" max="7417" width="10.7265625" style="174" customWidth="1"/>
    <col min="7418" max="7418" width="11" style="174" customWidth="1"/>
    <col min="7419" max="7419" width="10.7265625" style="174" customWidth="1"/>
    <col min="7420" max="7420" width="13.26953125" style="174" customWidth="1"/>
    <col min="7421" max="7421" width="9.26953125" style="174" bestFit="1" customWidth="1"/>
    <col min="7422" max="7428" width="9.1796875" style="174" customWidth="1"/>
    <col min="7429" max="7429" width="9.26953125" style="174" bestFit="1" customWidth="1"/>
    <col min="7430" max="7671" width="8.81640625" style="174"/>
    <col min="7672" max="7672" width="35.7265625" style="174" customWidth="1"/>
    <col min="7673" max="7673" width="10.7265625" style="174" customWidth="1"/>
    <col min="7674" max="7674" width="11" style="174" customWidth="1"/>
    <col min="7675" max="7675" width="10.7265625" style="174" customWidth="1"/>
    <col min="7676" max="7676" width="13.26953125" style="174" customWidth="1"/>
    <col min="7677" max="7677" width="9.26953125" style="174" bestFit="1" customWidth="1"/>
    <col min="7678" max="7684" width="9.1796875" style="174" customWidth="1"/>
    <col min="7685" max="7685" width="9.26953125" style="174" bestFit="1" customWidth="1"/>
    <col min="7686" max="7927" width="8.81640625" style="174"/>
    <col min="7928" max="7928" width="35.7265625" style="174" customWidth="1"/>
    <col min="7929" max="7929" width="10.7265625" style="174" customWidth="1"/>
    <col min="7930" max="7930" width="11" style="174" customWidth="1"/>
    <col min="7931" max="7931" width="10.7265625" style="174" customWidth="1"/>
    <col min="7932" max="7932" width="13.26953125" style="174" customWidth="1"/>
    <col min="7933" max="7933" width="9.26953125" style="174" bestFit="1" customWidth="1"/>
    <col min="7934" max="7940" width="9.1796875" style="174" customWidth="1"/>
    <col min="7941" max="7941" width="9.26953125" style="174" bestFit="1" customWidth="1"/>
    <col min="7942" max="8183" width="8.81640625" style="174"/>
    <col min="8184" max="8184" width="35.7265625" style="174" customWidth="1"/>
    <col min="8185" max="8185" width="10.7265625" style="174" customWidth="1"/>
    <col min="8186" max="8186" width="11" style="174" customWidth="1"/>
    <col min="8187" max="8187" width="10.7265625" style="174" customWidth="1"/>
    <col min="8188" max="8188" width="13.26953125" style="174" customWidth="1"/>
    <col min="8189" max="8189" width="9.26953125" style="174" bestFit="1" customWidth="1"/>
    <col min="8190" max="8196" width="9.1796875" style="174" customWidth="1"/>
    <col min="8197" max="8197" width="9.26953125" style="174" bestFit="1" customWidth="1"/>
    <col min="8198" max="8439" width="8.81640625" style="174"/>
    <col min="8440" max="8440" width="35.7265625" style="174" customWidth="1"/>
    <col min="8441" max="8441" width="10.7265625" style="174" customWidth="1"/>
    <col min="8442" max="8442" width="11" style="174" customWidth="1"/>
    <col min="8443" max="8443" width="10.7265625" style="174" customWidth="1"/>
    <col min="8444" max="8444" width="13.26953125" style="174" customWidth="1"/>
    <col min="8445" max="8445" width="9.26953125" style="174" bestFit="1" customWidth="1"/>
    <col min="8446" max="8452" width="9.1796875" style="174" customWidth="1"/>
    <col min="8453" max="8453" width="9.26953125" style="174" bestFit="1" customWidth="1"/>
    <col min="8454" max="8695" width="8.81640625" style="174"/>
    <col min="8696" max="8696" width="35.7265625" style="174" customWidth="1"/>
    <col min="8697" max="8697" width="10.7265625" style="174" customWidth="1"/>
    <col min="8698" max="8698" width="11" style="174" customWidth="1"/>
    <col min="8699" max="8699" width="10.7265625" style="174" customWidth="1"/>
    <col min="8700" max="8700" width="13.26953125" style="174" customWidth="1"/>
    <col min="8701" max="8701" width="9.26953125" style="174" bestFit="1" customWidth="1"/>
    <col min="8702" max="8708" width="9.1796875" style="174" customWidth="1"/>
    <col min="8709" max="8709" width="9.26953125" style="174" bestFit="1" customWidth="1"/>
    <col min="8710" max="8951" width="8.81640625" style="174"/>
    <col min="8952" max="8952" width="35.7265625" style="174" customWidth="1"/>
    <col min="8953" max="8953" width="10.7265625" style="174" customWidth="1"/>
    <col min="8954" max="8954" width="11" style="174" customWidth="1"/>
    <col min="8955" max="8955" width="10.7265625" style="174" customWidth="1"/>
    <col min="8956" max="8956" width="13.26953125" style="174" customWidth="1"/>
    <col min="8957" max="8957" width="9.26953125" style="174" bestFit="1" customWidth="1"/>
    <col min="8958" max="8964" width="9.1796875" style="174" customWidth="1"/>
    <col min="8965" max="8965" width="9.26953125" style="174" bestFit="1" customWidth="1"/>
    <col min="8966" max="9207" width="8.81640625" style="174"/>
    <col min="9208" max="9208" width="35.7265625" style="174" customWidth="1"/>
    <col min="9209" max="9209" width="10.7265625" style="174" customWidth="1"/>
    <col min="9210" max="9210" width="11" style="174" customWidth="1"/>
    <col min="9211" max="9211" width="10.7265625" style="174" customWidth="1"/>
    <col min="9212" max="9212" width="13.26953125" style="174" customWidth="1"/>
    <col min="9213" max="9213" width="9.26953125" style="174" bestFit="1" customWidth="1"/>
    <col min="9214" max="9220" width="9.1796875" style="174" customWidth="1"/>
    <col min="9221" max="9221" width="9.26953125" style="174" bestFit="1" customWidth="1"/>
    <col min="9222" max="9463" width="8.81640625" style="174"/>
    <col min="9464" max="9464" width="35.7265625" style="174" customWidth="1"/>
    <col min="9465" max="9465" width="10.7265625" style="174" customWidth="1"/>
    <col min="9466" max="9466" width="11" style="174" customWidth="1"/>
    <col min="9467" max="9467" width="10.7265625" style="174" customWidth="1"/>
    <col min="9468" max="9468" width="13.26953125" style="174" customWidth="1"/>
    <col min="9469" max="9469" width="9.26953125" style="174" bestFit="1" customWidth="1"/>
    <col min="9470" max="9476" width="9.1796875" style="174" customWidth="1"/>
    <col min="9477" max="9477" width="9.26953125" style="174" bestFit="1" customWidth="1"/>
    <col min="9478" max="9719" width="8.81640625" style="174"/>
    <col min="9720" max="9720" width="35.7265625" style="174" customWidth="1"/>
    <col min="9721" max="9721" width="10.7265625" style="174" customWidth="1"/>
    <col min="9722" max="9722" width="11" style="174" customWidth="1"/>
    <col min="9723" max="9723" width="10.7265625" style="174" customWidth="1"/>
    <col min="9724" max="9724" width="13.26953125" style="174" customWidth="1"/>
    <col min="9725" max="9725" width="9.26953125" style="174" bestFit="1" customWidth="1"/>
    <col min="9726" max="9732" width="9.1796875" style="174" customWidth="1"/>
    <col min="9733" max="9733" width="9.26953125" style="174" bestFit="1" customWidth="1"/>
    <col min="9734" max="9975" width="8.81640625" style="174"/>
    <col min="9976" max="9976" width="35.7265625" style="174" customWidth="1"/>
    <col min="9977" max="9977" width="10.7265625" style="174" customWidth="1"/>
    <col min="9978" max="9978" width="11" style="174" customWidth="1"/>
    <col min="9979" max="9979" width="10.7265625" style="174" customWidth="1"/>
    <col min="9980" max="9980" width="13.26953125" style="174" customWidth="1"/>
    <col min="9981" max="9981" width="9.26953125" style="174" bestFit="1" customWidth="1"/>
    <col min="9982" max="9988" width="9.1796875" style="174" customWidth="1"/>
    <col min="9989" max="9989" width="9.26953125" style="174" bestFit="1" customWidth="1"/>
    <col min="9990" max="10231" width="8.81640625" style="174"/>
    <col min="10232" max="10232" width="35.7265625" style="174" customWidth="1"/>
    <col min="10233" max="10233" width="10.7265625" style="174" customWidth="1"/>
    <col min="10234" max="10234" width="11" style="174" customWidth="1"/>
    <col min="10235" max="10235" width="10.7265625" style="174" customWidth="1"/>
    <col min="10236" max="10236" width="13.26953125" style="174" customWidth="1"/>
    <col min="10237" max="10237" width="9.26953125" style="174" bestFit="1" customWidth="1"/>
    <col min="10238" max="10244" width="9.1796875" style="174" customWidth="1"/>
    <col min="10245" max="10245" width="9.26953125" style="174" bestFit="1" customWidth="1"/>
    <col min="10246" max="10487" width="8.81640625" style="174"/>
    <col min="10488" max="10488" width="35.7265625" style="174" customWidth="1"/>
    <col min="10489" max="10489" width="10.7265625" style="174" customWidth="1"/>
    <col min="10490" max="10490" width="11" style="174" customWidth="1"/>
    <col min="10491" max="10491" width="10.7265625" style="174" customWidth="1"/>
    <col min="10492" max="10492" width="13.26953125" style="174" customWidth="1"/>
    <col min="10493" max="10493" width="9.26953125" style="174" bestFit="1" customWidth="1"/>
    <col min="10494" max="10500" width="9.1796875" style="174" customWidth="1"/>
    <col min="10501" max="10501" width="9.26953125" style="174" bestFit="1" customWidth="1"/>
    <col min="10502" max="10743" width="8.81640625" style="174"/>
    <col min="10744" max="10744" width="35.7265625" style="174" customWidth="1"/>
    <col min="10745" max="10745" width="10.7265625" style="174" customWidth="1"/>
    <col min="10746" max="10746" width="11" style="174" customWidth="1"/>
    <col min="10747" max="10747" width="10.7265625" style="174" customWidth="1"/>
    <col min="10748" max="10748" width="13.26953125" style="174" customWidth="1"/>
    <col min="10749" max="10749" width="9.26953125" style="174" bestFit="1" customWidth="1"/>
    <col min="10750" max="10756" width="9.1796875" style="174" customWidth="1"/>
    <col min="10757" max="10757" width="9.26953125" style="174" bestFit="1" customWidth="1"/>
    <col min="10758" max="10999" width="8.81640625" style="174"/>
    <col min="11000" max="11000" width="35.7265625" style="174" customWidth="1"/>
    <col min="11001" max="11001" width="10.7265625" style="174" customWidth="1"/>
    <col min="11002" max="11002" width="11" style="174" customWidth="1"/>
    <col min="11003" max="11003" width="10.7265625" style="174" customWidth="1"/>
    <col min="11004" max="11004" width="13.26953125" style="174" customWidth="1"/>
    <col min="11005" max="11005" width="9.26953125" style="174" bestFit="1" customWidth="1"/>
    <col min="11006" max="11012" width="9.1796875" style="174" customWidth="1"/>
    <col min="11013" max="11013" width="9.26953125" style="174" bestFit="1" customWidth="1"/>
    <col min="11014" max="11255" width="8.81640625" style="174"/>
    <col min="11256" max="11256" width="35.7265625" style="174" customWidth="1"/>
    <col min="11257" max="11257" width="10.7265625" style="174" customWidth="1"/>
    <col min="11258" max="11258" width="11" style="174" customWidth="1"/>
    <col min="11259" max="11259" width="10.7265625" style="174" customWidth="1"/>
    <col min="11260" max="11260" width="13.26953125" style="174" customWidth="1"/>
    <col min="11261" max="11261" width="9.26953125" style="174" bestFit="1" customWidth="1"/>
    <col min="11262" max="11268" width="9.1796875" style="174" customWidth="1"/>
    <col min="11269" max="11269" width="9.26953125" style="174" bestFit="1" customWidth="1"/>
    <col min="11270" max="11511" width="8.81640625" style="174"/>
    <col min="11512" max="11512" width="35.7265625" style="174" customWidth="1"/>
    <col min="11513" max="11513" width="10.7265625" style="174" customWidth="1"/>
    <col min="11514" max="11514" width="11" style="174" customWidth="1"/>
    <col min="11515" max="11515" width="10.7265625" style="174" customWidth="1"/>
    <col min="11516" max="11516" width="13.26953125" style="174" customWidth="1"/>
    <col min="11517" max="11517" width="9.26953125" style="174" bestFit="1" customWidth="1"/>
    <col min="11518" max="11524" width="9.1796875" style="174" customWidth="1"/>
    <col min="11525" max="11525" width="9.26953125" style="174" bestFit="1" customWidth="1"/>
    <col min="11526" max="11767" width="8.81640625" style="174"/>
    <col min="11768" max="11768" width="35.7265625" style="174" customWidth="1"/>
    <col min="11769" max="11769" width="10.7265625" style="174" customWidth="1"/>
    <col min="11770" max="11770" width="11" style="174" customWidth="1"/>
    <col min="11771" max="11771" width="10.7265625" style="174" customWidth="1"/>
    <col min="11772" max="11772" width="13.26953125" style="174" customWidth="1"/>
    <col min="11773" max="11773" width="9.26953125" style="174" bestFit="1" customWidth="1"/>
    <col min="11774" max="11780" width="9.1796875" style="174" customWidth="1"/>
    <col min="11781" max="11781" width="9.26953125" style="174" bestFit="1" customWidth="1"/>
    <col min="11782" max="12023" width="8.81640625" style="174"/>
    <col min="12024" max="12024" width="35.7265625" style="174" customWidth="1"/>
    <col min="12025" max="12025" width="10.7265625" style="174" customWidth="1"/>
    <col min="12026" max="12026" width="11" style="174" customWidth="1"/>
    <col min="12027" max="12027" width="10.7265625" style="174" customWidth="1"/>
    <col min="12028" max="12028" width="13.26953125" style="174" customWidth="1"/>
    <col min="12029" max="12029" width="9.26953125" style="174" bestFit="1" customWidth="1"/>
    <col min="12030" max="12036" width="9.1796875" style="174" customWidth="1"/>
    <col min="12037" max="12037" width="9.26953125" style="174" bestFit="1" customWidth="1"/>
    <col min="12038" max="12279" width="8.81640625" style="174"/>
    <col min="12280" max="12280" width="35.7265625" style="174" customWidth="1"/>
    <col min="12281" max="12281" width="10.7265625" style="174" customWidth="1"/>
    <col min="12282" max="12282" width="11" style="174" customWidth="1"/>
    <col min="12283" max="12283" width="10.7265625" style="174" customWidth="1"/>
    <col min="12284" max="12284" width="13.26953125" style="174" customWidth="1"/>
    <col min="12285" max="12285" width="9.26953125" style="174" bestFit="1" customWidth="1"/>
    <col min="12286" max="12292" width="9.1796875" style="174" customWidth="1"/>
    <col min="12293" max="12293" width="9.26953125" style="174" bestFit="1" customWidth="1"/>
    <col min="12294" max="12535" width="8.81640625" style="174"/>
    <col min="12536" max="12536" width="35.7265625" style="174" customWidth="1"/>
    <col min="12537" max="12537" width="10.7265625" style="174" customWidth="1"/>
    <col min="12538" max="12538" width="11" style="174" customWidth="1"/>
    <col min="12539" max="12539" width="10.7265625" style="174" customWidth="1"/>
    <col min="12540" max="12540" width="13.26953125" style="174" customWidth="1"/>
    <col min="12541" max="12541" width="9.26953125" style="174" bestFit="1" customWidth="1"/>
    <col min="12542" max="12548" width="9.1796875" style="174" customWidth="1"/>
    <col min="12549" max="12549" width="9.26953125" style="174" bestFit="1" customWidth="1"/>
    <col min="12550" max="12791" width="8.81640625" style="174"/>
    <col min="12792" max="12792" width="35.7265625" style="174" customWidth="1"/>
    <col min="12793" max="12793" width="10.7265625" style="174" customWidth="1"/>
    <col min="12794" max="12794" width="11" style="174" customWidth="1"/>
    <col min="12795" max="12795" width="10.7265625" style="174" customWidth="1"/>
    <col min="12796" max="12796" width="13.26953125" style="174" customWidth="1"/>
    <col min="12797" max="12797" width="9.26953125" style="174" bestFit="1" customWidth="1"/>
    <col min="12798" max="12804" width="9.1796875" style="174" customWidth="1"/>
    <col min="12805" max="12805" width="9.26953125" style="174" bestFit="1" customWidth="1"/>
    <col min="12806" max="13047" width="8.81640625" style="174"/>
    <col min="13048" max="13048" width="35.7265625" style="174" customWidth="1"/>
    <col min="13049" max="13049" width="10.7265625" style="174" customWidth="1"/>
    <col min="13050" max="13050" width="11" style="174" customWidth="1"/>
    <col min="13051" max="13051" width="10.7265625" style="174" customWidth="1"/>
    <col min="13052" max="13052" width="13.26953125" style="174" customWidth="1"/>
    <col min="13053" max="13053" width="9.26953125" style="174" bestFit="1" customWidth="1"/>
    <col min="13054" max="13060" width="9.1796875" style="174" customWidth="1"/>
    <col min="13061" max="13061" width="9.26953125" style="174" bestFit="1" customWidth="1"/>
    <col min="13062" max="13303" width="8.81640625" style="174"/>
    <col min="13304" max="13304" width="35.7265625" style="174" customWidth="1"/>
    <col min="13305" max="13305" width="10.7265625" style="174" customWidth="1"/>
    <col min="13306" max="13306" width="11" style="174" customWidth="1"/>
    <col min="13307" max="13307" width="10.7265625" style="174" customWidth="1"/>
    <col min="13308" max="13308" width="13.26953125" style="174" customWidth="1"/>
    <col min="13309" max="13309" width="9.26953125" style="174" bestFit="1" customWidth="1"/>
    <col min="13310" max="13316" width="9.1796875" style="174" customWidth="1"/>
    <col min="13317" max="13317" width="9.26953125" style="174" bestFit="1" customWidth="1"/>
    <col min="13318" max="13559" width="8.81640625" style="174"/>
    <col min="13560" max="13560" width="35.7265625" style="174" customWidth="1"/>
    <col min="13561" max="13561" width="10.7265625" style="174" customWidth="1"/>
    <col min="13562" max="13562" width="11" style="174" customWidth="1"/>
    <col min="13563" max="13563" width="10.7265625" style="174" customWidth="1"/>
    <col min="13564" max="13564" width="13.26953125" style="174" customWidth="1"/>
    <col min="13565" max="13565" width="9.26953125" style="174" bestFit="1" customWidth="1"/>
    <col min="13566" max="13572" width="9.1796875" style="174" customWidth="1"/>
    <col min="13573" max="13573" width="9.26953125" style="174" bestFit="1" customWidth="1"/>
    <col min="13574" max="13815" width="8.81640625" style="174"/>
    <col min="13816" max="13816" width="35.7265625" style="174" customWidth="1"/>
    <col min="13817" max="13817" width="10.7265625" style="174" customWidth="1"/>
    <col min="13818" max="13818" width="11" style="174" customWidth="1"/>
    <col min="13819" max="13819" width="10.7265625" style="174" customWidth="1"/>
    <col min="13820" max="13820" width="13.26953125" style="174" customWidth="1"/>
    <col min="13821" max="13821" width="9.26953125" style="174" bestFit="1" customWidth="1"/>
    <col min="13822" max="13828" width="9.1796875" style="174" customWidth="1"/>
    <col min="13829" max="13829" width="9.26953125" style="174" bestFit="1" customWidth="1"/>
    <col min="13830" max="14071" width="8.81640625" style="174"/>
    <col min="14072" max="14072" width="35.7265625" style="174" customWidth="1"/>
    <col min="14073" max="14073" width="10.7265625" style="174" customWidth="1"/>
    <col min="14074" max="14074" width="11" style="174" customWidth="1"/>
    <col min="14075" max="14075" width="10.7265625" style="174" customWidth="1"/>
    <col min="14076" max="14076" width="13.26953125" style="174" customWidth="1"/>
    <col min="14077" max="14077" width="9.26953125" style="174" bestFit="1" customWidth="1"/>
    <col min="14078" max="14084" width="9.1796875" style="174" customWidth="1"/>
    <col min="14085" max="14085" width="9.26953125" style="174" bestFit="1" customWidth="1"/>
    <col min="14086" max="14327" width="8.81640625" style="174"/>
    <col min="14328" max="14328" width="35.7265625" style="174" customWidth="1"/>
    <col min="14329" max="14329" width="10.7265625" style="174" customWidth="1"/>
    <col min="14330" max="14330" width="11" style="174" customWidth="1"/>
    <col min="14331" max="14331" width="10.7265625" style="174" customWidth="1"/>
    <col min="14332" max="14332" width="13.26953125" style="174" customWidth="1"/>
    <col min="14333" max="14333" width="9.26953125" style="174" bestFit="1" customWidth="1"/>
    <col min="14334" max="14340" width="9.1796875" style="174" customWidth="1"/>
    <col min="14341" max="14341" width="9.26953125" style="174" bestFit="1" customWidth="1"/>
    <col min="14342" max="14583" width="8.81640625" style="174"/>
    <col min="14584" max="14584" width="35.7265625" style="174" customWidth="1"/>
    <col min="14585" max="14585" width="10.7265625" style="174" customWidth="1"/>
    <col min="14586" max="14586" width="11" style="174" customWidth="1"/>
    <col min="14587" max="14587" width="10.7265625" style="174" customWidth="1"/>
    <col min="14588" max="14588" width="13.26953125" style="174" customWidth="1"/>
    <col min="14589" max="14589" width="9.26953125" style="174" bestFit="1" customWidth="1"/>
    <col min="14590" max="14596" width="9.1796875" style="174" customWidth="1"/>
    <col min="14597" max="14597" width="9.26953125" style="174" bestFit="1" customWidth="1"/>
    <col min="14598" max="14839" width="8.81640625" style="174"/>
    <col min="14840" max="14840" width="35.7265625" style="174" customWidth="1"/>
    <col min="14841" max="14841" width="10.7265625" style="174" customWidth="1"/>
    <col min="14842" max="14842" width="11" style="174" customWidth="1"/>
    <col min="14843" max="14843" width="10.7265625" style="174" customWidth="1"/>
    <col min="14844" max="14844" width="13.26953125" style="174" customWidth="1"/>
    <col min="14845" max="14845" width="9.26953125" style="174" bestFit="1" customWidth="1"/>
    <col min="14846" max="14852" width="9.1796875" style="174" customWidth="1"/>
    <col min="14853" max="14853" width="9.26953125" style="174" bestFit="1" customWidth="1"/>
    <col min="14854" max="15095" width="8.81640625" style="174"/>
    <col min="15096" max="15096" width="35.7265625" style="174" customWidth="1"/>
    <col min="15097" max="15097" width="10.7265625" style="174" customWidth="1"/>
    <col min="15098" max="15098" width="11" style="174" customWidth="1"/>
    <col min="15099" max="15099" width="10.7265625" style="174" customWidth="1"/>
    <col min="15100" max="15100" width="13.26953125" style="174" customWidth="1"/>
    <col min="15101" max="15101" width="9.26953125" style="174" bestFit="1" customWidth="1"/>
    <col min="15102" max="15108" width="9.1796875" style="174" customWidth="1"/>
    <col min="15109" max="15109" width="9.26953125" style="174" bestFit="1" customWidth="1"/>
    <col min="15110" max="15351" width="8.81640625" style="174"/>
    <col min="15352" max="15352" width="35.7265625" style="174" customWidth="1"/>
    <col min="15353" max="15353" width="10.7265625" style="174" customWidth="1"/>
    <col min="15354" max="15354" width="11" style="174" customWidth="1"/>
    <col min="15355" max="15355" width="10.7265625" style="174" customWidth="1"/>
    <col min="15356" max="15356" width="13.26953125" style="174" customWidth="1"/>
    <col min="15357" max="15357" width="9.26953125" style="174" bestFit="1" customWidth="1"/>
    <col min="15358" max="15364" width="9.1796875" style="174" customWidth="1"/>
    <col min="15365" max="15365" width="9.26953125" style="174" bestFit="1" customWidth="1"/>
    <col min="15366" max="15607" width="8.81640625" style="174"/>
    <col min="15608" max="15608" width="35.7265625" style="174" customWidth="1"/>
    <col min="15609" max="15609" width="10.7265625" style="174" customWidth="1"/>
    <col min="15610" max="15610" width="11" style="174" customWidth="1"/>
    <col min="15611" max="15611" width="10.7265625" style="174" customWidth="1"/>
    <col min="15612" max="15612" width="13.26953125" style="174" customWidth="1"/>
    <col min="15613" max="15613" width="9.26953125" style="174" bestFit="1" customWidth="1"/>
    <col min="15614" max="15620" width="9.1796875" style="174" customWidth="1"/>
    <col min="15621" max="15621" width="9.26953125" style="174" bestFit="1" customWidth="1"/>
    <col min="15622" max="15863" width="8.81640625" style="174"/>
    <col min="15864" max="15864" width="35.7265625" style="174" customWidth="1"/>
    <col min="15865" max="15865" width="10.7265625" style="174" customWidth="1"/>
    <col min="15866" max="15866" width="11" style="174" customWidth="1"/>
    <col min="15867" max="15867" width="10.7265625" style="174" customWidth="1"/>
    <col min="15868" max="15868" width="13.26953125" style="174" customWidth="1"/>
    <col min="15869" max="15869" width="9.26953125" style="174" bestFit="1" customWidth="1"/>
    <col min="15870" max="15876" width="9.1796875" style="174" customWidth="1"/>
    <col min="15877" max="15877" width="9.26953125" style="174" bestFit="1" customWidth="1"/>
    <col min="15878" max="16119" width="8.81640625" style="174"/>
    <col min="16120" max="16120" width="35.7265625" style="174" customWidth="1"/>
    <col min="16121" max="16121" width="10.7265625" style="174" customWidth="1"/>
    <col min="16122" max="16122" width="11" style="174" customWidth="1"/>
    <col min="16123" max="16123" width="10.7265625" style="174" customWidth="1"/>
    <col min="16124" max="16124" width="13.26953125" style="174" customWidth="1"/>
    <col min="16125" max="16125" width="9.26953125" style="174" bestFit="1" customWidth="1"/>
    <col min="16126" max="16132" width="9.1796875" style="174" customWidth="1"/>
    <col min="16133" max="16133" width="9.26953125" style="174" bestFit="1" customWidth="1"/>
    <col min="16134" max="16384" width="8.81640625" style="174"/>
  </cols>
  <sheetData>
    <row r="1" spans="1:7" ht="17" x14ac:dyDescent="0.45">
      <c r="A1" s="466" t="s">
        <v>270</v>
      </c>
      <c r="B1" s="466"/>
      <c r="C1" s="466"/>
      <c r="D1" s="466"/>
      <c r="E1" s="466"/>
      <c r="F1" s="466"/>
      <c r="G1" s="466"/>
    </row>
    <row r="2" spans="1:7" ht="16" x14ac:dyDescent="0.3">
      <c r="A2" s="467" t="s">
        <v>279</v>
      </c>
      <c r="B2" s="467"/>
      <c r="C2" s="467"/>
      <c r="D2" s="467"/>
      <c r="E2" s="467"/>
      <c r="F2" s="467"/>
      <c r="G2" s="467"/>
    </row>
    <row r="3" spans="1:7" s="176" customFormat="1" ht="16" thickBot="1" x14ac:dyDescent="0.4">
      <c r="A3" s="175" t="s">
        <v>42</v>
      </c>
      <c r="B3" s="175"/>
      <c r="C3" s="175"/>
      <c r="D3" s="175"/>
      <c r="E3" s="175"/>
    </row>
    <row r="4" spans="1:7" s="177" customFormat="1" ht="57.65" customHeight="1" thickBot="1" x14ac:dyDescent="0.4">
      <c r="A4" s="388" t="s">
        <v>290</v>
      </c>
      <c r="B4" s="389" t="s">
        <v>276</v>
      </c>
      <c r="C4" s="389" t="s">
        <v>43</v>
      </c>
      <c r="D4" s="389" t="s">
        <v>367</v>
      </c>
      <c r="E4" s="389" t="s">
        <v>293</v>
      </c>
      <c r="F4" s="390" t="s">
        <v>400</v>
      </c>
      <c r="G4" s="390" t="s">
        <v>337</v>
      </c>
    </row>
    <row r="5" spans="1:7" s="181" customFormat="1" ht="13.5" thickTop="1" x14ac:dyDescent="0.25">
      <c r="A5" s="178"/>
      <c r="B5" s="179"/>
      <c r="C5" s="179"/>
      <c r="D5" s="179"/>
      <c r="E5" s="291"/>
      <c r="F5" s="292"/>
      <c r="G5" s="180"/>
    </row>
    <row r="6" spans="1:7" s="181" customFormat="1" ht="13" x14ac:dyDescent="0.25">
      <c r="A6" s="469" t="s">
        <v>347</v>
      </c>
      <c r="B6" s="470"/>
      <c r="C6" s="470"/>
      <c r="D6" s="470"/>
      <c r="E6" s="470"/>
      <c r="F6" s="471"/>
      <c r="G6" s="391"/>
    </row>
    <row r="7" spans="1:7" s="193" customFormat="1" ht="18.75" customHeight="1" x14ac:dyDescent="0.35">
      <c r="A7" s="182" t="s">
        <v>338</v>
      </c>
      <c r="B7" s="304">
        <f>'3-3 Ranking-NOx'!E6</f>
        <v>80.000000000000071</v>
      </c>
      <c r="C7" s="183">
        <f>'3-4 EU 1 SCR_WI TCI'!K66</f>
        <v>31262640</v>
      </c>
      <c r="D7" s="183">
        <f>'3-5 EU 1 SCR_WI CE'!K43</f>
        <v>7284160.9842911242</v>
      </c>
      <c r="E7" s="183">
        <f>'3-5 EU 1 SCR_WI CE'!K33</f>
        <v>3497457.7613995252</v>
      </c>
      <c r="F7" s="192">
        <f>'3-5 EU 1 SCR_WI CE'!K49</f>
        <v>4792.2111738757394</v>
      </c>
      <c r="G7" s="192">
        <f>(D7-D8)/(B8-B7)</f>
        <v>41515.291873819566</v>
      </c>
    </row>
    <row r="8" spans="1:7" s="193" customFormat="1" ht="18.75" customHeight="1" x14ac:dyDescent="0.35">
      <c r="A8" s="182" t="s">
        <v>339</v>
      </c>
      <c r="B8" s="304">
        <f>'3-3 Ranking-NOx'!E7</f>
        <v>159.99999999999997</v>
      </c>
      <c r="C8" s="183">
        <f>'3-8 EU1 SCR TCI'!K64</f>
        <v>26213360</v>
      </c>
      <c r="D8" s="183">
        <f>'3-9 EU1 SCR CE'!K35</f>
        <v>3962937.634385563</v>
      </c>
      <c r="E8" s="183">
        <f>'3-9 EU1 SCR CE'!K25</f>
        <v>810975.40902458318</v>
      </c>
      <c r="F8" s="192">
        <f>'3-9 EU1 SCR CE'!K41</f>
        <v>2752.0400238788634</v>
      </c>
      <c r="G8" s="192">
        <f>(D8-D9)/(B9-B8)</f>
        <v>1993.2585314157368</v>
      </c>
    </row>
    <row r="9" spans="1:7" s="283" customFormat="1" ht="18.75" customHeight="1" x14ac:dyDescent="0.35">
      <c r="A9" s="282" t="s">
        <v>340</v>
      </c>
      <c r="B9" s="304">
        <f>'3-3 Ranking-NOx'!E8</f>
        <v>480.00000000000006</v>
      </c>
      <c r="C9" s="183">
        <f>'3-12 EU1 WI TCI'!K63</f>
        <v>4600000</v>
      </c>
      <c r="D9" s="183">
        <f>'3-13 EU1 WI CE'!K32</f>
        <v>3325094.904332527</v>
      </c>
      <c r="E9" s="183">
        <f>'3-13 EU1 WI CE'!K22</f>
        <v>2744376.4963749419</v>
      </c>
      <c r="F9" s="192">
        <f>'3-13 EU1 WI CE'!K38</f>
        <v>2968.8347360111848</v>
      </c>
      <c r="G9" s="192" t="s">
        <v>44</v>
      </c>
    </row>
    <row r="10" spans="1:7" s="283" customFormat="1" ht="18.75" customHeight="1" x14ac:dyDescent="0.35">
      <c r="A10" s="185" t="s">
        <v>341</v>
      </c>
      <c r="B10" s="304">
        <f>'3-3 Ranking-NOx'!E9</f>
        <v>1600</v>
      </c>
      <c r="C10" s="191" t="s">
        <v>44</v>
      </c>
      <c r="D10" s="191" t="s">
        <v>44</v>
      </c>
      <c r="E10" s="191" t="s">
        <v>44</v>
      </c>
      <c r="F10" s="194" t="s">
        <v>44</v>
      </c>
      <c r="G10" s="194" t="s">
        <v>44</v>
      </c>
    </row>
    <row r="11" spans="1:7" s="184" customFormat="1" ht="18.75" customHeight="1" x14ac:dyDescent="0.25">
      <c r="A11" s="185"/>
      <c r="B11" s="186"/>
      <c r="C11" s="187"/>
      <c r="D11" s="187"/>
      <c r="E11" s="187"/>
      <c r="F11" s="284"/>
      <c r="G11" s="284"/>
    </row>
    <row r="12" spans="1:7" s="181" customFormat="1" ht="13" x14ac:dyDescent="0.25">
      <c r="A12" s="469" t="s">
        <v>348</v>
      </c>
      <c r="B12" s="470"/>
      <c r="C12" s="470"/>
      <c r="D12" s="470"/>
      <c r="E12" s="470"/>
      <c r="F12" s="471"/>
      <c r="G12" s="391"/>
    </row>
    <row r="13" spans="1:7" s="193" customFormat="1" ht="18.75" customHeight="1" x14ac:dyDescent="0.35">
      <c r="A13" s="182" t="s">
        <v>338</v>
      </c>
      <c r="B13" s="304">
        <f>'3-3 Ranking-NOx'!E11</f>
        <v>118.1537280000001</v>
      </c>
      <c r="C13" s="183">
        <f>'3-6 EU 2 SCR_WI TCI'!K66</f>
        <v>31262640</v>
      </c>
      <c r="D13" s="183">
        <f>'3-7 EU 2 SCR_WI CE'!K43</f>
        <v>7045799.7739673676</v>
      </c>
      <c r="E13" s="183">
        <f>'3-7 EU 2 SCR_WI CE'!K33</f>
        <v>3261516.4968844615</v>
      </c>
      <c r="F13" s="192">
        <f>'3-7 EU 2 SCR_WI CE'!K49</f>
        <v>3138.5515576022631</v>
      </c>
      <c r="G13" s="192">
        <f>(D13-D14)/(B14-B13)</f>
        <v>25818.817835613623</v>
      </c>
    </row>
    <row r="14" spans="1:7" s="193" customFormat="1" ht="18.75" customHeight="1" x14ac:dyDescent="0.35">
      <c r="A14" s="182" t="s">
        <v>339</v>
      </c>
      <c r="B14" s="304">
        <f>'3-3 Ranking-NOx'!E12</f>
        <v>236.30745599999995</v>
      </c>
      <c r="C14" s="183">
        <f>'3-10 EU 2 SCR TCI'!K64</f>
        <v>26213360</v>
      </c>
      <c r="D14" s="183">
        <f>'3-11 EU2 SCR CE'!K35</f>
        <v>3995210.1941367309</v>
      </c>
      <c r="E14" s="183">
        <f>'3-11 EU2 SCR CE'!K25</f>
        <v>843247.96877575107</v>
      </c>
      <c r="F14" s="192">
        <f>'3-11 EU2 SCR CE'!K41</f>
        <v>1878.5367643794114</v>
      </c>
      <c r="G14" s="192">
        <f>(D14-D15)/(B15-B14)</f>
        <v>1932.0975351026589</v>
      </c>
    </row>
    <row r="15" spans="1:7" s="193" customFormat="1" ht="18.75" customHeight="1" x14ac:dyDescent="0.35">
      <c r="A15" s="282" t="s">
        <v>340</v>
      </c>
      <c r="B15" s="304">
        <f>'3-3 Ranking-NOx'!E13</f>
        <v>708.92236800000012</v>
      </c>
      <c r="C15" s="183">
        <f>'3-14 EU2 WI TCI'!K63</f>
        <v>4600000</v>
      </c>
      <c r="D15" s="183">
        <f>'3-15 EU2 WI CE'!K32</f>
        <v>3082072.0876087705</v>
      </c>
      <c r="E15" s="183">
        <f>'3-15 EU2 WI CE'!K22</f>
        <v>2503773.6254598782</v>
      </c>
      <c r="F15" s="192">
        <f>'3-15 EU2 WI CE'!K38</f>
        <v>1863.2336870299116</v>
      </c>
      <c r="G15" s="192" t="s">
        <v>44</v>
      </c>
    </row>
    <row r="16" spans="1:7" s="283" customFormat="1" ht="18.75" customHeight="1" x14ac:dyDescent="0.35">
      <c r="A16" s="185" t="s">
        <v>341</v>
      </c>
      <c r="B16" s="304">
        <f>'3-3 Ranking-NOx'!E14</f>
        <v>2363.07456</v>
      </c>
      <c r="C16" s="191" t="s">
        <v>44</v>
      </c>
      <c r="D16" s="191" t="s">
        <v>44</v>
      </c>
      <c r="E16" s="191" t="s">
        <v>44</v>
      </c>
      <c r="F16" s="194" t="s">
        <v>44</v>
      </c>
      <c r="G16" s="194" t="s">
        <v>44</v>
      </c>
    </row>
    <row r="17" spans="1:7" s="184" customFormat="1" ht="18.75" customHeight="1" x14ac:dyDescent="0.25">
      <c r="A17" s="185" t="s">
        <v>42</v>
      </c>
      <c r="B17" s="186"/>
      <c r="C17" s="187"/>
      <c r="D17" s="187"/>
      <c r="E17" s="187"/>
      <c r="F17" s="284"/>
      <c r="G17" s="284"/>
    </row>
    <row r="18" spans="1:7" s="181" customFormat="1" ht="13" x14ac:dyDescent="0.25">
      <c r="A18" s="469" t="s">
        <v>349</v>
      </c>
      <c r="B18" s="470"/>
      <c r="C18" s="470"/>
      <c r="D18" s="470"/>
      <c r="E18" s="470"/>
      <c r="F18" s="471"/>
      <c r="G18" s="391"/>
    </row>
    <row r="19" spans="1:7" s="193" customFormat="1" ht="18.75" customHeight="1" x14ac:dyDescent="0.35">
      <c r="A19" s="185" t="s">
        <v>338</v>
      </c>
      <c r="B19" s="305">
        <f>'3-3 Ranking-NOx'!E15</f>
        <v>47.829999999999991</v>
      </c>
      <c r="C19" s="183">
        <f>'3-16 EU5-6 SCR_WI TCI'!K65</f>
        <v>8860031.6600000001</v>
      </c>
      <c r="D19" s="183">
        <f>'3-17 EU5-6 SCR_WI CE'!K35</f>
        <v>1668753.3362166709</v>
      </c>
      <c r="E19" s="183">
        <f>'3-17 EU5-6 SCR_WI CE'!K25</f>
        <v>603400.20682683552</v>
      </c>
      <c r="F19" s="192">
        <f>'3-17 EU5-6 SCR_WI CE'!K41</f>
        <v>3876.584515103656</v>
      </c>
      <c r="G19" s="192" t="s">
        <v>44</v>
      </c>
    </row>
    <row r="20" spans="1:7" s="193" customFormat="1" ht="18.75" customHeight="1" x14ac:dyDescent="0.35">
      <c r="A20" s="185" t="s">
        <v>342</v>
      </c>
      <c r="B20" s="306">
        <f>'3-3 Ranking-NOx'!E16</f>
        <v>478.3</v>
      </c>
      <c r="C20" s="191" t="s">
        <v>44</v>
      </c>
      <c r="D20" s="191" t="s">
        <v>44</v>
      </c>
      <c r="E20" s="191" t="s">
        <v>44</v>
      </c>
      <c r="F20" s="194" t="s">
        <v>44</v>
      </c>
      <c r="G20" s="194" t="s">
        <v>44</v>
      </c>
    </row>
    <row r="21" spans="1:7" s="184" customFormat="1" ht="18.75" customHeight="1" x14ac:dyDescent="0.25">
      <c r="A21" s="185"/>
      <c r="B21" s="186"/>
      <c r="C21" s="187"/>
      <c r="D21" s="187"/>
      <c r="E21" s="187"/>
      <c r="F21" s="284"/>
      <c r="G21" s="284"/>
    </row>
    <row r="22" spans="1:7" s="181" customFormat="1" ht="13" x14ac:dyDescent="0.25">
      <c r="A22" s="469" t="s">
        <v>47</v>
      </c>
      <c r="B22" s="470"/>
      <c r="C22" s="470"/>
      <c r="D22" s="470"/>
      <c r="E22" s="470"/>
      <c r="F22" s="471"/>
      <c r="G22" s="391"/>
    </row>
    <row r="23" spans="1:7" s="193" customFormat="1" ht="27.65" customHeight="1" x14ac:dyDescent="0.35">
      <c r="A23" s="188" t="str">
        <f>'3-3 Ranking-NOx'!C18</f>
        <v>Turbocharger and Aftercooler + Limited Operation + SCR</v>
      </c>
      <c r="B23" s="189">
        <f>'3-3 Ranking-NOx'!E18</f>
        <v>4.9999999999999989E-2</v>
      </c>
      <c r="C23" s="183">
        <f>'3-18 EU ID 7 SCR TCI'!K49</f>
        <v>100000</v>
      </c>
      <c r="D23" s="190">
        <f>'3-19 EU ID 7 SCR CE'!K27</f>
        <v>14237.750272736472</v>
      </c>
      <c r="E23" s="191" t="s">
        <v>44</v>
      </c>
      <c r="F23" s="192">
        <f>'3-19 EU ID 7 SCR CE'!K33</f>
        <v>31639.445050525494</v>
      </c>
      <c r="G23" s="192">
        <f>F23</f>
        <v>31639.445050525494</v>
      </c>
    </row>
    <row r="24" spans="1:7" s="193" customFormat="1" ht="27" x14ac:dyDescent="0.35">
      <c r="A24" s="188" t="s">
        <v>343</v>
      </c>
      <c r="B24" s="189">
        <f>'3-3 Ranking-NOx'!E19</f>
        <v>0.5</v>
      </c>
      <c r="C24" s="191" t="s">
        <v>44</v>
      </c>
      <c r="D24" s="191" t="s">
        <v>44</v>
      </c>
      <c r="E24" s="191" t="s">
        <v>44</v>
      </c>
      <c r="F24" s="194" t="s">
        <v>44</v>
      </c>
      <c r="G24" s="194" t="s">
        <v>44</v>
      </c>
    </row>
    <row r="25" spans="1:7" s="184" customFormat="1" ht="15.5" x14ac:dyDescent="0.25">
      <c r="A25" s="285"/>
      <c r="B25" s="286"/>
      <c r="C25" s="186"/>
      <c r="D25" s="186"/>
      <c r="E25" s="186"/>
      <c r="F25" s="287"/>
      <c r="G25" s="287"/>
    </row>
    <row r="26" spans="1:7" s="181" customFormat="1" ht="13" x14ac:dyDescent="0.25">
      <c r="A26" s="469" t="s">
        <v>291</v>
      </c>
      <c r="B26" s="470"/>
      <c r="C26" s="470"/>
      <c r="D26" s="470"/>
      <c r="E26" s="470"/>
      <c r="F26" s="471"/>
      <c r="G26" s="391"/>
    </row>
    <row r="27" spans="1:7" s="193" customFormat="1" ht="50" x14ac:dyDescent="0.35">
      <c r="A27" s="188" t="s">
        <v>234</v>
      </c>
      <c r="B27" s="241">
        <f>'3-3 Ranking-NOx'!E20</f>
        <v>0.93000000000000016</v>
      </c>
      <c r="C27" s="183">
        <f>'3-20 EU ID 11 &amp; 12 LNB TCI'!K49</f>
        <v>38650</v>
      </c>
      <c r="D27" s="190">
        <f>'3-21 EU ID 11 &amp; 12 LNB CE'!K27</f>
        <v>3101.3759949202195</v>
      </c>
      <c r="E27" s="191" t="s">
        <v>44</v>
      </c>
      <c r="F27" s="192" t="s">
        <v>350</v>
      </c>
      <c r="G27" s="192" t="s">
        <v>42</v>
      </c>
    </row>
    <row r="28" spans="1:7" s="184" customFormat="1" ht="18.75" customHeight="1" thickBot="1" x14ac:dyDescent="0.3">
      <c r="A28" s="288" t="s">
        <v>344</v>
      </c>
      <c r="B28" s="289">
        <f>'3-3 Ranking-NOx'!E21</f>
        <v>3.1</v>
      </c>
      <c r="C28" s="242" t="s">
        <v>44</v>
      </c>
      <c r="D28" s="242" t="s">
        <v>44</v>
      </c>
      <c r="E28" s="242" t="s">
        <v>44</v>
      </c>
      <c r="F28" s="290" t="s">
        <v>44</v>
      </c>
      <c r="G28" s="290" t="s">
        <v>44</v>
      </c>
    </row>
    <row r="29" spans="1:7" x14ac:dyDescent="0.25">
      <c r="F29" s="195"/>
      <c r="G29" s="195"/>
    </row>
    <row r="30" spans="1:7" ht="14.5" x14ac:dyDescent="0.25">
      <c r="A30" s="195" t="s">
        <v>45</v>
      </c>
      <c r="B30" s="195"/>
      <c r="C30" s="468" t="s">
        <v>42</v>
      </c>
      <c r="D30" s="468"/>
      <c r="E30" s="468"/>
      <c r="F30" s="468"/>
    </row>
    <row r="31" spans="1:7" ht="14.5" x14ac:dyDescent="0.25">
      <c r="A31" s="268" t="s">
        <v>278</v>
      </c>
      <c r="B31" s="195"/>
      <c r="C31" s="267"/>
      <c r="D31" s="267"/>
      <c r="E31" s="267"/>
      <c r="F31" s="267"/>
    </row>
    <row r="32" spans="1:7" ht="29.5" customHeight="1" x14ac:dyDescent="0.25">
      <c r="A32" s="464" t="s">
        <v>399</v>
      </c>
      <c r="B32" s="464"/>
      <c r="C32" s="464"/>
      <c r="D32" s="464"/>
      <c r="E32" s="464"/>
      <c r="F32" s="464"/>
      <c r="G32" s="464"/>
    </row>
    <row r="33" spans="1:7" ht="29.5" customHeight="1" x14ac:dyDescent="0.25">
      <c r="A33" s="465" t="s">
        <v>346</v>
      </c>
      <c r="B33" s="465"/>
      <c r="C33" s="465"/>
      <c r="D33" s="465"/>
      <c r="E33" s="465"/>
      <c r="F33" s="465"/>
      <c r="G33" s="465"/>
    </row>
    <row r="34" spans="1:7" ht="14.5" x14ac:dyDescent="0.25">
      <c r="A34" s="268" t="s">
        <v>345</v>
      </c>
      <c r="B34" s="268"/>
      <c r="C34" s="196"/>
      <c r="D34" s="196"/>
      <c r="E34" s="196"/>
      <c r="F34" s="197"/>
      <c r="G34" s="197"/>
    </row>
    <row r="35" spans="1:7" ht="15" x14ac:dyDescent="0.3">
      <c r="A35" s="198"/>
      <c r="B35" s="198"/>
      <c r="C35" s="196"/>
      <c r="D35" s="196"/>
      <c r="E35" s="196"/>
      <c r="F35" s="197"/>
      <c r="G35" s="197"/>
    </row>
    <row r="36" spans="1:7" ht="14" x14ac:dyDescent="0.3">
      <c r="A36" s="198"/>
      <c r="B36" s="198"/>
      <c r="C36" s="198"/>
      <c r="D36" s="198"/>
      <c r="E36" s="198"/>
    </row>
    <row r="37" spans="1:7" ht="14" x14ac:dyDescent="0.3">
      <c r="A37" s="198"/>
      <c r="B37" s="198"/>
      <c r="C37" s="198"/>
      <c r="D37" s="198"/>
      <c r="E37" s="198"/>
    </row>
  </sheetData>
  <mergeCells count="10">
    <mergeCell ref="A32:G32"/>
    <mergeCell ref="A33:G33"/>
    <mergeCell ref="A1:G1"/>
    <mergeCell ref="A2:G2"/>
    <mergeCell ref="C30:F30"/>
    <mergeCell ref="A12:F12"/>
    <mergeCell ref="A18:F18"/>
    <mergeCell ref="A6:F6"/>
    <mergeCell ref="A22:F22"/>
    <mergeCell ref="A26:F26"/>
  </mergeCells>
  <printOptions horizontalCentered="1"/>
  <pageMargins left="0.38" right="0.4" top="0.48" bottom="0.75" header="0.3" footer="0.3"/>
  <pageSetup scale="66" firstPageNumber="45" orientation="portrait" useFirstPageNumber="1" r:id="rId1"/>
  <headerFooter>
    <oddFooter>&amp;L&amp;"Arial,Regular"&amp;8GVEA - North Pole Facility
PM2.5 NAA BACT Analysis&amp;C&amp;"Arial,Regular"&amp;8Page 68&amp;R&amp;"Arial,Regular"&amp;8August 2017</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8"/>
  <sheetViews>
    <sheetView zoomScaleNormal="100" workbookViewId="0">
      <selection activeCell="H21" sqref="H21"/>
    </sheetView>
  </sheetViews>
  <sheetFormatPr defaultRowHeight="12.5" x14ac:dyDescent="0.25"/>
  <cols>
    <col min="1" max="1" width="25.7265625" style="195" customWidth="1"/>
    <col min="2" max="2" width="23.26953125" style="195" customWidth="1"/>
    <col min="3" max="3" width="12.1796875" style="195" customWidth="1"/>
    <col min="4" max="4" width="38.54296875" style="195" customWidth="1"/>
    <col min="5" max="5" width="23.7265625" style="195" customWidth="1"/>
    <col min="6" max="6" width="9.26953125" style="195" bestFit="1" customWidth="1"/>
    <col min="7" max="244" width="8.81640625" style="195"/>
    <col min="245" max="245" width="15.7265625" style="195" customWidth="1"/>
    <col min="246" max="246" width="23.26953125" style="195" customWidth="1"/>
    <col min="247" max="247" width="12.1796875" style="195" customWidth="1"/>
    <col min="248" max="248" width="17.81640625" style="195" customWidth="1"/>
    <col min="249" max="249" width="23.7265625" style="195" customWidth="1"/>
    <col min="250" max="250" width="9.26953125" style="195" bestFit="1" customWidth="1"/>
    <col min="251" max="257" width="9.1796875" style="195" customWidth="1"/>
    <col min="258" max="258" width="9.26953125" style="195" bestFit="1" customWidth="1"/>
    <col min="259" max="500" width="8.81640625" style="195"/>
    <col min="501" max="501" width="15.7265625" style="195" customWidth="1"/>
    <col min="502" max="502" width="23.26953125" style="195" customWidth="1"/>
    <col min="503" max="503" width="12.1796875" style="195" customWidth="1"/>
    <col min="504" max="504" width="17.81640625" style="195" customWidth="1"/>
    <col min="505" max="505" width="23.7265625" style="195" customWidth="1"/>
    <col min="506" max="506" width="9.26953125" style="195" bestFit="1" customWidth="1"/>
    <col min="507" max="513" width="9.1796875" style="195" customWidth="1"/>
    <col min="514" max="514" width="9.26953125" style="195" bestFit="1" customWidth="1"/>
    <col min="515" max="756" width="8.81640625" style="195"/>
    <col min="757" max="757" width="15.7265625" style="195" customWidth="1"/>
    <col min="758" max="758" width="23.26953125" style="195" customWidth="1"/>
    <col min="759" max="759" width="12.1796875" style="195" customWidth="1"/>
    <col min="760" max="760" width="17.81640625" style="195" customWidth="1"/>
    <col min="761" max="761" width="23.7265625" style="195" customWidth="1"/>
    <col min="762" max="762" width="9.26953125" style="195" bestFit="1" customWidth="1"/>
    <col min="763" max="769" width="9.1796875" style="195" customWidth="1"/>
    <col min="770" max="770" width="9.26953125" style="195" bestFit="1" customWidth="1"/>
    <col min="771" max="1012" width="8.81640625" style="195"/>
    <col min="1013" max="1013" width="15.7265625" style="195" customWidth="1"/>
    <col min="1014" max="1014" width="23.26953125" style="195" customWidth="1"/>
    <col min="1015" max="1015" width="12.1796875" style="195" customWidth="1"/>
    <col min="1016" max="1016" width="17.81640625" style="195" customWidth="1"/>
    <col min="1017" max="1017" width="23.7265625" style="195" customWidth="1"/>
    <col min="1018" max="1018" width="9.26953125" style="195" bestFit="1" customWidth="1"/>
    <col min="1019" max="1025" width="9.1796875" style="195" customWidth="1"/>
    <col min="1026" max="1026" width="9.26953125" style="195" bestFit="1" customWidth="1"/>
    <col min="1027" max="1268" width="8.81640625" style="195"/>
    <col min="1269" max="1269" width="15.7265625" style="195" customWidth="1"/>
    <col min="1270" max="1270" width="23.26953125" style="195" customWidth="1"/>
    <col min="1271" max="1271" width="12.1796875" style="195" customWidth="1"/>
    <col min="1272" max="1272" width="17.81640625" style="195" customWidth="1"/>
    <col min="1273" max="1273" width="23.7265625" style="195" customWidth="1"/>
    <col min="1274" max="1274" width="9.26953125" style="195" bestFit="1" customWidth="1"/>
    <col min="1275" max="1281" width="9.1796875" style="195" customWidth="1"/>
    <col min="1282" max="1282" width="9.26953125" style="195" bestFit="1" customWidth="1"/>
    <col min="1283" max="1524" width="8.81640625" style="195"/>
    <col min="1525" max="1525" width="15.7265625" style="195" customWidth="1"/>
    <col min="1526" max="1526" width="23.26953125" style="195" customWidth="1"/>
    <col min="1527" max="1527" width="12.1796875" style="195" customWidth="1"/>
    <col min="1528" max="1528" width="17.81640625" style="195" customWidth="1"/>
    <col min="1529" max="1529" width="23.7265625" style="195" customWidth="1"/>
    <col min="1530" max="1530" width="9.26953125" style="195" bestFit="1" customWidth="1"/>
    <col min="1531" max="1537" width="9.1796875" style="195" customWidth="1"/>
    <col min="1538" max="1538" width="9.26953125" style="195" bestFit="1" customWidth="1"/>
    <col min="1539" max="1780" width="8.81640625" style="195"/>
    <col min="1781" max="1781" width="15.7265625" style="195" customWidth="1"/>
    <col min="1782" max="1782" width="23.26953125" style="195" customWidth="1"/>
    <col min="1783" max="1783" width="12.1796875" style="195" customWidth="1"/>
    <col min="1784" max="1784" width="17.81640625" style="195" customWidth="1"/>
    <col min="1785" max="1785" width="23.7265625" style="195" customWidth="1"/>
    <col min="1786" max="1786" width="9.26953125" style="195" bestFit="1" customWidth="1"/>
    <col min="1787" max="1793" width="9.1796875" style="195" customWidth="1"/>
    <col min="1794" max="1794" width="9.26953125" style="195" bestFit="1" customWidth="1"/>
    <col min="1795" max="2036" width="8.81640625" style="195"/>
    <col min="2037" max="2037" width="15.7265625" style="195" customWidth="1"/>
    <col min="2038" max="2038" width="23.26953125" style="195" customWidth="1"/>
    <col min="2039" max="2039" width="12.1796875" style="195" customWidth="1"/>
    <col min="2040" max="2040" width="17.81640625" style="195" customWidth="1"/>
    <col min="2041" max="2041" width="23.7265625" style="195" customWidth="1"/>
    <col min="2042" max="2042" width="9.26953125" style="195" bestFit="1" customWidth="1"/>
    <col min="2043" max="2049" width="9.1796875" style="195" customWidth="1"/>
    <col min="2050" max="2050" width="9.26953125" style="195" bestFit="1" customWidth="1"/>
    <col min="2051" max="2292" width="8.81640625" style="195"/>
    <col min="2293" max="2293" width="15.7265625" style="195" customWidth="1"/>
    <col min="2294" max="2294" width="23.26953125" style="195" customWidth="1"/>
    <col min="2295" max="2295" width="12.1796875" style="195" customWidth="1"/>
    <col min="2296" max="2296" width="17.81640625" style="195" customWidth="1"/>
    <col min="2297" max="2297" width="23.7265625" style="195" customWidth="1"/>
    <col min="2298" max="2298" width="9.26953125" style="195" bestFit="1" customWidth="1"/>
    <col min="2299" max="2305" width="9.1796875" style="195" customWidth="1"/>
    <col min="2306" max="2306" width="9.26953125" style="195" bestFit="1" customWidth="1"/>
    <col min="2307" max="2548" width="8.81640625" style="195"/>
    <col min="2549" max="2549" width="15.7265625" style="195" customWidth="1"/>
    <col min="2550" max="2550" width="23.26953125" style="195" customWidth="1"/>
    <col min="2551" max="2551" width="12.1796875" style="195" customWidth="1"/>
    <col min="2552" max="2552" width="17.81640625" style="195" customWidth="1"/>
    <col min="2553" max="2553" width="23.7265625" style="195" customWidth="1"/>
    <col min="2554" max="2554" width="9.26953125" style="195" bestFit="1" customWidth="1"/>
    <col min="2555" max="2561" width="9.1796875" style="195" customWidth="1"/>
    <col min="2562" max="2562" width="9.26953125" style="195" bestFit="1" customWidth="1"/>
    <col min="2563" max="2804" width="8.81640625" style="195"/>
    <col min="2805" max="2805" width="15.7265625" style="195" customWidth="1"/>
    <col min="2806" max="2806" width="23.26953125" style="195" customWidth="1"/>
    <col min="2807" max="2807" width="12.1796875" style="195" customWidth="1"/>
    <col min="2808" max="2808" width="17.81640625" style="195" customWidth="1"/>
    <col min="2809" max="2809" width="23.7265625" style="195" customWidth="1"/>
    <col min="2810" max="2810" width="9.26953125" style="195" bestFit="1" customWidth="1"/>
    <col min="2811" max="2817" width="9.1796875" style="195" customWidth="1"/>
    <col min="2818" max="2818" width="9.26953125" style="195" bestFit="1" customWidth="1"/>
    <col min="2819" max="3060" width="8.81640625" style="195"/>
    <col min="3061" max="3061" width="15.7265625" style="195" customWidth="1"/>
    <col min="3062" max="3062" width="23.26953125" style="195" customWidth="1"/>
    <col min="3063" max="3063" width="12.1796875" style="195" customWidth="1"/>
    <col min="3064" max="3064" width="17.81640625" style="195" customWidth="1"/>
    <col min="3065" max="3065" width="23.7265625" style="195" customWidth="1"/>
    <col min="3066" max="3066" width="9.26953125" style="195" bestFit="1" customWidth="1"/>
    <col min="3067" max="3073" width="9.1796875" style="195" customWidth="1"/>
    <col min="3074" max="3074" width="9.26953125" style="195" bestFit="1" customWidth="1"/>
    <col min="3075" max="3316" width="8.81640625" style="195"/>
    <col min="3317" max="3317" width="15.7265625" style="195" customWidth="1"/>
    <col min="3318" max="3318" width="23.26953125" style="195" customWidth="1"/>
    <col min="3319" max="3319" width="12.1796875" style="195" customWidth="1"/>
    <col min="3320" max="3320" width="17.81640625" style="195" customWidth="1"/>
    <col min="3321" max="3321" width="23.7265625" style="195" customWidth="1"/>
    <col min="3322" max="3322" width="9.26953125" style="195" bestFit="1" customWidth="1"/>
    <col min="3323" max="3329" width="9.1796875" style="195" customWidth="1"/>
    <col min="3330" max="3330" width="9.26953125" style="195" bestFit="1" customWidth="1"/>
    <col min="3331" max="3572" width="8.81640625" style="195"/>
    <col min="3573" max="3573" width="15.7265625" style="195" customWidth="1"/>
    <col min="3574" max="3574" width="23.26953125" style="195" customWidth="1"/>
    <col min="3575" max="3575" width="12.1796875" style="195" customWidth="1"/>
    <col min="3576" max="3576" width="17.81640625" style="195" customWidth="1"/>
    <col min="3577" max="3577" width="23.7265625" style="195" customWidth="1"/>
    <col min="3578" max="3578" width="9.26953125" style="195" bestFit="1" customWidth="1"/>
    <col min="3579" max="3585" width="9.1796875" style="195" customWidth="1"/>
    <col min="3586" max="3586" width="9.26953125" style="195" bestFit="1" customWidth="1"/>
    <col min="3587" max="3828" width="8.81640625" style="195"/>
    <col min="3829" max="3829" width="15.7265625" style="195" customWidth="1"/>
    <col min="3830" max="3830" width="23.26953125" style="195" customWidth="1"/>
    <col min="3831" max="3831" width="12.1796875" style="195" customWidth="1"/>
    <col min="3832" max="3832" width="17.81640625" style="195" customWidth="1"/>
    <col min="3833" max="3833" width="23.7265625" style="195" customWidth="1"/>
    <col min="3834" max="3834" width="9.26953125" style="195" bestFit="1" customWidth="1"/>
    <col min="3835" max="3841" width="9.1796875" style="195" customWidth="1"/>
    <col min="3842" max="3842" width="9.26953125" style="195" bestFit="1" customWidth="1"/>
    <col min="3843" max="4084" width="8.81640625" style="195"/>
    <col min="4085" max="4085" width="15.7265625" style="195" customWidth="1"/>
    <col min="4086" max="4086" width="23.26953125" style="195" customWidth="1"/>
    <col min="4087" max="4087" width="12.1796875" style="195" customWidth="1"/>
    <col min="4088" max="4088" width="17.81640625" style="195" customWidth="1"/>
    <col min="4089" max="4089" width="23.7265625" style="195" customWidth="1"/>
    <col min="4090" max="4090" width="9.26953125" style="195" bestFit="1" customWidth="1"/>
    <col min="4091" max="4097" width="9.1796875" style="195" customWidth="1"/>
    <col min="4098" max="4098" width="9.26953125" style="195" bestFit="1" customWidth="1"/>
    <col min="4099" max="4340" width="8.81640625" style="195"/>
    <col min="4341" max="4341" width="15.7265625" style="195" customWidth="1"/>
    <col min="4342" max="4342" width="23.26953125" style="195" customWidth="1"/>
    <col min="4343" max="4343" width="12.1796875" style="195" customWidth="1"/>
    <col min="4344" max="4344" width="17.81640625" style="195" customWidth="1"/>
    <col min="4345" max="4345" width="23.7265625" style="195" customWidth="1"/>
    <col min="4346" max="4346" width="9.26953125" style="195" bestFit="1" customWidth="1"/>
    <col min="4347" max="4353" width="9.1796875" style="195" customWidth="1"/>
    <col min="4354" max="4354" width="9.26953125" style="195" bestFit="1" customWidth="1"/>
    <col min="4355" max="4596" width="8.81640625" style="195"/>
    <col min="4597" max="4597" width="15.7265625" style="195" customWidth="1"/>
    <col min="4598" max="4598" width="23.26953125" style="195" customWidth="1"/>
    <col min="4599" max="4599" width="12.1796875" style="195" customWidth="1"/>
    <col min="4600" max="4600" width="17.81640625" style="195" customWidth="1"/>
    <col min="4601" max="4601" width="23.7265625" style="195" customWidth="1"/>
    <col min="4602" max="4602" width="9.26953125" style="195" bestFit="1" customWidth="1"/>
    <col min="4603" max="4609" width="9.1796875" style="195" customWidth="1"/>
    <col min="4610" max="4610" width="9.26953125" style="195" bestFit="1" customWidth="1"/>
    <col min="4611" max="4852" width="8.81640625" style="195"/>
    <col min="4853" max="4853" width="15.7265625" style="195" customWidth="1"/>
    <col min="4854" max="4854" width="23.26953125" style="195" customWidth="1"/>
    <col min="4855" max="4855" width="12.1796875" style="195" customWidth="1"/>
    <col min="4856" max="4856" width="17.81640625" style="195" customWidth="1"/>
    <col min="4857" max="4857" width="23.7265625" style="195" customWidth="1"/>
    <col min="4858" max="4858" width="9.26953125" style="195" bestFit="1" customWidth="1"/>
    <col min="4859" max="4865" width="9.1796875" style="195" customWidth="1"/>
    <col min="4866" max="4866" width="9.26953125" style="195" bestFit="1" customWidth="1"/>
    <col min="4867" max="5108" width="8.81640625" style="195"/>
    <col min="5109" max="5109" width="15.7265625" style="195" customWidth="1"/>
    <col min="5110" max="5110" width="23.26953125" style="195" customWidth="1"/>
    <col min="5111" max="5111" width="12.1796875" style="195" customWidth="1"/>
    <col min="5112" max="5112" width="17.81640625" style="195" customWidth="1"/>
    <col min="5113" max="5113" width="23.7265625" style="195" customWidth="1"/>
    <col min="5114" max="5114" width="9.26953125" style="195" bestFit="1" customWidth="1"/>
    <col min="5115" max="5121" width="9.1796875" style="195" customWidth="1"/>
    <col min="5122" max="5122" width="9.26953125" style="195" bestFit="1" customWidth="1"/>
    <col min="5123" max="5364" width="8.81640625" style="195"/>
    <col min="5365" max="5365" width="15.7265625" style="195" customWidth="1"/>
    <col min="5366" max="5366" width="23.26953125" style="195" customWidth="1"/>
    <col min="5367" max="5367" width="12.1796875" style="195" customWidth="1"/>
    <col min="5368" max="5368" width="17.81640625" style="195" customWidth="1"/>
    <col min="5369" max="5369" width="23.7265625" style="195" customWidth="1"/>
    <col min="5370" max="5370" width="9.26953125" style="195" bestFit="1" customWidth="1"/>
    <col min="5371" max="5377" width="9.1796875" style="195" customWidth="1"/>
    <col min="5378" max="5378" width="9.26953125" style="195" bestFit="1" customWidth="1"/>
    <col min="5379" max="5620" width="8.81640625" style="195"/>
    <col min="5621" max="5621" width="15.7265625" style="195" customWidth="1"/>
    <col min="5622" max="5622" width="23.26953125" style="195" customWidth="1"/>
    <col min="5623" max="5623" width="12.1796875" style="195" customWidth="1"/>
    <col min="5624" max="5624" width="17.81640625" style="195" customWidth="1"/>
    <col min="5625" max="5625" width="23.7265625" style="195" customWidth="1"/>
    <col min="5626" max="5626" width="9.26953125" style="195" bestFit="1" customWidth="1"/>
    <col min="5627" max="5633" width="9.1796875" style="195" customWidth="1"/>
    <col min="5634" max="5634" width="9.26953125" style="195" bestFit="1" customWidth="1"/>
    <col min="5635" max="5876" width="8.81640625" style="195"/>
    <col min="5877" max="5877" width="15.7265625" style="195" customWidth="1"/>
    <col min="5878" max="5878" width="23.26953125" style="195" customWidth="1"/>
    <col min="5879" max="5879" width="12.1796875" style="195" customWidth="1"/>
    <col min="5880" max="5880" width="17.81640625" style="195" customWidth="1"/>
    <col min="5881" max="5881" width="23.7265625" style="195" customWidth="1"/>
    <col min="5882" max="5882" width="9.26953125" style="195" bestFit="1" customWidth="1"/>
    <col min="5883" max="5889" width="9.1796875" style="195" customWidth="1"/>
    <col min="5890" max="5890" width="9.26953125" style="195" bestFit="1" customWidth="1"/>
    <col min="5891" max="6132" width="8.81640625" style="195"/>
    <col min="6133" max="6133" width="15.7265625" style="195" customWidth="1"/>
    <col min="6134" max="6134" width="23.26953125" style="195" customWidth="1"/>
    <col min="6135" max="6135" width="12.1796875" style="195" customWidth="1"/>
    <col min="6136" max="6136" width="17.81640625" style="195" customWidth="1"/>
    <col min="6137" max="6137" width="23.7265625" style="195" customWidth="1"/>
    <col min="6138" max="6138" width="9.26953125" style="195" bestFit="1" customWidth="1"/>
    <col min="6139" max="6145" width="9.1796875" style="195" customWidth="1"/>
    <col min="6146" max="6146" width="9.26953125" style="195" bestFit="1" customWidth="1"/>
    <col min="6147" max="6388" width="8.81640625" style="195"/>
    <col min="6389" max="6389" width="15.7265625" style="195" customWidth="1"/>
    <col min="6390" max="6390" width="23.26953125" style="195" customWidth="1"/>
    <col min="6391" max="6391" width="12.1796875" style="195" customWidth="1"/>
    <col min="6392" max="6392" width="17.81640625" style="195" customWidth="1"/>
    <col min="6393" max="6393" width="23.7265625" style="195" customWidth="1"/>
    <col min="6394" max="6394" width="9.26953125" style="195" bestFit="1" customWidth="1"/>
    <col min="6395" max="6401" width="9.1796875" style="195" customWidth="1"/>
    <col min="6402" max="6402" width="9.26953125" style="195" bestFit="1" customWidth="1"/>
    <col min="6403" max="6644" width="8.81640625" style="195"/>
    <col min="6645" max="6645" width="15.7265625" style="195" customWidth="1"/>
    <col min="6646" max="6646" width="23.26953125" style="195" customWidth="1"/>
    <col min="6647" max="6647" width="12.1796875" style="195" customWidth="1"/>
    <col min="6648" max="6648" width="17.81640625" style="195" customWidth="1"/>
    <col min="6649" max="6649" width="23.7265625" style="195" customWidth="1"/>
    <col min="6650" max="6650" width="9.26953125" style="195" bestFit="1" customWidth="1"/>
    <col min="6651" max="6657" width="9.1796875" style="195" customWidth="1"/>
    <col min="6658" max="6658" width="9.26953125" style="195" bestFit="1" customWidth="1"/>
    <col min="6659" max="6900" width="8.81640625" style="195"/>
    <col min="6901" max="6901" width="15.7265625" style="195" customWidth="1"/>
    <col min="6902" max="6902" width="23.26953125" style="195" customWidth="1"/>
    <col min="6903" max="6903" width="12.1796875" style="195" customWidth="1"/>
    <col min="6904" max="6904" width="17.81640625" style="195" customWidth="1"/>
    <col min="6905" max="6905" width="23.7265625" style="195" customWidth="1"/>
    <col min="6906" max="6906" width="9.26953125" style="195" bestFit="1" customWidth="1"/>
    <col min="6907" max="6913" width="9.1796875" style="195" customWidth="1"/>
    <col min="6914" max="6914" width="9.26953125" style="195" bestFit="1" customWidth="1"/>
    <col min="6915" max="7156" width="8.81640625" style="195"/>
    <col min="7157" max="7157" width="15.7265625" style="195" customWidth="1"/>
    <col min="7158" max="7158" width="23.26953125" style="195" customWidth="1"/>
    <col min="7159" max="7159" width="12.1796875" style="195" customWidth="1"/>
    <col min="7160" max="7160" width="17.81640625" style="195" customWidth="1"/>
    <col min="7161" max="7161" width="23.7265625" style="195" customWidth="1"/>
    <col min="7162" max="7162" width="9.26953125" style="195" bestFit="1" customWidth="1"/>
    <col min="7163" max="7169" width="9.1796875" style="195" customWidth="1"/>
    <col min="7170" max="7170" width="9.26953125" style="195" bestFit="1" customWidth="1"/>
    <col min="7171" max="7412" width="8.81640625" style="195"/>
    <col min="7413" max="7413" width="15.7265625" style="195" customWidth="1"/>
    <col min="7414" max="7414" width="23.26953125" style="195" customWidth="1"/>
    <col min="7415" max="7415" width="12.1796875" style="195" customWidth="1"/>
    <col min="7416" max="7416" width="17.81640625" style="195" customWidth="1"/>
    <col min="7417" max="7417" width="23.7265625" style="195" customWidth="1"/>
    <col min="7418" max="7418" width="9.26953125" style="195" bestFit="1" customWidth="1"/>
    <col min="7419" max="7425" width="9.1796875" style="195" customWidth="1"/>
    <col min="7426" max="7426" width="9.26953125" style="195" bestFit="1" customWidth="1"/>
    <col min="7427" max="7668" width="8.81640625" style="195"/>
    <col min="7669" max="7669" width="15.7265625" style="195" customWidth="1"/>
    <col min="7670" max="7670" width="23.26953125" style="195" customWidth="1"/>
    <col min="7671" max="7671" width="12.1796875" style="195" customWidth="1"/>
    <col min="7672" max="7672" width="17.81640625" style="195" customWidth="1"/>
    <col min="7673" max="7673" width="23.7265625" style="195" customWidth="1"/>
    <col min="7674" max="7674" width="9.26953125" style="195" bestFit="1" customWidth="1"/>
    <col min="7675" max="7681" width="9.1796875" style="195" customWidth="1"/>
    <col min="7682" max="7682" width="9.26953125" style="195" bestFit="1" customWidth="1"/>
    <col min="7683" max="7924" width="8.81640625" style="195"/>
    <col min="7925" max="7925" width="15.7265625" style="195" customWidth="1"/>
    <col min="7926" max="7926" width="23.26953125" style="195" customWidth="1"/>
    <col min="7927" max="7927" width="12.1796875" style="195" customWidth="1"/>
    <col min="7928" max="7928" width="17.81640625" style="195" customWidth="1"/>
    <col min="7929" max="7929" width="23.7265625" style="195" customWidth="1"/>
    <col min="7930" max="7930" width="9.26953125" style="195" bestFit="1" customWidth="1"/>
    <col min="7931" max="7937" width="9.1796875" style="195" customWidth="1"/>
    <col min="7938" max="7938" width="9.26953125" style="195" bestFit="1" customWidth="1"/>
    <col min="7939" max="8180" width="8.81640625" style="195"/>
    <col min="8181" max="8181" width="15.7265625" style="195" customWidth="1"/>
    <col min="8182" max="8182" width="23.26953125" style="195" customWidth="1"/>
    <col min="8183" max="8183" width="12.1796875" style="195" customWidth="1"/>
    <col min="8184" max="8184" width="17.81640625" style="195" customWidth="1"/>
    <col min="8185" max="8185" width="23.7265625" style="195" customWidth="1"/>
    <col min="8186" max="8186" width="9.26953125" style="195" bestFit="1" customWidth="1"/>
    <col min="8187" max="8193" width="9.1796875" style="195" customWidth="1"/>
    <col min="8194" max="8194" width="9.26953125" style="195" bestFit="1" customWidth="1"/>
    <col min="8195" max="8436" width="8.81640625" style="195"/>
    <col min="8437" max="8437" width="15.7265625" style="195" customWidth="1"/>
    <col min="8438" max="8438" width="23.26953125" style="195" customWidth="1"/>
    <col min="8439" max="8439" width="12.1796875" style="195" customWidth="1"/>
    <col min="8440" max="8440" width="17.81640625" style="195" customWidth="1"/>
    <col min="8441" max="8441" width="23.7265625" style="195" customWidth="1"/>
    <col min="8442" max="8442" width="9.26953125" style="195" bestFit="1" customWidth="1"/>
    <col min="8443" max="8449" width="9.1796875" style="195" customWidth="1"/>
    <col min="8450" max="8450" width="9.26953125" style="195" bestFit="1" customWidth="1"/>
    <col min="8451" max="8692" width="8.81640625" style="195"/>
    <col min="8693" max="8693" width="15.7265625" style="195" customWidth="1"/>
    <col min="8694" max="8694" width="23.26953125" style="195" customWidth="1"/>
    <col min="8695" max="8695" width="12.1796875" style="195" customWidth="1"/>
    <col min="8696" max="8696" width="17.81640625" style="195" customWidth="1"/>
    <col min="8697" max="8697" width="23.7265625" style="195" customWidth="1"/>
    <col min="8698" max="8698" width="9.26953125" style="195" bestFit="1" customWidth="1"/>
    <col min="8699" max="8705" width="9.1796875" style="195" customWidth="1"/>
    <col min="8706" max="8706" width="9.26953125" style="195" bestFit="1" customWidth="1"/>
    <col min="8707" max="8948" width="8.81640625" style="195"/>
    <col min="8949" max="8949" width="15.7265625" style="195" customWidth="1"/>
    <col min="8950" max="8950" width="23.26953125" style="195" customWidth="1"/>
    <col min="8951" max="8951" width="12.1796875" style="195" customWidth="1"/>
    <col min="8952" max="8952" width="17.81640625" style="195" customWidth="1"/>
    <col min="8953" max="8953" width="23.7265625" style="195" customWidth="1"/>
    <col min="8954" max="8954" width="9.26953125" style="195" bestFit="1" customWidth="1"/>
    <col min="8955" max="8961" width="9.1796875" style="195" customWidth="1"/>
    <col min="8962" max="8962" width="9.26953125" style="195" bestFit="1" customWidth="1"/>
    <col min="8963" max="9204" width="8.81640625" style="195"/>
    <col min="9205" max="9205" width="15.7265625" style="195" customWidth="1"/>
    <col min="9206" max="9206" width="23.26953125" style="195" customWidth="1"/>
    <col min="9207" max="9207" width="12.1796875" style="195" customWidth="1"/>
    <col min="9208" max="9208" width="17.81640625" style="195" customWidth="1"/>
    <col min="9209" max="9209" width="23.7265625" style="195" customWidth="1"/>
    <col min="9210" max="9210" width="9.26953125" style="195" bestFit="1" customWidth="1"/>
    <col min="9211" max="9217" width="9.1796875" style="195" customWidth="1"/>
    <col min="9218" max="9218" width="9.26953125" style="195" bestFit="1" customWidth="1"/>
    <col min="9219" max="9460" width="8.81640625" style="195"/>
    <col min="9461" max="9461" width="15.7265625" style="195" customWidth="1"/>
    <col min="9462" max="9462" width="23.26953125" style="195" customWidth="1"/>
    <col min="9463" max="9463" width="12.1796875" style="195" customWidth="1"/>
    <col min="9464" max="9464" width="17.81640625" style="195" customWidth="1"/>
    <col min="9465" max="9465" width="23.7265625" style="195" customWidth="1"/>
    <col min="9466" max="9466" width="9.26953125" style="195" bestFit="1" customWidth="1"/>
    <col min="9467" max="9473" width="9.1796875" style="195" customWidth="1"/>
    <col min="9474" max="9474" width="9.26953125" style="195" bestFit="1" customWidth="1"/>
    <col min="9475" max="9716" width="8.81640625" style="195"/>
    <col min="9717" max="9717" width="15.7265625" style="195" customWidth="1"/>
    <col min="9718" max="9718" width="23.26953125" style="195" customWidth="1"/>
    <col min="9719" max="9719" width="12.1796875" style="195" customWidth="1"/>
    <col min="9720" max="9720" width="17.81640625" style="195" customWidth="1"/>
    <col min="9721" max="9721" width="23.7265625" style="195" customWidth="1"/>
    <col min="9722" max="9722" width="9.26953125" style="195" bestFit="1" customWidth="1"/>
    <col min="9723" max="9729" width="9.1796875" style="195" customWidth="1"/>
    <col min="9730" max="9730" width="9.26953125" style="195" bestFit="1" customWidth="1"/>
    <col min="9731" max="9972" width="8.81640625" style="195"/>
    <col min="9973" max="9973" width="15.7265625" style="195" customWidth="1"/>
    <col min="9974" max="9974" width="23.26953125" style="195" customWidth="1"/>
    <col min="9975" max="9975" width="12.1796875" style="195" customWidth="1"/>
    <col min="9976" max="9976" width="17.81640625" style="195" customWidth="1"/>
    <col min="9977" max="9977" width="23.7265625" style="195" customWidth="1"/>
    <col min="9978" max="9978" width="9.26953125" style="195" bestFit="1" customWidth="1"/>
    <col min="9979" max="9985" width="9.1796875" style="195" customWidth="1"/>
    <col min="9986" max="9986" width="9.26953125" style="195" bestFit="1" customWidth="1"/>
    <col min="9987" max="10228" width="8.81640625" style="195"/>
    <col min="10229" max="10229" width="15.7265625" style="195" customWidth="1"/>
    <col min="10230" max="10230" width="23.26953125" style="195" customWidth="1"/>
    <col min="10231" max="10231" width="12.1796875" style="195" customWidth="1"/>
    <col min="10232" max="10232" width="17.81640625" style="195" customWidth="1"/>
    <col min="10233" max="10233" width="23.7265625" style="195" customWidth="1"/>
    <col min="10234" max="10234" width="9.26953125" style="195" bestFit="1" customWidth="1"/>
    <col min="10235" max="10241" width="9.1796875" style="195" customWidth="1"/>
    <col min="10242" max="10242" width="9.26953125" style="195" bestFit="1" customWidth="1"/>
    <col min="10243" max="10484" width="8.81640625" style="195"/>
    <col min="10485" max="10485" width="15.7265625" style="195" customWidth="1"/>
    <col min="10486" max="10486" width="23.26953125" style="195" customWidth="1"/>
    <col min="10487" max="10487" width="12.1796875" style="195" customWidth="1"/>
    <col min="10488" max="10488" width="17.81640625" style="195" customWidth="1"/>
    <col min="10489" max="10489" width="23.7265625" style="195" customWidth="1"/>
    <col min="10490" max="10490" width="9.26953125" style="195" bestFit="1" customWidth="1"/>
    <col min="10491" max="10497" width="9.1796875" style="195" customWidth="1"/>
    <col min="10498" max="10498" width="9.26953125" style="195" bestFit="1" customWidth="1"/>
    <col min="10499" max="10740" width="8.81640625" style="195"/>
    <col min="10741" max="10741" width="15.7265625" style="195" customWidth="1"/>
    <col min="10742" max="10742" width="23.26953125" style="195" customWidth="1"/>
    <col min="10743" max="10743" width="12.1796875" style="195" customWidth="1"/>
    <col min="10744" max="10744" width="17.81640625" style="195" customWidth="1"/>
    <col min="10745" max="10745" width="23.7265625" style="195" customWidth="1"/>
    <col min="10746" max="10746" width="9.26953125" style="195" bestFit="1" customWidth="1"/>
    <col min="10747" max="10753" width="9.1796875" style="195" customWidth="1"/>
    <col min="10754" max="10754" width="9.26953125" style="195" bestFit="1" customWidth="1"/>
    <col min="10755" max="10996" width="8.81640625" style="195"/>
    <col min="10997" max="10997" width="15.7265625" style="195" customWidth="1"/>
    <col min="10998" max="10998" width="23.26953125" style="195" customWidth="1"/>
    <col min="10999" max="10999" width="12.1796875" style="195" customWidth="1"/>
    <col min="11000" max="11000" width="17.81640625" style="195" customWidth="1"/>
    <col min="11001" max="11001" width="23.7265625" style="195" customWidth="1"/>
    <col min="11002" max="11002" width="9.26953125" style="195" bestFit="1" customWidth="1"/>
    <col min="11003" max="11009" width="9.1796875" style="195" customWidth="1"/>
    <col min="11010" max="11010" width="9.26953125" style="195" bestFit="1" customWidth="1"/>
    <col min="11011" max="11252" width="8.81640625" style="195"/>
    <col min="11253" max="11253" width="15.7265625" style="195" customWidth="1"/>
    <col min="11254" max="11254" width="23.26953125" style="195" customWidth="1"/>
    <col min="11255" max="11255" width="12.1796875" style="195" customWidth="1"/>
    <col min="11256" max="11256" width="17.81640625" style="195" customWidth="1"/>
    <col min="11257" max="11257" width="23.7265625" style="195" customWidth="1"/>
    <col min="11258" max="11258" width="9.26953125" style="195" bestFit="1" customWidth="1"/>
    <col min="11259" max="11265" width="9.1796875" style="195" customWidth="1"/>
    <col min="11266" max="11266" width="9.26953125" style="195" bestFit="1" customWidth="1"/>
    <col min="11267" max="11508" width="8.81640625" style="195"/>
    <col min="11509" max="11509" width="15.7265625" style="195" customWidth="1"/>
    <col min="11510" max="11510" width="23.26953125" style="195" customWidth="1"/>
    <col min="11511" max="11511" width="12.1796875" style="195" customWidth="1"/>
    <col min="11512" max="11512" width="17.81640625" style="195" customWidth="1"/>
    <col min="11513" max="11513" width="23.7265625" style="195" customWidth="1"/>
    <col min="11514" max="11514" width="9.26953125" style="195" bestFit="1" customWidth="1"/>
    <col min="11515" max="11521" width="9.1796875" style="195" customWidth="1"/>
    <col min="11522" max="11522" width="9.26953125" style="195" bestFit="1" customWidth="1"/>
    <col min="11523" max="11764" width="8.81640625" style="195"/>
    <col min="11765" max="11765" width="15.7265625" style="195" customWidth="1"/>
    <col min="11766" max="11766" width="23.26953125" style="195" customWidth="1"/>
    <col min="11767" max="11767" width="12.1796875" style="195" customWidth="1"/>
    <col min="11768" max="11768" width="17.81640625" style="195" customWidth="1"/>
    <col min="11769" max="11769" width="23.7265625" style="195" customWidth="1"/>
    <col min="11770" max="11770" width="9.26953125" style="195" bestFit="1" customWidth="1"/>
    <col min="11771" max="11777" width="9.1796875" style="195" customWidth="1"/>
    <col min="11778" max="11778" width="9.26953125" style="195" bestFit="1" customWidth="1"/>
    <col min="11779" max="12020" width="8.81640625" style="195"/>
    <col min="12021" max="12021" width="15.7265625" style="195" customWidth="1"/>
    <col min="12022" max="12022" width="23.26953125" style="195" customWidth="1"/>
    <col min="12023" max="12023" width="12.1796875" style="195" customWidth="1"/>
    <col min="12024" max="12024" width="17.81640625" style="195" customWidth="1"/>
    <col min="12025" max="12025" width="23.7265625" style="195" customWidth="1"/>
    <col min="12026" max="12026" width="9.26953125" style="195" bestFit="1" customWidth="1"/>
    <col min="12027" max="12033" width="9.1796875" style="195" customWidth="1"/>
    <col min="12034" max="12034" width="9.26953125" style="195" bestFit="1" customWidth="1"/>
    <col min="12035" max="12276" width="8.81640625" style="195"/>
    <col min="12277" max="12277" width="15.7265625" style="195" customWidth="1"/>
    <col min="12278" max="12278" width="23.26953125" style="195" customWidth="1"/>
    <col min="12279" max="12279" width="12.1796875" style="195" customWidth="1"/>
    <col min="12280" max="12280" width="17.81640625" style="195" customWidth="1"/>
    <col min="12281" max="12281" width="23.7265625" style="195" customWidth="1"/>
    <col min="12282" max="12282" width="9.26953125" style="195" bestFit="1" customWidth="1"/>
    <col min="12283" max="12289" width="9.1796875" style="195" customWidth="1"/>
    <col min="12290" max="12290" width="9.26953125" style="195" bestFit="1" customWidth="1"/>
    <col min="12291" max="12532" width="8.81640625" style="195"/>
    <col min="12533" max="12533" width="15.7265625" style="195" customWidth="1"/>
    <col min="12534" max="12534" width="23.26953125" style="195" customWidth="1"/>
    <col min="12535" max="12535" width="12.1796875" style="195" customWidth="1"/>
    <col min="12536" max="12536" width="17.81640625" style="195" customWidth="1"/>
    <col min="12537" max="12537" width="23.7265625" style="195" customWidth="1"/>
    <col min="12538" max="12538" width="9.26953125" style="195" bestFit="1" customWidth="1"/>
    <col min="12539" max="12545" width="9.1796875" style="195" customWidth="1"/>
    <col min="12546" max="12546" width="9.26953125" style="195" bestFit="1" customWidth="1"/>
    <col min="12547" max="12788" width="8.81640625" style="195"/>
    <col min="12789" max="12789" width="15.7265625" style="195" customWidth="1"/>
    <col min="12790" max="12790" width="23.26953125" style="195" customWidth="1"/>
    <col min="12791" max="12791" width="12.1796875" style="195" customWidth="1"/>
    <col min="12792" max="12792" width="17.81640625" style="195" customWidth="1"/>
    <col min="12793" max="12793" width="23.7265625" style="195" customWidth="1"/>
    <col min="12794" max="12794" width="9.26953125" style="195" bestFit="1" customWidth="1"/>
    <col min="12795" max="12801" width="9.1796875" style="195" customWidth="1"/>
    <col min="12802" max="12802" width="9.26953125" style="195" bestFit="1" customWidth="1"/>
    <col min="12803" max="13044" width="8.81640625" style="195"/>
    <col min="13045" max="13045" width="15.7265625" style="195" customWidth="1"/>
    <col min="13046" max="13046" width="23.26953125" style="195" customWidth="1"/>
    <col min="13047" max="13047" width="12.1796875" style="195" customWidth="1"/>
    <col min="13048" max="13048" width="17.81640625" style="195" customWidth="1"/>
    <col min="13049" max="13049" width="23.7265625" style="195" customWidth="1"/>
    <col min="13050" max="13050" width="9.26953125" style="195" bestFit="1" customWidth="1"/>
    <col min="13051" max="13057" width="9.1796875" style="195" customWidth="1"/>
    <col min="13058" max="13058" width="9.26953125" style="195" bestFit="1" customWidth="1"/>
    <col min="13059" max="13300" width="8.81640625" style="195"/>
    <col min="13301" max="13301" width="15.7265625" style="195" customWidth="1"/>
    <col min="13302" max="13302" width="23.26953125" style="195" customWidth="1"/>
    <col min="13303" max="13303" width="12.1796875" style="195" customWidth="1"/>
    <col min="13304" max="13304" width="17.81640625" style="195" customWidth="1"/>
    <col min="13305" max="13305" width="23.7265625" style="195" customWidth="1"/>
    <col min="13306" max="13306" width="9.26953125" style="195" bestFit="1" customWidth="1"/>
    <col min="13307" max="13313" width="9.1796875" style="195" customWidth="1"/>
    <col min="13314" max="13314" width="9.26953125" style="195" bestFit="1" customWidth="1"/>
    <col min="13315" max="13556" width="8.81640625" style="195"/>
    <col min="13557" max="13557" width="15.7265625" style="195" customWidth="1"/>
    <col min="13558" max="13558" width="23.26953125" style="195" customWidth="1"/>
    <col min="13559" max="13559" width="12.1796875" style="195" customWidth="1"/>
    <col min="13560" max="13560" width="17.81640625" style="195" customWidth="1"/>
    <col min="13561" max="13561" width="23.7265625" style="195" customWidth="1"/>
    <col min="13562" max="13562" width="9.26953125" style="195" bestFit="1" customWidth="1"/>
    <col min="13563" max="13569" width="9.1796875" style="195" customWidth="1"/>
    <col min="13570" max="13570" width="9.26953125" style="195" bestFit="1" customWidth="1"/>
    <col min="13571" max="13812" width="8.81640625" style="195"/>
    <col min="13813" max="13813" width="15.7265625" style="195" customWidth="1"/>
    <col min="13814" max="13814" width="23.26953125" style="195" customWidth="1"/>
    <col min="13815" max="13815" width="12.1796875" style="195" customWidth="1"/>
    <col min="13816" max="13816" width="17.81640625" style="195" customWidth="1"/>
    <col min="13817" max="13817" width="23.7265625" style="195" customWidth="1"/>
    <col min="13818" max="13818" width="9.26953125" style="195" bestFit="1" customWidth="1"/>
    <col min="13819" max="13825" width="9.1796875" style="195" customWidth="1"/>
    <col min="13826" max="13826" width="9.26953125" style="195" bestFit="1" customWidth="1"/>
    <col min="13827" max="14068" width="8.81640625" style="195"/>
    <col min="14069" max="14069" width="15.7265625" style="195" customWidth="1"/>
    <col min="14070" max="14070" width="23.26953125" style="195" customWidth="1"/>
    <col min="14071" max="14071" width="12.1796875" style="195" customWidth="1"/>
    <col min="14072" max="14072" width="17.81640625" style="195" customWidth="1"/>
    <col min="14073" max="14073" width="23.7265625" style="195" customWidth="1"/>
    <col min="14074" max="14074" width="9.26953125" style="195" bestFit="1" customWidth="1"/>
    <col min="14075" max="14081" width="9.1796875" style="195" customWidth="1"/>
    <col min="14082" max="14082" width="9.26953125" style="195" bestFit="1" customWidth="1"/>
    <col min="14083" max="14324" width="8.81640625" style="195"/>
    <col min="14325" max="14325" width="15.7265625" style="195" customWidth="1"/>
    <col min="14326" max="14326" width="23.26953125" style="195" customWidth="1"/>
    <col min="14327" max="14327" width="12.1796875" style="195" customWidth="1"/>
    <col min="14328" max="14328" width="17.81640625" style="195" customWidth="1"/>
    <col min="14329" max="14329" width="23.7265625" style="195" customWidth="1"/>
    <col min="14330" max="14330" width="9.26953125" style="195" bestFit="1" customWidth="1"/>
    <col min="14331" max="14337" width="9.1796875" style="195" customWidth="1"/>
    <col min="14338" max="14338" width="9.26953125" style="195" bestFit="1" customWidth="1"/>
    <col min="14339" max="14580" width="8.81640625" style="195"/>
    <col min="14581" max="14581" width="15.7265625" style="195" customWidth="1"/>
    <col min="14582" max="14582" width="23.26953125" style="195" customWidth="1"/>
    <col min="14583" max="14583" width="12.1796875" style="195" customWidth="1"/>
    <col min="14584" max="14584" width="17.81640625" style="195" customWidth="1"/>
    <col min="14585" max="14585" width="23.7265625" style="195" customWidth="1"/>
    <col min="14586" max="14586" width="9.26953125" style="195" bestFit="1" customWidth="1"/>
    <col min="14587" max="14593" width="9.1796875" style="195" customWidth="1"/>
    <col min="14594" max="14594" width="9.26953125" style="195" bestFit="1" customWidth="1"/>
    <col min="14595" max="14836" width="8.81640625" style="195"/>
    <col min="14837" max="14837" width="15.7265625" style="195" customWidth="1"/>
    <col min="14838" max="14838" width="23.26953125" style="195" customWidth="1"/>
    <col min="14839" max="14839" width="12.1796875" style="195" customWidth="1"/>
    <col min="14840" max="14840" width="17.81640625" style="195" customWidth="1"/>
    <col min="14841" max="14841" width="23.7265625" style="195" customWidth="1"/>
    <col min="14842" max="14842" width="9.26953125" style="195" bestFit="1" customWidth="1"/>
    <col min="14843" max="14849" width="9.1796875" style="195" customWidth="1"/>
    <col min="14850" max="14850" width="9.26953125" style="195" bestFit="1" customWidth="1"/>
    <col min="14851" max="15092" width="8.81640625" style="195"/>
    <col min="15093" max="15093" width="15.7265625" style="195" customWidth="1"/>
    <col min="15094" max="15094" width="23.26953125" style="195" customWidth="1"/>
    <col min="15095" max="15095" width="12.1796875" style="195" customWidth="1"/>
    <col min="15096" max="15096" width="17.81640625" style="195" customWidth="1"/>
    <col min="15097" max="15097" width="23.7265625" style="195" customWidth="1"/>
    <col min="15098" max="15098" width="9.26953125" style="195" bestFit="1" customWidth="1"/>
    <col min="15099" max="15105" width="9.1796875" style="195" customWidth="1"/>
    <col min="15106" max="15106" width="9.26953125" style="195" bestFit="1" customWidth="1"/>
    <col min="15107" max="15348" width="8.81640625" style="195"/>
    <col min="15349" max="15349" width="15.7265625" style="195" customWidth="1"/>
    <col min="15350" max="15350" width="23.26953125" style="195" customWidth="1"/>
    <col min="15351" max="15351" width="12.1796875" style="195" customWidth="1"/>
    <col min="15352" max="15352" width="17.81640625" style="195" customWidth="1"/>
    <col min="15353" max="15353" width="23.7265625" style="195" customWidth="1"/>
    <col min="15354" max="15354" width="9.26953125" style="195" bestFit="1" customWidth="1"/>
    <col min="15355" max="15361" width="9.1796875" style="195" customWidth="1"/>
    <col min="15362" max="15362" width="9.26953125" style="195" bestFit="1" customWidth="1"/>
    <col min="15363" max="15604" width="8.81640625" style="195"/>
    <col min="15605" max="15605" width="15.7265625" style="195" customWidth="1"/>
    <col min="15606" max="15606" width="23.26953125" style="195" customWidth="1"/>
    <col min="15607" max="15607" width="12.1796875" style="195" customWidth="1"/>
    <col min="15608" max="15608" width="17.81640625" style="195" customWidth="1"/>
    <col min="15609" max="15609" width="23.7265625" style="195" customWidth="1"/>
    <col min="15610" max="15610" width="9.26953125" style="195" bestFit="1" customWidth="1"/>
    <col min="15611" max="15617" width="9.1796875" style="195" customWidth="1"/>
    <col min="15618" max="15618" width="9.26953125" style="195" bestFit="1" customWidth="1"/>
    <col min="15619" max="15860" width="8.81640625" style="195"/>
    <col min="15861" max="15861" width="15.7265625" style="195" customWidth="1"/>
    <col min="15862" max="15862" width="23.26953125" style="195" customWidth="1"/>
    <col min="15863" max="15863" width="12.1796875" style="195" customWidth="1"/>
    <col min="15864" max="15864" width="17.81640625" style="195" customWidth="1"/>
    <col min="15865" max="15865" width="23.7265625" style="195" customWidth="1"/>
    <col min="15866" max="15866" width="9.26953125" style="195" bestFit="1" customWidth="1"/>
    <col min="15867" max="15873" width="9.1796875" style="195" customWidth="1"/>
    <col min="15874" max="15874" width="9.26953125" style="195" bestFit="1" customWidth="1"/>
    <col min="15875" max="16116" width="8.81640625" style="195"/>
    <col min="16117" max="16117" width="15.7265625" style="195" customWidth="1"/>
    <col min="16118" max="16118" width="23.26953125" style="195" customWidth="1"/>
    <col min="16119" max="16119" width="12.1796875" style="195" customWidth="1"/>
    <col min="16120" max="16120" width="17.81640625" style="195" customWidth="1"/>
    <col min="16121" max="16121" width="23.7265625" style="195" customWidth="1"/>
    <col min="16122" max="16122" width="9.26953125" style="195" bestFit="1" customWidth="1"/>
    <col min="16123" max="16129" width="9.1796875" style="195" customWidth="1"/>
    <col min="16130" max="16130" width="9.26953125" style="195" bestFit="1" customWidth="1"/>
    <col min="16131" max="16384" width="8.81640625" style="195"/>
  </cols>
  <sheetData>
    <row r="1" spans="1:6" ht="14" x14ac:dyDescent="0.3">
      <c r="A1" s="472" t="s">
        <v>271</v>
      </c>
      <c r="B1" s="472"/>
      <c r="C1" s="472"/>
      <c r="D1" s="472"/>
      <c r="E1" s="472"/>
    </row>
    <row r="2" spans="1:6" ht="14" x14ac:dyDescent="0.3">
      <c r="A2" s="473" t="s">
        <v>292</v>
      </c>
      <c r="B2" s="473"/>
      <c r="C2" s="473"/>
      <c r="D2" s="473"/>
      <c r="E2" s="473"/>
    </row>
    <row r="3" spans="1:6" ht="16" thickBot="1" x14ac:dyDescent="0.4">
      <c r="A3" s="199" t="s">
        <v>42</v>
      </c>
      <c r="B3" s="199"/>
      <c r="C3" s="200"/>
      <c r="D3" s="200"/>
      <c r="E3" s="200"/>
    </row>
    <row r="4" spans="1:6" ht="15" x14ac:dyDescent="0.25">
      <c r="A4" s="201" t="s">
        <v>12</v>
      </c>
      <c r="B4" s="202"/>
      <c r="C4" s="474" t="s">
        <v>46</v>
      </c>
      <c r="D4" s="203" t="s">
        <v>235</v>
      </c>
      <c r="E4" s="204"/>
    </row>
    <row r="5" spans="1:6" ht="15.5" thickBot="1" x14ac:dyDescent="0.3">
      <c r="A5" s="205" t="s">
        <v>13</v>
      </c>
      <c r="B5" s="206" t="s">
        <v>30</v>
      </c>
      <c r="C5" s="475"/>
      <c r="D5" s="207" t="s">
        <v>30</v>
      </c>
      <c r="E5" s="208" t="s">
        <v>236</v>
      </c>
    </row>
    <row r="6" spans="1:6" ht="13.5" thickTop="1" x14ac:dyDescent="0.25">
      <c r="A6" s="209"/>
      <c r="B6" s="179"/>
      <c r="C6" s="210"/>
      <c r="D6" s="211"/>
      <c r="E6" s="180"/>
    </row>
    <row r="7" spans="1:6" s="177" customFormat="1" ht="20.9" customHeight="1" x14ac:dyDescent="0.35">
      <c r="A7" s="212">
        <v>1</v>
      </c>
      <c r="B7" s="213" t="s">
        <v>22</v>
      </c>
      <c r="C7" s="214" t="s">
        <v>225</v>
      </c>
      <c r="D7" s="307" t="s">
        <v>334</v>
      </c>
      <c r="E7" s="264" t="s">
        <v>336</v>
      </c>
      <c r="F7" s="177" t="s">
        <v>42</v>
      </c>
    </row>
    <row r="8" spans="1:6" ht="20.9" customHeight="1" x14ac:dyDescent="0.25">
      <c r="A8" s="182">
        <v>2</v>
      </c>
      <c r="B8" s="213" t="s">
        <v>22</v>
      </c>
      <c r="C8" s="215" t="s">
        <v>225</v>
      </c>
      <c r="D8" s="308" t="s">
        <v>334</v>
      </c>
      <c r="E8" s="264" t="s">
        <v>336</v>
      </c>
    </row>
    <row r="9" spans="1:6" ht="25" x14ac:dyDescent="0.25">
      <c r="A9" s="182" t="s">
        <v>29</v>
      </c>
      <c r="B9" s="191" t="s">
        <v>15</v>
      </c>
      <c r="C9" s="191" t="s">
        <v>331</v>
      </c>
      <c r="D9" s="191" t="s">
        <v>402</v>
      </c>
      <c r="E9" s="264" t="s">
        <v>401</v>
      </c>
    </row>
    <row r="10" spans="1:6" ht="25" x14ac:dyDescent="0.25">
      <c r="A10" s="216">
        <v>7</v>
      </c>
      <c r="B10" s="186" t="s">
        <v>40</v>
      </c>
      <c r="C10" s="217" t="s">
        <v>225</v>
      </c>
      <c r="D10" s="218" t="s">
        <v>277</v>
      </c>
      <c r="E10" s="219" t="s">
        <v>226</v>
      </c>
    </row>
    <row r="11" spans="1:6" ht="20.9" customHeight="1" thickBot="1" x14ac:dyDescent="0.3">
      <c r="A11" s="220" t="s">
        <v>28</v>
      </c>
      <c r="B11" s="221" t="s">
        <v>48</v>
      </c>
      <c r="C11" s="222" t="s">
        <v>49</v>
      </c>
      <c r="D11" s="242" t="s">
        <v>24</v>
      </c>
      <c r="E11" s="243" t="s">
        <v>256</v>
      </c>
    </row>
    <row r="13" spans="1:6" ht="14.25" customHeight="1" x14ac:dyDescent="0.25">
      <c r="A13" s="195" t="s">
        <v>45</v>
      </c>
      <c r="D13" s="223"/>
      <c r="E13" s="223"/>
      <c r="F13" s="224"/>
    </row>
    <row r="14" spans="1:6" ht="14.5" x14ac:dyDescent="0.25">
      <c r="A14" s="465" t="s">
        <v>335</v>
      </c>
      <c r="B14" s="465"/>
      <c r="C14" s="465"/>
      <c r="D14" s="465"/>
      <c r="E14" s="465"/>
      <c r="F14" s="1"/>
    </row>
    <row r="15" spans="1:6" ht="14.5" x14ac:dyDescent="0.25">
      <c r="A15" s="196" t="s">
        <v>42</v>
      </c>
      <c r="B15" s="225"/>
      <c r="C15" s="223"/>
      <c r="D15" s="265"/>
      <c r="E15" s="266"/>
    </row>
    <row r="16" spans="1:6" ht="14.5" x14ac:dyDescent="0.25">
      <c r="A16" s="196" t="s">
        <v>42</v>
      </c>
    </row>
    <row r="18" spans="2:2" x14ac:dyDescent="0.25">
      <c r="B18" s="296"/>
    </row>
  </sheetData>
  <mergeCells count="4">
    <mergeCell ref="A1:E1"/>
    <mergeCell ref="A2:E2"/>
    <mergeCell ref="C4:C5"/>
    <mergeCell ref="A14:E14"/>
  </mergeCells>
  <printOptions horizontalCentered="1"/>
  <pageMargins left="0.38" right="0.4" top="0.48" bottom="0.75" header="0.3" footer="0.3"/>
  <pageSetup scale="74" firstPageNumber="45" orientation="portrait" useFirstPageNumber="1" r:id="rId1"/>
  <headerFooter>
    <oddFooter>&amp;L&amp;"Arial,Regular"&amp;8GVEA - North Pole Facility
PM2.5 NAA BACT Analysis&amp;C&amp;"Arial,Regular"&amp;8Page 69&amp;R&amp;"Arial,Regular"&amp;8August 2017</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48"/>
  <sheetViews>
    <sheetView zoomScale="85" zoomScaleNormal="85" workbookViewId="0">
      <selection activeCell="H21" sqref="H21"/>
    </sheetView>
  </sheetViews>
  <sheetFormatPr defaultColWidth="8.81640625" defaultRowHeight="14" x14ac:dyDescent="0.3"/>
  <cols>
    <col min="1" max="3" width="55.7265625" style="166" customWidth="1"/>
    <col min="4" max="16384" width="8.81640625" style="166"/>
  </cols>
  <sheetData>
    <row r="1" spans="1:3" ht="17" x14ac:dyDescent="0.45">
      <c r="A1" s="161" t="s">
        <v>237</v>
      </c>
      <c r="B1" s="161"/>
      <c r="C1" s="161"/>
    </row>
    <row r="2" spans="1:3" ht="14.5" thickBot="1" x14ac:dyDescent="0.35">
      <c r="A2" s="162"/>
      <c r="B2" s="162"/>
      <c r="C2" s="162"/>
    </row>
    <row r="3" spans="1:3" ht="14.5" thickBot="1" x14ac:dyDescent="0.35">
      <c r="A3" s="226" t="s">
        <v>34</v>
      </c>
      <c r="B3" s="227" t="s">
        <v>0</v>
      </c>
      <c r="C3" s="228" t="s">
        <v>35</v>
      </c>
    </row>
    <row r="4" spans="1:3" ht="16.5" customHeight="1" thickTop="1" x14ac:dyDescent="0.3">
      <c r="A4" s="395" t="s">
        <v>238</v>
      </c>
      <c r="B4" s="229" t="s">
        <v>2</v>
      </c>
      <c r="C4" s="230">
        <v>6</v>
      </c>
    </row>
    <row r="5" spans="1:3" x14ac:dyDescent="0.3">
      <c r="A5" s="396"/>
      <c r="B5" s="229" t="s">
        <v>1</v>
      </c>
      <c r="C5" s="230">
        <v>4</v>
      </c>
    </row>
    <row r="6" spans="1:3" x14ac:dyDescent="0.3">
      <c r="A6" s="396"/>
      <c r="B6" s="229" t="s">
        <v>7</v>
      </c>
      <c r="C6" s="230">
        <v>2</v>
      </c>
    </row>
    <row r="7" spans="1:3" ht="16" x14ac:dyDescent="0.3">
      <c r="A7" s="396"/>
      <c r="B7" s="229" t="s">
        <v>229</v>
      </c>
      <c r="C7" s="230">
        <v>2</v>
      </c>
    </row>
    <row r="8" spans="1:3" ht="14.5" thickBot="1" x14ac:dyDescent="0.35">
      <c r="A8" s="397"/>
      <c r="B8" s="231" t="s">
        <v>3</v>
      </c>
      <c r="C8" s="232">
        <v>2</v>
      </c>
    </row>
    <row r="9" spans="1:3" ht="16.5" customHeight="1" x14ac:dyDescent="0.3">
      <c r="A9" s="166" t="s">
        <v>21</v>
      </c>
    </row>
    <row r="10" spans="1:3" ht="16.5" customHeight="1" x14ac:dyDescent="0.3"/>
    <row r="11" spans="1:3" ht="16.5" customHeight="1" x14ac:dyDescent="0.45">
      <c r="A11" s="161" t="s">
        <v>239</v>
      </c>
      <c r="B11" s="161"/>
      <c r="C11" s="161"/>
    </row>
    <row r="12" spans="1:3" ht="16.5" customHeight="1" thickBot="1" x14ac:dyDescent="0.35">
      <c r="A12" s="162"/>
      <c r="B12" s="162"/>
      <c r="C12" s="162"/>
    </row>
    <row r="13" spans="1:3" ht="14.5" thickBot="1" x14ac:dyDescent="0.35">
      <c r="A13" s="226" t="s">
        <v>34</v>
      </c>
      <c r="B13" s="227" t="s">
        <v>0</v>
      </c>
      <c r="C13" s="228" t="s">
        <v>36</v>
      </c>
    </row>
    <row r="14" spans="1:3" ht="14.5" thickTop="1" x14ac:dyDescent="0.3">
      <c r="A14" s="395" t="s">
        <v>238</v>
      </c>
      <c r="B14" s="229" t="s">
        <v>7</v>
      </c>
      <c r="C14" s="230">
        <v>6</v>
      </c>
    </row>
    <row r="15" spans="1:3" x14ac:dyDescent="0.3">
      <c r="A15" s="395"/>
      <c r="B15" s="229" t="s">
        <v>2</v>
      </c>
      <c r="C15" s="230">
        <v>5</v>
      </c>
    </row>
    <row r="16" spans="1:3" x14ac:dyDescent="0.3">
      <c r="A16" s="395"/>
      <c r="B16" s="229" t="s">
        <v>1</v>
      </c>
      <c r="C16" s="230">
        <v>2</v>
      </c>
    </row>
    <row r="17" spans="1:3" x14ac:dyDescent="0.3">
      <c r="A17" s="395"/>
      <c r="B17" s="229" t="s">
        <v>37</v>
      </c>
      <c r="C17" s="230">
        <v>1</v>
      </c>
    </row>
    <row r="18" spans="1:3" ht="16.5" thickBot="1" x14ac:dyDescent="0.35">
      <c r="A18" s="397"/>
      <c r="B18" s="231" t="s">
        <v>240</v>
      </c>
      <c r="C18" s="232">
        <v>1</v>
      </c>
    </row>
    <row r="19" spans="1:3" x14ac:dyDescent="0.3">
      <c r="A19" s="166" t="s">
        <v>21</v>
      </c>
    </row>
    <row r="21" spans="1:3" ht="17" x14ac:dyDescent="0.45">
      <c r="A21" s="161" t="s">
        <v>241</v>
      </c>
      <c r="B21" s="161"/>
      <c r="C21" s="161"/>
    </row>
    <row r="22" spans="1:3" ht="14.5" thickBot="1" x14ac:dyDescent="0.35">
      <c r="A22" s="162"/>
      <c r="B22" s="162"/>
      <c r="C22" s="162"/>
    </row>
    <row r="23" spans="1:3" ht="14.5" thickBot="1" x14ac:dyDescent="0.35">
      <c r="A23" s="226" t="s">
        <v>34</v>
      </c>
      <c r="B23" s="227" t="s">
        <v>0</v>
      </c>
      <c r="C23" s="228" t="s">
        <v>38</v>
      </c>
    </row>
    <row r="24" spans="1:3" ht="19.5" customHeight="1" thickTop="1" x14ac:dyDescent="0.3">
      <c r="A24" s="395" t="s">
        <v>238</v>
      </c>
      <c r="B24" s="233" t="s">
        <v>19</v>
      </c>
      <c r="C24" s="230">
        <v>17</v>
      </c>
    </row>
    <row r="25" spans="1:3" x14ac:dyDescent="0.3">
      <c r="A25" s="396"/>
      <c r="B25" s="233" t="s">
        <v>1</v>
      </c>
      <c r="C25" s="230">
        <v>15</v>
      </c>
    </row>
    <row r="26" spans="1:3" x14ac:dyDescent="0.3">
      <c r="A26" s="396"/>
      <c r="B26" s="233" t="s">
        <v>3</v>
      </c>
      <c r="C26" s="230">
        <v>10</v>
      </c>
    </row>
    <row r="27" spans="1:3" x14ac:dyDescent="0.3">
      <c r="A27" s="396"/>
      <c r="B27" s="233" t="s">
        <v>5</v>
      </c>
      <c r="C27" s="230">
        <v>8</v>
      </c>
    </row>
    <row r="28" spans="1:3" x14ac:dyDescent="0.3">
      <c r="A28" s="396"/>
      <c r="B28" s="233" t="s">
        <v>20</v>
      </c>
      <c r="C28" s="230">
        <v>6</v>
      </c>
    </row>
    <row r="29" spans="1:3" x14ac:dyDescent="0.3">
      <c r="A29" s="396"/>
      <c r="B29" s="233" t="s">
        <v>18</v>
      </c>
      <c r="C29" s="230">
        <v>5</v>
      </c>
    </row>
    <row r="30" spans="1:3" x14ac:dyDescent="0.3">
      <c r="A30" s="396"/>
      <c r="B30" s="233" t="s">
        <v>17</v>
      </c>
      <c r="C30" s="230">
        <v>3</v>
      </c>
    </row>
    <row r="31" spans="1:3" x14ac:dyDescent="0.3">
      <c r="A31" s="396"/>
      <c r="B31" s="233" t="s">
        <v>7</v>
      </c>
      <c r="C31" s="230">
        <v>2</v>
      </c>
    </row>
    <row r="32" spans="1:3" x14ac:dyDescent="0.3">
      <c r="A32" s="429"/>
      <c r="B32" s="234" t="s">
        <v>8</v>
      </c>
      <c r="C32" s="169">
        <v>2</v>
      </c>
    </row>
    <row r="33" spans="1:3" ht="16.5" thickBot="1" x14ac:dyDescent="0.45">
      <c r="A33" s="397"/>
      <c r="B33" s="235" t="s">
        <v>242</v>
      </c>
      <c r="C33" s="236">
        <v>1</v>
      </c>
    </row>
    <row r="34" spans="1:3" x14ac:dyDescent="0.3">
      <c r="A34" s="166" t="s">
        <v>21</v>
      </c>
    </row>
    <row r="36" spans="1:3" ht="17" x14ac:dyDescent="0.45">
      <c r="A36" s="161" t="s">
        <v>243</v>
      </c>
      <c r="B36" s="161"/>
      <c r="C36" s="161"/>
    </row>
    <row r="37" spans="1:3" ht="14.5" thickBot="1" x14ac:dyDescent="0.35">
      <c r="A37" s="162"/>
      <c r="B37" s="162"/>
      <c r="C37" s="162"/>
    </row>
    <row r="38" spans="1:3" ht="14.5" thickBot="1" x14ac:dyDescent="0.35">
      <c r="A38" s="226" t="s">
        <v>34</v>
      </c>
      <c r="B38" s="227" t="s">
        <v>0</v>
      </c>
      <c r="C38" s="228" t="s">
        <v>39</v>
      </c>
    </row>
    <row r="39" spans="1:3" ht="16.5" thickTop="1" x14ac:dyDescent="0.3">
      <c r="A39" s="395" t="s">
        <v>238</v>
      </c>
      <c r="B39" s="229" t="s">
        <v>229</v>
      </c>
      <c r="C39" s="230">
        <v>51</v>
      </c>
    </row>
    <row r="40" spans="1:3" x14ac:dyDescent="0.3">
      <c r="A40" s="396"/>
      <c r="B40" s="173" t="s">
        <v>11</v>
      </c>
      <c r="C40" s="230">
        <v>22</v>
      </c>
    </row>
    <row r="41" spans="1:3" ht="16" x14ac:dyDescent="0.3">
      <c r="A41" s="396"/>
      <c r="B41" s="173" t="s">
        <v>244</v>
      </c>
      <c r="C41" s="230">
        <v>18</v>
      </c>
    </row>
    <row r="42" spans="1:3" x14ac:dyDescent="0.3">
      <c r="A42" s="396"/>
      <c r="B42" s="229" t="s">
        <v>1</v>
      </c>
      <c r="C42" s="230">
        <v>16</v>
      </c>
    </row>
    <row r="43" spans="1:3" x14ac:dyDescent="0.3">
      <c r="A43" s="396"/>
      <c r="B43" s="173" t="s">
        <v>3</v>
      </c>
      <c r="C43" s="230">
        <v>8</v>
      </c>
    </row>
    <row r="44" spans="1:3" x14ac:dyDescent="0.3">
      <c r="A44" s="396"/>
      <c r="B44" s="229" t="s">
        <v>7</v>
      </c>
      <c r="C44" s="230">
        <v>6</v>
      </c>
    </row>
    <row r="45" spans="1:3" x14ac:dyDescent="0.3">
      <c r="A45" s="396"/>
      <c r="B45" s="229" t="s">
        <v>5</v>
      </c>
      <c r="C45" s="230">
        <v>4</v>
      </c>
    </row>
    <row r="46" spans="1:3" x14ac:dyDescent="0.3">
      <c r="A46" s="396"/>
      <c r="B46" s="173" t="s">
        <v>9</v>
      </c>
      <c r="C46" s="230">
        <v>3</v>
      </c>
    </row>
    <row r="47" spans="1:3" ht="14.5" thickBot="1" x14ac:dyDescent="0.35">
      <c r="A47" s="397"/>
      <c r="B47" s="231" t="s">
        <v>10</v>
      </c>
      <c r="C47" s="232">
        <v>1</v>
      </c>
    </row>
    <row r="48" spans="1:3" x14ac:dyDescent="0.3">
      <c r="A48" s="166" t="s">
        <v>21</v>
      </c>
    </row>
  </sheetData>
  <mergeCells count="4">
    <mergeCell ref="A4:A8"/>
    <mergeCell ref="A14:A18"/>
    <mergeCell ref="A24:A33"/>
    <mergeCell ref="A39:A47"/>
  </mergeCells>
  <printOptions horizontalCentered="1"/>
  <pageMargins left="0.38" right="0.4" top="0.48" bottom="0.75" header="0.3" footer="0.3"/>
  <pageSetup scale="59" firstPageNumber="45" orientation="portrait" useFirstPageNumber="1" r:id="rId1"/>
  <headerFooter>
    <oddFooter>&amp;L&amp;"Arial,Regular"&amp;8GVEA - North Pole Facility
PM2.5 NAA BACT Analysis&amp;C&amp;"Arial,Regular"&amp;8Page 47&amp;R&amp;"Arial,Regular"&amp;8August 2017</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8"/>
  <sheetViews>
    <sheetView topLeftCell="A10" zoomScaleNormal="100" zoomScalePageLayoutView="70" workbookViewId="0">
      <selection activeCell="D21" sqref="D21"/>
    </sheetView>
  </sheetViews>
  <sheetFormatPr defaultColWidth="8.81640625" defaultRowHeight="14" x14ac:dyDescent="0.3"/>
  <cols>
    <col min="1" max="1" width="6.26953125" style="166" bestFit="1" customWidth="1"/>
    <col min="2" max="2" width="28.1796875" style="166" bestFit="1" customWidth="1"/>
    <col min="3" max="3" width="44.26953125" style="166" customWidth="1"/>
    <col min="4" max="4" width="15.453125" style="166" customWidth="1"/>
    <col min="5" max="6" width="25.7265625" style="166" customWidth="1"/>
    <col min="7" max="16384" width="8.81640625" style="166"/>
  </cols>
  <sheetData>
    <row r="1" spans="1:8" ht="17" x14ac:dyDescent="0.45">
      <c r="A1" s="433" t="s">
        <v>283</v>
      </c>
      <c r="B1" s="433"/>
      <c r="C1" s="433"/>
      <c r="D1" s="433"/>
      <c r="E1" s="433"/>
      <c r="F1" s="433"/>
    </row>
    <row r="2" spans="1:8" ht="14.5" thickBot="1" x14ac:dyDescent="0.35">
      <c r="A2" s="168"/>
      <c r="B2" s="168"/>
      <c r="C2" s="161"/>
      <c r="D2" s="161"/>
      <c r="E2" s="161"/>
      <c r="F2" s="161"/>
    </row>
    <row r="3" spans="1:8" ht="25" customHeight="1" x14ac:dyDescent="0.3">
      <c r="A3" s="417" t="s">
        <v>12</v>
      </c>
      <c r="B3" s="418"/>
      <c r="C3" s="425" t="s">
        <v>0</v>
      </c>
      <c r="D3" s="423" t="s">
        <v>284</v>
      </c>
      <c r="E3" s="423" t="s">
        <v>230</v>
      </c>
      <c r="F3" s="434" t="s">
        <v>231</v>
      </c>
    </row>
    <row r="4" spans="1:8" ht="25" customHeight="1" thickBot="1" x14ac:dyDescent="0.35">
      <c r="A4" s="376" t="s">
        <v>13</v>
      </c>
      <c r="B4" s="377" t="s">
        <v>14</v>
      </c>
      <c r="C4" s="426"/>
      <c r="D4" s="424"/>
      <c r="E4" s="424"/>
      <c r="F4" s="435"/>
    </row>
    <row r="5" spans="1:8" ht="15" customHeight="1" thickTop="1" thickBot="1" x14ac:dyDescent="0.35">
      <c r="A5" s="331"/>
      <c r="B5" s="332"/>
      <c r="C5" s="337"/>
      <c r="D5" s="338"/>
      <c r="E5" s="338"/>
      <c r="F5" s="339"/>
    </row>
    <row r="6" spans="1:8" ht="18.75" customHeight="1" x14ac:dyDescent="0.3">
      <c r="A6" s="413" t="s">
        <v>227</v>
      </c>
      <c r="B6" s="430" t="s">
        <v>22</v>
      </c>
      <c r="C6" s="346" t="s">
        <v>4</v>
      </c>
      <c r="D6" s="347">
        <v>95</v>
      </c>
      <c r="E6" s="348">
        <f>E$9*(1-(D6/100))</f>
        <v>80.000000000000071</v>
      </c>
      <c r="F6" s="349">
        <f>E$9-E6</f>
        <v>1520</v>
      </c>
      <c r="H6" s="167"/>
    </row>
    <row r="7" spans="1:8" ht="18.75" customHeight="1" x14ac:dyDescent="0.3">
      <c r="A7" s="409"/>
      <c r="B7" s="431"/>
      <c r="C7" s="350" t="s">
        <v>7</v>
      </c>
      <c r="D7" s="351">
        <v>90</v>
      </c>
      <c r="E7" s="352">
        <f>E$9*(1-(D7/100))</f>
        <v>159.99999999999997</v>
      </c>
      <c r="F7" s="353">
        <f>E$9-E7</f>
        <v>1440</v>
      </c>
      <c r="H7" s="167"/>
    </row>
    <row r="8" spans="1:8" s="167" customFormat="1" ht="18.75" customHeight="1" x14ac:dyDescent="0.3">
      <c r="A8" s="409"/>
      <c r="B8" s="431"/>
      <c r="C8" s="350" t="s">
        <v>2</v>
      </c>
      <c r="D8" s="351">
        <v>70</v>
      </c>
      <c r="E8" s="352">
        <f>E$9*(1-(D8/100))</f>
        <v>480.00000000000006</v>
      </c>
      <c r="F8" s="353">
        <f>E$9-E8</f>
        <v>1120</v>
      </c>
    </row>
    <row r="9" spans="1:8" ht="18.75" customHeight="1" x14ac:dyDescent="0.3">
      <c r="A9" s="409"/>
      <c r="B9" s="431"/>
      <c r="C9" s="350" t="s">
        <v>232</v>
      </c>
      <c r="D9" s="351">
        <v>38.200000000000003</v>
      </c>
      <c r="E9" s="354">
        <v>1600</v>
      </c>
      <c r="F9" s="353">
        <v>0</v>
      </c>
      <c r="H9" s="167"/>
    </row>
    <row r="10" spans="1:8" ht="18.75" customHeight="1" thickBot="1" x14ac:dyDescent="0.35">
      <c r="A10" s="410"/>
      <c r="B10" s="432"/>
      <c r="C10" s="355" t="s">
        <v>274</v>
      </c>
      <c r="D10" s="356">
        <v>0</v>
      </c>
      <c r="E10" s="357">
        <v>2590</v>
      </c>
      <c r="F10" s="358" t="s">
        <v>23</v>
      </c>
      <c r="H10" s="167"/>
    </row>
    <row r="11" spans="1:8" ht="18.75" customHeight="1" x14ac:dyDescent="0.3">
      <c r="A11" s="416" t="s">
        <v>228</v>
      </c>
      <c r="B11" s="412" t="s">
        <v>22</v>
      </c>
      <c r="C11" s="172" t="s">
        <v>25</v>
      </c>
      <c r="D11" s="347">
        <v>95</v>
      </c>
      <c r="E11" s="276">
        <f>E$14*(1-(D11/100))</f>
        <v>118.1537280000001</v>
      </c>
      <c r="F11" s="277">
        <f>E$14-E11</f>
        <v>2244.9208319999998</v>
      </c>
      <c r="G11" s="275"/>
      <c r="H11" s="167"/>
    </row>
    <row r="12" spans="1:8" ht="18.75" customHeight="1" x14ac:dyDescent="0.3">
      <c r="A12" s="396"/>
      <c r="B12" s="412"/>
      <c r="C12" s="171" t="s">
        <v>26</v>
      </c>
      <c r="D12" s="351">
        <v>90</v>
      </c>
      <c r="E12" s="276">
        <f>E$14*(1-(D12/100))</f>
        <v>236.30745599999995</v>
      </c>
      <c r="F12" s="277">
        <f>E$14-E12</f>
        <v>2126.767104</v>
      </c>
      <c r="G12" s="275"/>
      <c r="H12" s="167"/>
    </row>
    <row r="13" spans="1:8" s="167" customFormat="1" ht="18.75" customHeight="1" x14ac:dyDescent="0.3">
      <c r="A13" s="396"/>
      <c r="B13" s="412"/>
      <c r="C13" s="171" t="s">
        <v>41</v>
      </c>
      <c r="D13" s="351">
        <v>70</v>
      </c>
      <c r="E13" s="276">
        <f>E$14*(1-(D13/100))</f>
        <v>708.92236800000012</v>
      </c>
      <c r="F13" s="277">
        <f>E$14-E13</f>
        <v>1654.152192</v>
      </c>
      <c r="G13" s="275"/>
    </row>
    <row r="14" spans="1:8" ht="18.75" customHeight="1" thickBot="1" x14ac:dyDescent="0.35">
      <c r="A14" s="429"/>
      <c r="B14" s="412"/>
      <c r="C14" s="359" t="s">
        <v>275</v>
      </c>
      <c r="D14" s="360">
        <v>0</v>
      </c>
      <c r="E14" s="361">
        <f>0.88*672*7992/2000</f>
        <v>2363.07456</v>
      </c>
      <c r="F14" s="362" t="s">
        <v>23</v>
      </c>
    </row>
    <row r="15" spans="1:8" ht="18.75" customHeight="1" x14ac:dyDescent="0.3">
      <c r="A15" s="436" t="s">
        <v>29</v>
      </c>
      <c r="B15" s="430" t="s">
        <v>15</v>
      </c>
      <c r="C15" s="365" t="s">
        <v>297</v>
      </c>
      <c r="D15" s="365">
        <v>90</v>
      </c>
      <c r="E15" s="366">
        <f>E$16*(1-(D15/100))</f>
        <v>47.829999999999991</v>
      </c>
      <c r="F15" s="349">
        <f>E$16-E15</f>
        <v>430.47</v>
      </c>
      <c r="H15" s="167"/>
    </row>
    <row r="16" spans="1:8" ht="18.75" customHeight="1" x14ac:dyDescent="0.3">
      <c r="A16" s="437"/>
      <c r="B16" s="431"/>
      <c r="C16" s="367" t="s">
        <v>233</v>
      </c>
      <c r="D16" s="368">
        <v>70</v>
      </c>
      <c r="E16" s="369">
        <v>478.3</v>
      </c>
      <c r="F16" s="370" t="s">
        <v>23</v>
      </c>
    </row>
    <row r="17" spans="1:8" ht="18.75" customHeight="1" thickBot="1" x14ac:dyDescent="0.35">
      <c r="A17" s="438"/>
      <c r="B17" s="432"/>
      <c r="C17" s="355" t="s">
        <v>296</v>
      </c>
      <c r="D17" s="371">
        <v>0</v>
      </c>
      <c r="E17" s="372">
        <f>E16/((100-D16)/100)</f>
        <v>1594.3333333333335</v>
      </c>
      <c r="F17" s="373" t="s">
        <v>23</v>
      </c>
    </row>
    <row r="18" spans="1:8" ht="28" x14ac:dyDescent="0.3">
      <c r="A18" s="416">
        <v>7</v>
      </c>
      <c r="B18" s="401" t="s">
        <v>40</v>
      </c>
      <c r="C18" s="363" t="s">
        <v>32</v>
      </c>
      <c r="D18" s="364">
        <v>90</v>
      </c>
      <c r="E18" s="278">
        <f>E$19*(1-(D18/100))</f>
        <v>4.9999999999999989E-2</v>
      </c>
      <c r="F18" s="279">
        <f>E$19-E18</f>
        <v>0.45</v>
      </c>
    </row>
    <row r="19" spans="1:8" ht="31" thickBot="1" x14ac:dyDescent="0.35">
      <c r="A19" s="427"/>
      <c r="B19" s="428"/>
      <c r="C19" s="378" t="s">
        <v>295</v>
      </c>
      <c r="D19" s="379">
        <v>0</v>
      </c>
      <c r="E19" s="380">
        <v>0.5</v>
      </c>
      <c r="F19" s="381" t="s">
        <v>23</v>
      </c>
    </row>
    <row r="20" spans="1:8" ht="18.75" customHeight="1" x14ac:dyDescent="0.3">
      <c r="A20" s="413" t="s">
        <v>28</v>
      </c>
      <c r="B20" s="398" t="s">
        <v>31</v>
      </c>
      <c r="C20" s="365" t="s">
        <v>229</v>
      </c>
      <c r="D20" s="365">
        <v>70</v>
      </c>
      <c r="E20" s="366">
        <f>E$21*(1-(D20/100))</f>
        <v>0.93000000000000016</v>
      </c>
      <c r="F20" s="382">
        <f>$E$21-E20</f>
        <v>2.17</v>
      </c>
      <c r="H20" s="167"/>
    </row>
    <row r="21" spans="1:8" ht="18.75" customHeight="1" thickBot="1" x14ac:dyDescent="0.35">
      <c r="A21" s="410"/>
      <c r="B21" s="400"/>
      <c r="C21" s="355" t="s">
        <v>24</v>
      </c>
      <c r="D21" s="383">
        <v>0</v>
      </c>
      <c r="E21" s="384">
        <v>3.1</v>
      </c>
      <c r="F21" s="385" t="s">
        <v>23</v>
      </c>
    </row>
    <row r="22" spans="1:8" x14ac:dyDescent="0.3">
      <c r="A22" s="270"/>
      <c r="B22" s="271"/>
      <c r="C22" s="272"/>
      <c r="D22" s="271"/>
      <c r="E22" s="273"/>
      <c r="F22" s="274"/>
    </row>
    <row r="23" spans="1:8" x14ac:dyDescent="0.3">
      <c r="A23" s="166" t="s">
        <v>285</v>
      </c>
    </row>
    <row r="24" spans="1:8" ht="70" customHeight="1" x14ac:dyDescent="0.3">
      <c r="A24" s="422" t="s">
        <v>294</v>
      </c>
      <c r="B24" s="421"/>
      <c r="C24" s="421"/>
      <c r="D24" s="421"/>
      <c r="E24" s="421"/>
      <c r="F24" s="421"/>
    </row>
    <row r="25" spans="1:8" ht="51.75" customHeight="1" x14ac:dyDescent="0.3">
      <c r="A25" s="421" t="s">
        <v>332</v>
      </c>
      <c r="B25" s="421"/>
      <c r="C25" s="421"/>
      <c r="D25" s="421"/>
      <c r="E25" s="421"/>
      <c r="F25" s="421"/>
    </row>
    <row r="26" spans="1:8" ht="20.5" customHeight="1" x14ac:dyDescent="0.3">
      <c r="A26" s="422" t="s">
        <v>406</v>
      </c>
      <c r="B26" s="421"/>
      <c r="C26" s="421"/>
      <c r="D26" s="421"/>
      <c r="E26" s="421"/>
      <c r="F26" s="421"/>
    </row>
    <row r="27" spans="1:8" ht="45.75" customHeight="1" x14ac:dyDescent="0.3">
      <c r="A27" s="421" t="s">
        <v>405</v>
      </c>
      <c r="B27" s="421"/>
      <c r="C27" s="421"/>
      <c r="D27" s="421"/>
      <c r="E27" s="421"/>
      <c r="F27" s="421"/>
    </row>
    <row r="28" spans="1:8" ht="19.149999999999999" customHeight="1" x14ac:dyDescent="0.3">
      <c r="A28" s="422" t="s">
        <v>333</v>
      </c>
      <c r="B28" s="421"/>
      <c r="C28" s="421"/>
      <c r="D28" s="421"/>
      <c r="E28" s="421"/>
      <c r="F28" s="421"/>
    </row>
  </sheetData>
  <mergeCells count="21">
    <mergeCell ref="A1:F1"/>
    <mergeCell ref="F3:F4"/>
    <mergeCell ref="A24:F24"/>
    <mergeCell ref="B15:B17"/>
    <mergeCell ref="A15:A17"/>
    <mergeCell ref="A27:F27"/>
    <mergeCell ref="A26:F26"/>
    <mergeCell ref="A28:F28"/>
    <mergeCell ref="E3:E4"/>
    <mergeCell ref="D3:D4"/>
    <mergeCell ref="A20:A21"/>
    <mergeCell ref="B20:B21"/>
    <mergeCell ref="A3:B3"/>
    <mergeCell ref="C3:C4"/>
    <mergeCell ref="A6:A10"/>
    <mergeCell ref="A18:A19"/>
    <mergeCell ref="B18:B19"/>
    <mergeCell ref="A11:A14"/>
    <mergeCell ref="A25:F25"/>
    <mergeCell ref="B6:B10"/>
    <mergeCell ref="B11:B14"/>
  </mergeCells>
  <printOptions horizontalCentered="1"/>
  <pageMargins left="0.38" right="0.4" top="0.48" bottom="0.75" header="0.3" footer="0.3"/>
  <pageSetup scale="67" firstPageNumber="45" orientation="portrait" useFirstPageNumber="1" r:id="rId1"/>
  <headerFooter>
    <oddFooter>&amp;L&amp;"Arial,Regular"&amp;8GVEA - North Pole Facility
PM2.5 NAA BACT Analysis&amp;C&amp;"Arial,Regular"&amp;8Page 49&amp;R&amp;"Arial,Regular"&amp;8August 2017</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79998168889431442"/>
    <pageSetUpPr fitToPage="1"/>
  </sheetPr>
  <dimension ref="B1:M81"/>
  <sheetViews>
    <sheetView topLeftCell="A49" zoomScale="90" zoomScaleNormal="90" zoomScalePageLayoutView="70" workbookViewId="0">
      <selection activeCell="M50" sqref="M50"/>
    </sheetView>
  </sheetViews>
  <sheetFormatPr defaultRowHeight="14.5" x14ac:dyDescent="0.35"/>
  <cols>
    <col min="1" max="1" width="2.26953125" customWidth="1"/>
    <col min="2" max="2" width="5.26953125" customWidth="1"/>
    <col min="3" max="3" width="6" customWidth="1"/>
    <col min="4" max="4" width="63.54296875" customWidth="1"/>
    <col min="6" max="6" width="19.26953125" customWidth="1"/>
    <col min="7" max="7" width="13" customWidth="1"/>
    <col min="8" max="8" width="17.7265625" customWidth="1"/>
    <col min="9" max="9" width="15.81640625" customWidth="1"/>
    <col min="10" max="10" width="14.7265625" customWidth="1"/>
    <col min="11" max="11" width="17.26953125" customWidth="1"/>
    <col min="13" max="13" width="29.81640625" customWidth="1"/>
  </cols>
  <sheetData>
    <row r="1" spans="2:11" x14ac:dyDescent="0.35">
      <c r="B1" s="439" t="s">
        <v>351</v>
      </c>
      <c r="C1" s="439"/>
      <c r="D1" s="439"/>
      <c r="E1" s="439"/>
      <c r="F1" s="439"/>
      <c r="G1" s="439"/>
      <c r="H1" s="439"/>
      <c r="I1" s="439"/>
      <c r="J1" s="439"/>
      <c r="K1" s="439"/>
    </row>
    <row r="3" spans="2:11" ht="15" thickBot="1" x14ac:dyDescent="0.4">
      <c r="J3" s="440" t="s">
        <v>139</v>
      </c>
      <c r="K3" s="441"/>
    </row>
    <row r="4" spans="2:11" ht="19" thickTop="1" x14ac:dyDescent="0.45">
      <c r="B4" s="98" t="s">
        <v>138</v>
      </c>
      <c r="C4" s="97"/>
      <c r="D4" s="97"/>
      <c r="E4" s="96"/>
      <c r="F4" s="96"/>
      <c r="G4" s="96"/>
      <c r="H4" s="96"/>
      <c r="I4" s="96"/>
      <c r="J4" s="95" t="s">
        <v>137</v>
      </c>
      <c r="K4" s="94"/>
    </row>
    <row r="5" spans="2:11" x14ac:dyDescent="0.35">
      <c r="B5" s="92" t="s">
        <v>136</v>
      </c>
      <c r="C5" s="11"/>
      <c r="D5" s="93" t="s">
        <v>298</v>
      </c>
      <c r="E5" s="11"/>
      <c r="F5" s="11"/>
      <c r="G5" s="11"/>
      <c r="H5" s="11"/>
      <c r="I5" s="11"/>
      <c r="J5" s="40" t="s">
        <v>135</v>
      </c>
      <c r="K5" s="91"/>
    </row>
    <row r="6" spans="2:11" x14ac:dyDescent="0.35">
      <c r="B6" s="92"/>
      <c r="C6" s="11"/>
      <c r="D6" s="11"/>
      <c r="E6" s="11"/>
      <c r="F6" s="11"/>
      <c r="G6" s="11"/>
      <c r="H6" s="11"/>
      <c r="I6" s="11"/>
      <c r="J6" s="40" t="s">
        <v>133</v>
      </c>
      <c r="K6" s="91"/>
    </row>
    <row r="7" spans="2:11" ht="15" thickBot="1" x14ac:dyDescent="0.4">
      <c r="B7" s="90" t="s">
        <v>299</v>
      </c>
      <c r="C7" s="89"/>
      <c r="D7" s="89"/>
      <c r="E7" s="89"/>
      <c r="F7" s="89"/>
      <c r="G7" s="89"/>
      <c r="H7" s="89"/>
      <c r="I7" s="89"/>
      <c r="J7" s="88" t="s">
        <v>132</v>
      </c>
      <c r="K7" s="87"/>
    </row>
    <row r="8" spans="2:11" ht="36.75" customHeight="1" thickBot="1" x14ac:dyDescent="0.4">
      <c r="B8" s="442" t="s">
        <v>131</v>
      </c>
      <c r="C8" s="443"/>
      <c r="D8" s="443"/>
      <c r="E8" s="443"/>
      <c r="F8" s="443"/>
      <c r="G8" s="443"/>
      <c r="H8" s="443"/>
      <c r="I8" s="443"/>
      <c r="J8" s="443"/>
      <c r="K8" s="444"/>
    </row>
    <row r="9" spans="2:11" ht="34.5" customHeight="1" thickTop="1" x14ac:dyDescent="0.35">
      <c r="B9" s="311" t="s">
        <v>130</v>
      </c>
      <c r="C9" s="312"/>
      <c r="D9" s="312"/>
      <c r="E9" s="313" t="s">
        <v>129</v>
      </c>
      <c r="F9" s="313" t="s">
        <v>128</v>
      </c>
      <c r="G9" s="314" t="s">
        <v>127</v>
      </c>
      <c r="H9" s="446" t="s">
        <v>126</v>
      </c>
      <c r="I9" s="446" t="s">
        <v>125</v>
      </c>
      <c r="J9" s="82"/>
      <c r="K9" s="81"/>
    </row>
    <row r="10" spans="2:11" ht="15.5" x14ac:dyDescent="0.35">
      <c r="B10" s="315"/>
      <c r="C10" s="316"/>
      <c r="D10" s="316"/>
      <c r="E10" s="317"/>
      <c r="F10" s="317"/>
      <c r="G10" s="318"/>
      <c r="H10" s="447"/>
      <c r="I10" s="447"/>
      <c r="J10" s="11"/>
      <c r="K10" s="77"/>
    </row>
    <row r="11" spans="2:11" ht="15.5" x14ac:dyDescent="0.35">
      <c r="B11" s="43" t="s">
        <v>124</v>
      </c>
      <c r="C11" s="41" t="s">
        <v>123</v>
      </c>
      <c r="D11" s="41"/>
      <c r="E11" s="11"/>
      <c r="F11" s="11"/>
      <c r="G11" s="11"/>
      <c r="H11" s="11"/>
      <c r="I11" s="11"/>
      <c r="J11" s="76"/>
      <c r="K11" s="75"/>
    </row>
    <row r="12" spans="2:11" ht="15.5" x14ac:dyDescent="0.35">
      <c r="B12" s="15"/>
      <c r="C12" s="41" t="s">
        <v>99</v>
      </c>
      <c r="D12" s="41" t="s">
        <v>122</v>
      </c>
      <c r="E12" s="11"/>
      <c r="F12" s="11"/>
      <c r="G12" s="11"/>
      <c r="H12" s="11"/>
      <c r="I12" s="11"/>
      <c r="J12" s="74"/>
      <c r="K12" s="47"/>
    </row>
    <row r="13" spans="2:11" ht="16.5" x14ac:dyDescent="0.35">
      <c r="B13" s="52"/>
      <c r="C13" s="37"/>
      <c r="D13" s="50" t="s">
        <v>300</v>
      </c>
      <c r="E13" s="294">
        <v>1</v>
      </c>
      <c r="F13" s="26" t="s">
        <v>63</v>
      </c>
      <c r="G13" s="73">
        <v>2000000</v>
      </c>
      <c r="H13" s="24">
        <f>E13*G13</f>
        <v>2000000</v>
      </c>
      <c r="I13" s="24"/>
      <c r="J13" s="23"/>
      <c r="K13" s="9"/>
    </row>
    <row r="14" spans="2:11" ht="16.5" x14ac:dyDescent="0.35">
      <c r="B14" s="70"/>
      <c r="C14" s="69"/>
      <c r="D14" s="54" t="s">
        <v>301</v>
      </c>
      <c r="E14" s="294">
        <v>1</v>
      </c>
      <c r="F14" s="26" t="s">
        <v>63</v>
      </c>
      <c r="G14" s="73">
        <v>5000000</v>
      </c>
      <c r="H14" s="24">
        <f>E14*G14</f>
        <v>5000000</v>
      </c>
      <c r="I14" s="68"/>
      <c r="K14" s="75"/>
    </row>
    <row r="15" spans="2:11" x14ac:dyDescent="0.35">
      <c r="B15" s="70"/>
      <c r="C15" s="69"/>
      <c r="D15" s="54" t="s">
        <v>368</v>
      </c>
      <c r="E15" s="325">
        <v>1</v>
      </c>
      <c r="F15" s="26"/>
      <c r="G15" s="73">
        <f>9338000/2</f>
        <v>4669000</v>
      </c>
      <c r="H15" s="24">
        <f>E15*G15</f>
        <v>4669000</v>
      </c>
      <c r="I15" s="68"/>
      <c r="J15" s="48" t="s">
        <v>105</v>
      </c>
      <c r="K15" s="47">
        <f>SUM(H13:H15)</f>
        <v>11669000</v>
      </c>
    </row>
    <row r="16" spans="2:11" x14ac:dyDescent="0.35">
      <c r="B16" s="70"/>
      <c r="C16" s="69"/>
      <c r="D16" s="54"/>
      <c r="E16" s="62"/>
      <c r="F16" s="26"/>
      <c r="G16" s="326"/>
      <c r="H16" s="24"/>
      <c r="I16" s="68"/>
      <c r="J16" s="48"/>
      <c r="K16" s="47"/>
    </row>
    <row r="17" spans="2:11" ht="15.5" x14ac:dyDescent="0.35">
      <c r="B17" s="70"/>
      <c r="C17" s="72" t="s">
        <v>96</v>
      </c>
      <c r="D17" s="72" t="s">
        <v>121</v>
      </c>
      <c r="E17" s="62"/>
      <c r="F17" s="62"/>
      <c r="G17" s="71"/>
      <c r="H17" s="68"/>
      <c r="I17" s="68"/>
      <c r="J17" s="48"/>
      <c r="K17" s="38"/>
    </row>
    <row r="18" spans="2:11" ht="16.5" x14ac:dyDescent="0.35">
      <c r="B18" s="70"/>
      <c r="C18" s="69"/>
      <c r="D18" s="54" t="s">
        <v>302</v>
      </c>
      <c r="E18" s="294"/>
      <c r="F18" s="62" t="s">
        <v>63</v>
      </c>
      <c r="G18" s="294"/>
      <c r="H18" s="24">
        <f>E18*G18</f>
        <v>0</v>
      </c>
      <c r="I18" s="68"/>
      <c r="J18" s="23"/>
      <c r="K18" s="38"/>
    </row>
    <row r="19" spans="2:11" x14ac:dyDescent="0.35">
      <c r="B19" s="67"/>
      <c r="C19" s="66"/>
      <c r="D19" s="64"/>
      <c r="E19" s="65"/>
      <c r="F19" s="65"/>
      <c r="G19" s="64"/>
      <c r="H19" s="63"/>
      <c r="I19" s="63"/>
      <c r="J19" s="48" t="s">
        <v>105</v>
      </c>
      <c r="K19" s="47">
        <f>SUM(H18:H18)</f>
        <v>0</v>
      </c>
    </row>
    <row r="20" spans="2:11" ht="15.5" x14ac:dyDescent="0.35">
      <c r="B20" s="52"/>
      <c r="C20" s="41" t="s">
        <v>94</v>
      </c>
      <c r="D20" s="41" t="s">
        <v>119</v>
      </c>
      <c r="E20" s="26"/>
      <c r="F20" s="26"/>
      <c r="G20" s="11"/>
      <c r="H20" s="24"/>
      <c r="I20" s="24"/>
      <c r="J20" s="23"/>
      <c r="K20" s="38"/>
    </row>
    <row r="21" spans="2:11" x14ac:dyDescent="0.35">
      <c r="B21" s="52"/>
      <c r="C21" s="37"/>
      <c r="D21" s="50" t="s">
        <v>118</v>
      </c>
      <c r="E21" s="294"/>
      <c r="F21" s="26" t="s">
        <v>117</v>
      </c>
      <c r="G21" s="36"/>
      <c r="H21" s="24"/>
      <c r="I21" s="24">
        <f>G21*H13</f>
        <v>0</v>
      </c>
      <c r="J21" s="23"/>
      <c r="K21" s="38"/>
    </row>
    <row r="22" spans="2:11" x14ac:dyDescent="0.35">
      <c r="B22" s="56"/>
      <c r="C22" s="54"/>
      <c r="D22" s="54"/>
      <c r="E22" s="55"/>
      <c r="F22" s="55"/>
      <c r="G22" s="54"/>
      <c r="H22" s="53"/>
      <c r="I22" s="53"/>
      <c r="J22" s="48" t="s">
        <v>105</v>
      </c>
      <c r="K22" s="47">
        <f>SUM(I21:I21)</f>
        <v>0</v>
      </c>
    </row>
    <row r="23" spans="2:11" ht="15.5" x14ac:dyDescent="0.35">
      <c r="B23" s="52"/>
      <c r="C23" s="41" t="s">
        <v>91</v>
      </c>
      <c r="D23" s="41" t="s">
        <v>116</v>
      </c>
      <c r="E23" s="26"/>
      <c r="F23" s="26"/>
      <c r="G23" s="11"/>
      <c r="H23" s="24"/>
      <c r="I23" s="24"/>
      <c r="J23" s="23"/>
      <c r="K23" s="38"/>
    </row>
    <row r="24" spans="2:11" x14ac:dyDescent="0.35">
      <c r="B24" s="60"/>
      <c r="C24" s="50"/>
      <c r="D24" s="54" t="s">
        <v>115</v>
      </c>
      <c r="E24" s="35"/>
      <c r="F24" s="51" t="s">
        <v>113</v>
      </c>
      <c r="G24" s="61"/>
      <c r="H24" s="49"/>
      <c r="I24" s="49">
        <f>E24*G24</f>
        <v>0</v>
      </c>
      <c r="J24" s="58"/>
      <c r="K24" s="57"/>
    </row>
    <row r="25" spans="2:11" x14ac:dyDescent="0.35">
      <c r="B25" s="60"/>
      <c r="C25" s="50"/>
      <c r="D25" s="54" t="s">
        <v>114</v>
      </c>
      <c r="E25" s="35"/>
      <c r="F25" s="51" t="s">
        <v>113</v>
      </c>
      <c r="G25" s="61"/>
      <c r="H25" s="49"/>
      <c r="I25" s="49">
        <f>E25*G25</f>
        <v>0</v>
      </c>
      <c r="J25" s="58"/>
      <c r="K25" s="57"/>
    </row>
    <row r="26" spans="2:11" x14ac:dyDescent="0.35">
      <c r="B26" s="60"/>
      <c r="C26" s="50"/>
      <c r="D26" s="54"/>
      <c r="E26" s="55"/>
      <c r="F26" s="55"/>
      <c r="G26" s="159"/>
      <c r="H26" s="49"/>
      <c r="I26" s="49"/>
      <c r="J26" s="58"/>
      <c r="K26" s="57"/>
    </row>
    <row r="27" spans="2:11" ht="15.5" x14ac:dyDescent="0.35">
      <c r="B27" s="60"/>
      <c r="C27" s="41" t="s">
        <v>89</v>
      </c>
      <c r="D27" s="41" t="s">
        <v>112</v>
      </c>
      <c r="E27" s="11"/>
      <c r="F27" s="11"/>
      <c r="G27" s="11"/>
      <c r="H27" s="24"/>
      <c r="I27" s="49"/>
      <c r="J27" s="58"/>
      <c r="K27" s="57"/>
    </row>
    <row r="28" spans="2:11" x14ac:dyDescent="0.35">
      <c r="B28" s="60"/>
      <c r="C28" s="50"/>
      <c r="D28" s="50" t="s">
        <v>111</v>
      </c>
      <c r="E28" s="59">
        <v>5.0000000000000001E-3</v>
      </c>
      <c r="F28" s="26" t="s">
        <v>110</v>
      </c>
      <c r="G28" s="294"/>
      <c r="H28" s="49">
        <f>E28*G14</f>
        <v>25000</v>
      </c>
      <c r="I28" s="49"/>
      <c r="J28" s="58"/>
      <c r="K28" s="57"/>
    </row>
    <row r="29" spans="2:11" x14ac:dyDescent="0.35">
      <c r="B29" s="56"/>
      <c r="C29" s="54"/>
      <c r="D29" s="54"/>
      <c r="E29" s="55"/>
      <c r="F29" s="55"/>
      <c r="G29" s="54"/>
      <c r="H29" s="53"/>
      <c r="I29" s="53"/>
      <c r="J29" s="48" t="s">
        <v>105</v>
      </c>
      <c r="K29" s="47">
        <f>H28</f>
        <v>25000</v>
      </c>
    </row>
    <row r="30" spans="2:11" ht="15.5" x14ac:dyDescent="0.35">
      <c r="B30" s="52"/>
      <c r="C30" s="41" t="s">
        <v>86</v>
      </c>
      <c r="D30" s="41" t="s">
        <v>109</v>
      </c>
      <c r="E30" s="26"/>
      <c r="F30" s="26"/>
      <c r="G30" s="11"/>
      <c r="H30" s="24"/>
      <c r="I30" s="24"/>
      <c r="J30" s="23"/>
      <c r="K30" s="38"/>
    </row>
    <row r="31" spans="2:11" x14ac:dyDescent="0.35">
      <c r="B31" s="52"/>
      <c r="C31" s="37"/>
      <c r="D31" s="50" t="s">
        <v>108</v>
      </c>
      <c r="E31" s="35">
        <v>10</v>
      </c>
      <c r="F31" s="51" t="s">
        <v>106</v>
      </c>
      <c r="G31" s="35">
        <v>1800</v>
      </c>
      <c r="H31" s="49"/>
      <c r="I31" s="49">
        <f>G31*E31</f>
        <v>18000</v>
      </c>
      <c r="J31" s="23"/>
      <c r="K31" s="38"/>
    </row>
    <row r="32" spans="2:11" x14ac:dyDescent="0.35">
      <c r="B32" s="52"/>
      <c r="C32" s="37"/>
      <c r="D32" s="50" t="s">
        <v>107</v>
      </c>
      <c r="E32" s="35">
        <v>8</v>
      </c>
      <c r="F32" s="51" t="s">
        <v>106</v>
      </c>
      <c r="G32" s="35">
        <v>2500</v>
      </c>
      <c r="H32" s="49"/>
      <c r="I32" s="49">
        <f>G32*E32</f>
        <v>20000</v>
      </c>
      <c r="J32" s="23"/>
      <c r="K32" s="38"/>
    </row>
    <row r="33" spans="2:13" x14ac:dyDescent="0.35">
      <c r="B33" s="52"/>
      <c r="C33" s="37"/>
      <c r="D33" s="37"/>
      <c r="E33" s="51"/>
      <c r="F33" s="51"/>
      <c r="G33" s="50"/>
      <c r="H33" s="49"/>
      <c r="I33" s="49"/>
      <c r="J33" s="48" t="s">
        <v>105</v>
      </c>
      <c r="K33" s="47">
        <f>SUM(I31:I32)</f>
        <v>38000</v>
      </c>
    </row>
    <row r="34" spans="2:13" ht="15.5" x14ac:dyDescent="0.35">
      <c r="B34" s="21" t="s">
        <v>104</v>
      </c>
      <c r="C34" s="46"/>
      <c r="D34" s="46"/>
      <c r="E34" s="297" t="s">
        <v>103</v>
      </c>
      <c r="F34" s="45"/>
      <c r="G34" s="45"/>
      <c r="H34" s="45"/>
      <c r="I34" s="44"/>
      <c r="J34" s="17" t="s">
        <v>102</v>
      </c>
      <c r="K34" s="29">
        <f>SUM(K13:K33)</f>
        <v>11732000</v>
      </c>
    </row>
    <row r="35" spans="2:13" ht="15.5" x14ac:dyDescent="0.35">
      <c r="B35" s="13"/>
      <c r="C35" s="12"/>
      <c r="D35" s="12"/>
      <c r="E35" s="26"/>
      <c r="F35" s="26"/>
      <c r="G35" s="11"/>
      <c r="H35" s="24"/>
      <c r="I35" s="24"/>
      <c r="J35" s="10"/>
      <c r="K35" s="38"/>
    </row>
    <row r="36" spans="2:13" ht="17.5" x14ac:dyDescent="0.35">
      <c r="B36" s="43" t="s">
        <v>101</v>
      </c>
      <c r="C36" s="41" t="s">
        <v>303</v>
      </c>
      <c r="D36" s="41"/>
      <c r="E36" s="26"/>
      <c r="F36" s="26"/>
      <c r="G36" s="11"/>
      <c r="H36" s="24"/>
      <c r="I36" s="24"/>
      <c r="J36" s="10"/>
      <c r="K36" s="38"/>
    </row>
    <row r="37" spans="2:13" ht="15.5" x14ac:dyDescent="0.35">
      <c r="B37" s="15"/>
      <c r="C37" s="41" t="s">
        <v>99</v>
      </c>
      <c r="D37" s="41" t="s">
        <v>98</v>
      </c>
      <c r="E37" s="35"/>
      <c r="F37" s="26" t="s">
        <v>97</v>
      </c>
      <c r="G37" s="35"/>
      <c r="H37" s="24">
        <f>E37*G37</f>
        <v>0</v>
      </c>
      <c r="I37" s="24"/>
      <c r="J37" s="23"/>
      <c r="K37" s="38">
        <f>H37+I37</f>
        <v>0</v>
      </c>
    </row>
    <row r="38" spans="2:13" ht="15.5" x14ac:dyDescent="0.35">
      <c r="B38" s="15"/>
      <c r="C38" s="41" t="s">
        <v>96</v>
      </c>
      <c r="D38" s="41" t="s">
        <v>95</v>
      </c>
      <c r="E38" s="35"/>
      <c r="F38" s="26" t="s">
        <v>92</v>
      </c>
      <c r="G38" s="35"/>
      <c r="H38" s="24">
        <f t="shared" ref="H38:H43" si="0">E38*G38</f>
        <v>0</v>
      </c>
      <c r="I38" s="24"/>
      <c r="J38" s="23"/>
      <c r="K38" s="38">
        <f t="shared" ref="K38:K47" si="1">H38+I38</f>
        <v>0</v>
      </c>
      <c r="M38" s="42"/>
    </row>
    <row r="39" spans="2:13" ht="15.5" x14ac:dyDescent="0.35">
      <c r="B39" s="15"/>
      <c r="C39" s="41" t="s">
        <v>94</v>
      </c>
      <c r="D39" s="41" t="s">
        <v>93</v>
      </c>
      <c r="E39" s="35"/>
      <c r="F39" s="26" t="s">
        <v>92</v>
      </c>
      <c r="G39" s="35"/>
      <c r="H39" s="24">
        <f t="shared" si="0"/>
        <v>0</v>
      </c>
      <c r="I39" s="24"/>
      <c r="J39" s="23"/>
      <c r="K39" s="38">
        <f t="shared" si="1"/>
        <v>0</v>
      </c>
      <c r="M39" s="260"/>
    </row>
    <row r="40" spans="2:13" ht="15.5" x14ac:dyDescent="0.35">
      <c r="B40" s="15"/>
      <c r="C40" s="41" t="s">
        <v>91</v>
      </c>
      <c r="D40" s="41" t="s">
        <v>90</v>
      </c>
      <c r="E40" s="35"/>
      <c r="F40" s="26" t="s">
        <v>84</v>
      </c>
      <c r="G40" s="35"/>
      <c r="H40" s="24">
        <f t="shared" si="0"/>
        <v>0</v>
      </c>
      <c r="I40" s="24"/>
      <c r="J40" s="23"/>
      <c r="K40" s="38">
        <f t="shared" si="1"/>
        <v>0</v>
      </c>
      <c r="M40" s="261"/>
    </row>
    <row r="41" spans="2:13" ht="15.5" x14ac:dyDescent="0.35">
      <c r="B41" s="15"/>
      <c r="C41" s="41" t="s">
        <v>89</v>
      </c>
      <c r="D41" s="41" t="s">
        <v>88</v>
      </c>
      <c r="E41" s="35"/>
      <c r="F41" s="26" t="s">
        <v>87</v>
      </c>
      <c r="G41" s="35"/>
      <c r="H41" s="24">
        <f t="shared" si="0"/>
        <v>0</v>
      </c>
      <c r="I41" s="24"/>
      <c r="J41" s="23"/>
      <c r="K41" s="38">
        <f t="shared" si="1"/>
        <v>0</v>
      </c>
      <c r="M41" s="42"/>
    </row>
    <row r="42" spans="2:13" ht="15.5" x14ac:dyDescent="0.35">
      <c r="B42" s="15"/>
      <c r="C42" s="41" t="s">
        <v>86</v>
      </c>
      <c r="D42" s="41" t="s">
        <v>85</v>
      </c>
      <c r="E42" s="35"/>
      <c r="F42" s="26" t="s">
        <v>84</v>
      </c>
      <c r="G42" s="35"/>
      <c r="H42" s="24">
        <f t="shared" si="0"/>
        <v>0</v>
      </c>
      <c r="I42" s="24"/>
      <c r="J42" s="23"/>
      <c r="K42" s="38">
        <f t="shared" si="1"/>
        <v>0</v>
      </c>
      <c r="M42" s="260"/>
    </row>
    <row r="43" spans="2:13" ht="15.5" x14ac:dyDescent="0.35">
      <c r="B43" s="15"/>
      <c r="C43" s="41" t="s">
        <v>83</v>
      </c>
      <c r="D43" s="41" t="s">
        <v>82</v>
      </c>
      <c r="E43" s="35"/>
      <c r="F43" s="26" t="s">
        <v>81</v>
      </c>
      <c r="G43" s="35"/>
      <c r="H43" s="24">
        <f t="shared" si="0"/>
        <v>0</v>
      </c>
      <c r="I43" s="24"/>
      <c r="J43" s="23"/>
      <c r="K43" s="38">
        <f t="shared" si="1"/>
        <v>0</v>
      </c>
      <c r="M43" s="261"/>
    </row>
    <row r="44" spans="2:13" ht="15.5" x14ac:dyDescent="0.35">
      <c r="B44" s="15"/>
      <c r="C44" s="41" t="s">
        <v>80</v>
      </c>
      <c r="D44" s="41" t="s">
        <v>79</v>
      </c>
      <c r="E44" s="26"/>
      <c r="F44" s="26"/>
      <c r="G44" s="10"/>
      <c r="H44" s="24"/>
      <c r="I44" s="24"/>
      <c r="J44" s="23"/>
      <c r="K44" s="38"/>
      <c r="M44" s="42"/>
    </row>
    <row r="45" spans="2:13" ht="15.5" x14ac:dyDescent="0.35">
      <c r="B45" s="15"/>
      <c r="C45" s="41"/>
      <c r="D45" s="12" t="s">
        <v>78</v>
      </c>
      <c r="F45" s="40" t="s">
        <v>77</v>
      </c>
      <c r="G45" s="36"/>
      <c r="H45" s="42"/>
      <c r="I45" s="24">
        <f>G45*I24</f>
        <v>0</v>
      </c>
      <c r="J45" s="23"/>
      <c r="K45" s="38">
        <f t="shared" si="1"/>
        <v>0</v>
      </c>
      <c r="M45" s="42"/>
    </row>
    <row r="46" spans="2:13" ht="15.5" x14ac:dyDescent="0.35">
      <c r="B46" s="15"/>
      <c r="C46" s="41"/>
      <c r="D46" s="12" t="s">
        <v>307</v>
      </c>
      <c r="F46" s="40" t="s">
        <v>75</v>
      </c>
      <c r="G46" s="36"/>
      <c r="H46" s="42"/>
      <c r="I46" s="24">
        <f>G46*I25</f>
        <v>0</v>
      </c>
      <c r="J46" s="23"/>
      <c r="K46" s="38">
        <f t="shared" si="1"/>
        <v>0</v>
      </c>
      <c r="M46" s="42"/>
    </row>
    <row r="47" spans="2:13" ht="15.5" x14ac:dyDescent="0.35">
      <c r="B47" s="15"/>
      <c r="C47" s="41"/>
      <c r="D47" s="12" t="s">
        <v>74</v>
      </c>
      <c r="F47" s="40" t="s">
        <v>73</v>
      </c>
      <c r="G47" s="36"/>
      <c r="H47" s="24"/>
      <c r="I47" s="24">
        <f>G47*K15</f>
        <v>0</v>
      </c>
      <c r="J47" s="23"/>
      <c r="K47" s="38">
        <f t="shared" si="1"/>
        <v>0</v>
      </c>
      <c r="M47" s="42"/>
    </row>
    <row r="48" spans="2:13" ht="15.5" x14ac:dyDescent="0.35">
      <c r="B48" s="21" t="s">
        <v>72</v>
      </c>
      <c r="C48" s="39"/>
      <c r="D48" s="39"/>
      <c r="E48" s="445"/>
      <c r="F48" s="445"/>
      <c r="G48" s="445"/>
      <c r="H48" s="445"/>
      <c r="I48" s="30"/>
      <c r="J48" s="17" t="s">
        <v>71</v>
      </c>
      <c r="K48" s="29">
        <f>(H13*0.5)+(H14*2)</f>
        <v>11000000</v>
      </c>
      <c r="M48" s="260"/>
    </row>
    <row r="49" spans="2:13" ht="15.5" x14ac:dyDescent="0.35">
      <c r="B49" s="13"/>
      <c r="C49" s="12"/>
      <c r="D49" s="12"/>
      <c r="E49" s="11"/>
      <c r="F49" s="11"/>
      <c r="G49" s="11"/>
      <c r="H49" s="10"/>
      <c r="I49" s="10"/>
      <c r="J49" s="10"/>
      <c r="K49" s="38"/>
    </row>
    <row r="50" spans="2:13" ht="15.5" x14ac:dyDescent="0.35">
      <c r="B50" s="13"/>
      <c r="C50" s="12"/>
      <c r="D50" s="12"/>
      <c r="E50" s="11"/>
      <c r="F50" s="11"/>
      <c r="G50" s="11"/>
      <c r="H50" s="10"/>
      <c r="I50" s="10"/>
      <c r="J50" s="10"/>
      <c r="K50" s="38"/>
      <c r="M50" s="260"/>
    </row>
    <row r="51" spans="2:13" ht="15.5" x14ac:dyDescent="0.35">
      <c r="B51" s="21" t="s">
        <v>70</v>
      </c>
      <c r="C51" s="34"/>
      <c r="D51" s="34"/>
      <c r="E51" s="445"/>
      <c r="F51" s="445"/>
      <c r="G51" s="445"/>
      <c r="H51" s="445"/>
      <c r="I51" s="31"/>
      <c r="J51" s="17" t="s">
        <v>69</v>
      </c>
      <c r="K51" s="29">
        <f>K34+K48</f>
        <v>22732000</v>
      </c>
      <c r="M51" s="42"/>
    </row>
    <row r="52" spans="2:13" ht="15.5" x14ac:dyDescent="0.35">
      <c r="B52" s="15"/>
      <c r="C52" s="12"/>
      <c r="D52" s="12"/>
      <c r="E52" s="11"/>
      <c r="F52" s="11"/>
      <c r="G52" s="37"/>
      <c r="H52" s="10"/>
      <c r="I52" s="10"/>
      <c r="J52" s="10"/>
      <c r="K52" s="9"/>
    </row>
    <row r="53" spans="2:13" ht="15.5" x14ac:dyDescent="0.35">
      <c r="B53" s="13"/>
      <c r="C53" s="12"/>
      <c r="D53" s="12"/>
      <c r="E53" s="11"/>
      <c r="F53" s="11"/>
      <c r="G53" s="11"/>
      <c r="H53" s="10"/>
      <c r="I53" s="10"/>
      <c r="J53" s="10"/>
      <c r="K53" s="9"/>
      <c r="M53" s="260"/>
    </row>
    <row r="54" spans="2:13" ht="15.5" x14ac:dyDescent="0.35">
      <c r="B54" s="15" t="s">
        <v>68</v>
      </c>
      <c r="C54" s="12"/>
      <c r="D54" s="12"/>
      <c r="E54" s="11"/>
      <c r="F54" s="11"/>
      <c r="G54" s="11"/>
      <c r="H54" s="10"/>
      <c r="I54" s="10"/>
      <c r="J54" s="10"/>
      <c r="K54" s="9"/>
      <c r="M54" s="260"/>
    </row>
    <row r="55" spans="2:13" ht="15.5" x14ac:dyDescent="0.35">
      <c r="B55" s="28" t="s">
        <v>67</v>
      </c>
      <c r="C55" s="12" t="s">
        <v>66</v>
      </c>
      <c r="D55" s="12"/>
      <c r="E55" s="36">
        <v>0.22</v>
      </c>
      <c r="F55" s="26" t="s">
        <v>54</v>
      </c>
      <c r="G55" s="294"/>
      <c r="H55" s="10"/>
      <c r="I55" s="24">
        <f>E55*K51</f>
        <v>5001040</v>
      </c>
      <c r="J55" s="23"/>
      <c r="K55" s="22"/>
    </row>
    <row r="56" spans="2:13" ht="15.5" x14ac:dyDescent="0.35">
      <c r="B56" s="28" t="s">
        <v>65</v>
      </c>
      <c r="C56" s="12" t="s">
        <v>64</v>
      </c>
      <c r="D56" s="12"/>
      <c r="E56" s="35">
        <v>1</v>
      </c>
      <c r="F56" s="26" t="s">
        <v>63</v>
      </c>
      <c r="G56" s="246">
        <v>10000</v>
      </c>
      <c r="H56" s="10"/>
      <c r="I56" s="24">
        <f>E56*G56</f>
        <v>10000</v>
      </c>
      <c r="J56" s="23"/>
      <c r="K56" s="22"/>
    </row>
    <row r="57" spans="2:13" ht="15.5" x14ac:dyDescent="0.35">
      <c r="B57" s="21" t="s">
        <v>62</v>
      </c>
      <c r="C57" s="34"/>
      <c r="D57" s="34"/>
      <c r="E57" s="32"/>
      <c r="F57" s="33"/>
      <c r="G57" s="32"/>
      <c r="H57" s="31"/>
      <c r="I57" s="30"/>
      <c r="J57" s="17" t="s">
        <v>61</v>
      </c>
      <c r="K57" s="29">
        <f>SUM(I55:I56)</f>
        <v>5011040</v>
      </c>
    </row>
    <row r="58" spans="2:13" ht="15.5" x14ac:dyDescent="0.35">
      <c r="B58" s="15"/>
      <c r="C58" s="12"/>
      <c r="D58" s="12"/>
      <c r="E58" s="11"/>
      <c r="F58" s="26"/>
      <c r="G58" s="11"/>
      <c r="H58" s="10"/>
      <c r="I58" s="24"/>
      <c r="J58" s="14"/>
      <c r="K58" s="9"/>
    </row>
    <row r="59" spans="2:13" ht="15.5" x14ac:dyDescent="0.35">
      <c r="B59" s="13"/>
      <c r="C59" s="12"/>
      <c r="D59" s="12"/>
      <c r="E59" s="11"/>
      <c r="F59" s="26"/>
      <c r="G59" s="11"/>
      <c r="H59" s="10"/>
      <c r="I59" s="24"/>
      <c r="J59" s="10"/>
      <c r="K59" s="9"/>
    </row>
    <row r="60" spans="2:13" ht="15.5" x14ac:dyDescent="0.35">
      <c r="B60" s="15" t="s">
        <v>60</v>
      </c>
      <c r="C60" s="12"/>
      <c r="D60" s="12"/>
      <c r="E60" s="11"/>
      <c r="F60" s="26"/>
      <c r="G60" s="11"/>
      <c r="H60" s="10"/>
      <c r="I60" s="24"/>
      <c r="J60" s="10"/>
      <c r="K60" s="9"/>
    </row>
    <row r="61" spans="2:13" ht="17.5" x14ac:dyDescent="0.35">
      <c r="B61" s="28" t="s">
        <v>59</v>
      </c>
      <c r="C61" s="12" t="s">
        <v>304</v>
      </c>
      <c r="D61" s="12"/>
      <c r="E61" s="294"/>
      <c r="F61" s="26" t="s">
        <v>54</v>
      </c>
      <c r="G61" s="294"/>
      <c r="H61" s="10"/>
      <c r="I61" s="24"/>
      <c r="J61" s="23"/>
      <c r="K61" s="298" t="s">
        <v>57</v>
      </c>
    </row>
    <row r="62" spans="2:13" ht="15.5" x14ac:dyDescent="0.35">
      <c r="B62" s="28" t="s">
        <v>56</v>
      </c>
      <c r="C62" s="12" t="s">
        <v>55</v>
      </c>
      <c r="D62" s="12"/>
      <c r="E62" s="27">
        <v>0.3</v>
      </c>
      <c r="F62" s="26" t="s">
        <v>267</v>
      </c>
      <c r="G62" s="294"/>
      <c r="H62" s="10"/>
      <c r="I62" s="24">
        <f>E62*K34</f>
        <v>3519600</v>
      </c>
      <c r="J62" s="23"/>
      <c r="K62" s="22"/>
    </row>
    <row r="63" spans="2:13" ht="15.5" x14ac:dyDescent="0.35">
      <c r="B63" s="21" t="s">
        <v>53</v>
      </c>
      <c r="C63" s="20"/>
      <c r="D63" s="20"/>
      <c r="E63" s="19"/>
      <c r="F63" s="19"/>
      <c r="G63" s="19"/>
      <c r="H63" s="18"/>
      <c r="I63" s="18"/>
      <c r="J63" s="17" t="s">
        <v>52</v>
      </c>
      <c r="K63" s="16">
        <f>SUM(I61:I62)</f>
        <v>3519600</v>
      </c>
    </row>
    <row r="64" spans="2:13" ht="15.5" x14ac:dyDescent="0.35">
      <c r="B64" s="15"/>
      <c r="C64" s="12"/>
      <c r="D64" s="12"/>
      <c r="E64" s="11"/>
      <c r="F64" s="11"/>
      <c r="G64" s="11"/>
      <c r="H64" s="10"/>
      <c r="I64" s="10"/>
      <c r="J64" s="14"/>
      <c r="K64" s="9"/>
    </row>
    <row r="65" spans="2:11" ht="15.5" x14ac:dyDescent="0.35">
      <c r="B65" s="13"/>
      <c r="C65" s="12"/>
      <c r="D65" s="12"/>
      <c r="E65" s="11"/>
      <c r="F65" s="11"/>
      <c r="G65" s="11"/>
      <c r="H65" s="10"/>
      <c r="I65" s="10"/>
      <c r="J65" s="10"/>
      <c r="K65" s="9"/>
    </row>
    <row r="66" spans="2:11" ht="34.5" customHeight="1" thickBot="1" x14ac:dyDescent="0.5">
      <c r="B66" s="8" t="s">
        <v>51</v>
      </c>
      <c r="C66" s="7"/>
      <c r="D66" s="7"/>
      <c r="E66" s="7"/>
      <c r="F66" s="7"/>
      <c r="G66" s="6"/>
      <c r="H66" s="5"/>
      <c r="I66" s="4"/>
      <c r="J66" s="3" t="s">
        <v>50</v>
      </c>
      <c r="K66" s="2">
        <f>K51+K57+K63</f>
        <v>31262640</v>
      </c>
    </row>
    <row r="67" spans="2:11" ht="15" thickTop="1" x14ac:dyDescent="0.35"/>
    <row r="69" spans="2:11" ht="16.5" x14ac:dyDescent="0.35">
      <c r="B69" s="386">
        <v>1</v>
      </c>
      <c r="C69" s="448" t="s">
        <v>374</v>
      </c>
      <c r="D69" s="448"/>
      <c r="E69" s="448"/>
      <c r="F69" s="448"/>
      <c r="G69" s="448"/>
      <c r="H69" s="448"/>
      <c r="I69" s="448"/>
      <c r="J69" s="448"/>
      <c r="K69" s="448"/>
    </row>
    <row r="70" spans="2:11" ht="34.5" customHeight="1" x14ac:dyDescent="0.35">
      <c r="B70" s="386">
        <v>2</v>
      </c>
      <c r="C70" s="449" t="s">
        <v>375</v>
      </c>
      <c r="D70" s="449"/>
      <c r="E70" s="449"/>
      <c r="F70" s="449"/>
      <c r="G70" s="449"/>
      <c r="H70" s="449"/>
      <c r="I70" s="449"/>
      <c r="J70" s="449"/>
      <c r="K70" s="449"/>
    </row>
    <row r="71" spans="2:11" ht="34.5" customHeight="1" x14ac:dyDescent="0.35">
      <c r="B71" s="387">
        <v>3</v>
      </c>
      <c r="C71" s="448" t="s">
        <v>376</v>
      </c>
      <c r="D71" s="448"/>
      <c r="E71" s="448"/>
      <c r="F71" s="448"/>
      <c r="G71" s="448"/>
      <c r="H71" s="448"/>
      <c r="I71" s="448"/>
      <c r="J71" s="448"/>
      <c r="K71" s="448"/>
    </row>
    <row r="72" spans="2:11" ht="16.5" x14ac:dyDescent="0.35">
      <c r="B72" s="387">
        <v>4</v>
      </c>
      <c r="C72" s="448" t="s">
        <v>377</v>
      </c>
      <c r="D72" s="448"/>
      <c r="E72" s="448"/>
      <c r="F72" s="448"/>
      <c r="G72" s="448"/>
      <c r="H72" s="448"/>
      <c r="I72" s="448"/>
      <c r="J72" s="448"/>
      <c r="K72" s="448"/>
    </row>
    <row r="73" spans="2:11" ht="34.5" customHeight="1" x14ac:dyDescent="0.35">
      <c r="B73" s="387">
        <v>5</v>
      </c>
      <c r="C73" s="448" t="s">
        <v>378</v>
      </c>
      <c r="D73" s="448"/>
      <c r="E73" s="448"/>
      <c r="F73" s="448"/>
      <c r="G73" s="448"/>
      <c r="H73" s="448"/>
      <c r="I73" s="448"/>
      <c r="J73" s="448"/>
      <c r="K73" s="448"/>
    </row>
    <row r="74" spans="2:11" ht="34.5" customHeight="1" x14ac:dyDescent="0.35">
      <c r="B74" s="387">
        <v>6</v>
      </c>
      <c r="C74" s="448" t="s">
        <v>380</v>
      </c>
      <c r="D74" s="448"/>
      <c r="E74" s="448"/>
      <c r="F74" s="448"/>
      <c r="G74" s="448"/>
      <c r="H74" s="448"/>
      <c r="I74" s="448"/>
      <c r="J74" s="448"/>
      <c r="K74" s="448"/>
    </row>
    <row r="75" spans="2:11" ht="16.5" x14ac:dyDescent="0.35">
      <c r="B75" s="387">
        <v>7</v>
      </c>
      <c r="C75" s="448" t="s">
        <v>379</v>
      </c>
      <c r="D75" s="448"/>
      <c r="E75" s="448"/>
      <c r="F75" s="448"/>
      <c r="G75" s="448"/>
      <c r="H75" s="448"/>
      <c r="I75" s="448"/>
      <c r="J75" s="448"/>
      <c r="K75" s="448"/>
    </row>
    <row r="76" spans="2:11" ht="34.5" customHeight="1" x14ac:dyDescent="0.35">
      <c r="B76" s="387">
        <v>8</v>
      </c>
      <c r="C76" s="448" t="s">
        <v>381</v>
      </c>
      <c r="D76" s="448"/>
      <c r="E76" s="448"/>
      <c r="F76" s="448"/>
      <c r="G76" s="448"/>
      <c r="H76" s="448"/>
      <c r="I76" s="448"/>
      <c r="J76" s="448"/>
      <c r="K76" s="448"/>
    </row>
    <row r="77" spans="2:11" ht="16.5" x14ac:dyDescent="0.35">
      <c r="B77" s="300"/>
    </row>
    <row r="78" spans="2:11" ht="16.5" x14ac:dyDescent="0.35">
      <c r="B78" s="300"/>
    </row>
    <row r="79" spans="2:11" ht="16.5" x14ac:dyDescent="0.35">
      <c r="B79" s="300"/>
    </row>
    <row r="80" spans="2:11" ht="16.5" x14ac:dyDescent="0.35">
      <c r="B80" s="300"/>
    </row>
    <row r="81" spans="2:2" ht="16.5" x14ac:dyDescent="0.35">
      <c r="B81" s="300"/>
    </row>
  </sheetData>
  <mergeCells count="15">
    <mergeCell ref="C73:K73"/>
    <mergeCell ref="C74:K74"/>
    <mergeCell ref="C75:K75"/>
    <mergeCell ref="C76:K76"/>
    <mergeCell ref="C69:K69"/>
    <mergeCell ref="C70:K70"/>
    <mergeCell ref="C71:K71"/>
    <mergeCell ref="C72:K72"/>
    <mergeCell ref="B1:K1"/>
    <mergeCell ref="J3:K3"/>
    <mergeCell ref="B8:K8"/>
    <mergeCell ref="E48:H48"/>
    <mergeCell ref="E51:H51"/>
    <mergeCell ref="H9:H10"/>
    <mergeCell ref="I9:I10"/>
  </mergeCells>
  <printOptions horizontalCentered="1"/>
  <pageMargins left="0.38" right="0.4" top="0.48" bottom="0.75" header="0.3" footer="0.3"/>
  <pageSetup scale="53" firstPageNumber="45" orientation="portrait" useFirstPageNumber="1" r:id="rId1"/>
  <headerFooter>
    <oddFooter>&amp;L&amp;"Arial,Regular"&amp;8GVEA - North Pole Facility
PM2.5 NAA BACT Analysis&amp;C&amp;"Arial,Regular"&amp;8Page 50&amp;R&amp;"Arial,Regular"&amp;8August 2017</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79998168889431442"/>
    <pageSetUpPr fitToPage="1"/>
  </sheetPr>
  <dimension ref="B1:L67"/>
  <sheetViews>
    <sheetView topLeftCell="A19" zoomScale="90" zoomScaleNormal="90" zoomScalePageLayoutView="70" workbookViewId="0">
      <selection activeCell="K43" sqref="K43"/>
    </sheetView>
  </sheetViews>
  <sheetFormatPr defaultRowHeight="14.5" x14ac:dyDescent="0.35"/>
  <cols>
    <col min="1" max="1" width="3" customWidth="1"/>
    <col min="2" max="3" width="6" customWidth="1"/>
    <col min="4" max="4" width="55.81640625" customWidth="1"/>
    <col min="5" max="5" width="14.26953125" bestFit="1" customWidth="1"/>
    <col min="6" max="6" width="14.26953125" customWidth="1"/>
    <col min="7" max="7" width="15.453125" customWidth="1"/>
    <col min="8" max="8" width="24" customWidth="1"/>
    <col min="9" max="9" width="20.54296875" customWidth="1"/>
    <col min="10" max="10" width="11.81640625" customWidth="1"/>
    <col min="11" max="11" width="13.26953125" customWidth="1"/>
  </cols>
  <sheetData>
    <row r="1" spans="2:11" x14ac:dyDescent="0.35">
      <c r="B1" s="439" t="s">
        <v>352</v>
      </c>
      <c r="C1" s="439"/>
      <c r="D1" s="439"/>
      <c r="E1" s="439"/>
      <c r="F1" s="439"/>
      <c r="G1" s="439"/>
      <c r="H1" s="439"/>
      <c r="I1" s="439"/>
      <c r="J1" s="439"/>
      <c r="K1" s="439"/>
    </row>
    <row r="2" spans="2:11" x14ac:dyDescent="0.35">
      <c r="B2" s="439" t="s">
        <v>353</v>
      </c>
      <c r="C2" s="439"/>
      <c r="D2" s="439"/>
      <c r="E2" s="439"/>
      <c r="F2" s="439"/>
      <c r="G2" s="439"/>
      <c r="H2" s="439"/>
      <c r="I2" s="439"/>
      <c r="J2" s="439"/>
      <c r="K2" s="439"/>
    </row>
    <row r="3" spans="2:11" ht="15" thickBot="1" x14ac:dyDescent="0.4">
      <c r="I3" s="450" t="s">
        <v>205</v>
      </c>
      <c r="J3" s="451"/>
      <c r="K3" s="452"/>
    </row>
    <row r="4" spans="2:11" ht="19" thickTop="1" x14ac:dyDescent="0.45">
      <c r="B4" s="98" t="s">
        <v>204</v>
      </c>
      <c r="C4" s="158"/>
      <c r="D4" s="96"/>
      <c r="E4" s="96"/>
      <c r="F4" s="96"/>
      <c r="G4" s="96"/>
      <c r="H4" s="96"/>
      <c r="I4" s="96"/>
      <c r="J4" s="95" t="s">
        <v>137</v>
      </c>
      <c r="K4" s="94"/>
    </row>
    <row r="5" spans="2:11" x14ac:dyDescent="0.35">
      <c r="B5" s="92" t="s">
        <v>203</v>
      </c>
      <c r="C5" s="11"/>
      <c r="D5" s="93" t="s">
        <v>298</v>
      </c>
      <c r="E5" s="11"/>
      <c r="F5" s="11"/>
      <c r="G5" s="11"/>
      <c r="H5" s="11"/>
      <c r="I5" s="11"/>
      <c r="J5" s="40" t="s">
        <v>135</v>
      </c>
      <c r="K5" s="91"/>
    </row>
    <row r="6" spans="2:11" x14ac:dyDescent="0.35">
      <c r="B6" s="92"/>
      <c r="C6" s="11"/>
      <c r="D6" s="11"/>
      <c r="E6" s="11"/>
      <c r="F6" s="11"/>
      <c r="G6" s="11"/>
      <c r="H6" s="11"/>
      <c r="I6" s="11"/>
      <c r="J6" s="40" t="s">
        <v>133</v>
      </c>
      <c r="K6" s="91"/>
    </row>
    <row r="7" spans="2:11" ht="15" thickBot="1" x14ac:dyDescent="0.4">
      <c r="B7" s="90" t="s">
        <v>299</v>
      </c>
      <c r="C7" s="89"/>
      <c r="D7" s="89"/>
      <c r="E7" s="89"/>
      <c r="F7" s="89"/>
      <c r="G7" s="89"/>
      <c r="H7" s="89"/>
      <c r="I7" s="89"/>
      <c r="J7" s="88" t="s">
        <v>132</v>
      </c>
      <c r="K7" s="87"/>
    </row>
    <row r="8" spans="2:11" ht="16" thickBot="1" x14ac:dyDescent="0.4">
      <c r="B8" s="453" t="s">
        <v>202</v>
      </c>
      <c r="C8" s="454"/>
      <c r="D8" s="454"/>
      <c r="E8" s="454"/>
      <c r="F8" s="454"/>
      <c r="G8" s="454"/>
      <c r="H8" s="454"/>
      <c r="I8" s="454"/>
      <c r="J8" s="454"/>
      <c r="K8" s="455"/>
    </row>
    <row r="9" spans="2:11" ht="15.5" x14ac:dyDescent="0.35">
      <c r="B9" s="157" t="s">
        <v>201</v>
      </c>
      <c r="C9" s="156"/>
      <c r="D9" s="107"/>
      <c r="E9" s="155" t="s">
        <v>129</v>
      </c>
      <c r="F9" s="155" t="s">
        <v>128</v>
      </c>
      <c r="G9" s="154" t="s">
        <v>127</v>
      </c>
      <c r="H9" s="153" t="s">
        <v>126</v>
      </c>
      <c r="I9" s="153" t="s">
        <v>125</v>
      </c>
      <c r="J9" s="107"/>
      <c r="K9" s="152" t="s">
        <v>200</v>
      </c>
    </row>
    <row r="10" spans="2:11" x14ac:dyDescent="0.35">
      <c r="B10" s="134" t="s">
        <v>124</v>
      </c>
      <c r="C10" s="11" t="s">
        <v>199</v>
      </c>
      <c r="D10" s="11"/>
      <c r="E10" s="151">
        <f>E13*2</f>
        <v>730</v>
      </c>
      <c r="F10" s="26" t="s">
        <v>113</v>
      </c>
      <c r="G10" s="294">
        <v>105</v>
      </c>
      <c r="H10" s="23"/>
      <c r="I10" s="24">
        <f>E10*G10</f>
        <v>76650</v>
      </c>
      <c r="J10" s="136"/>
      <c r="K10" s="38">
        <f>I10</f>
        <v>76650</v>
      </c>
    </row>
    <row r="11" spans="2:11" x14ac:dyDescent="0.35">
      <c r="B11" s="134" t="s">
        <v>101</v>
      </c>
      <c r="C11" s="11" t="s">
        <v>198</v>
      </c>
      <c r="D11" s="11"/>
      <c r="E11" s="151">
        <f>E13/2</f>
        <v>182.5</v>
      </c>
      <c r="F11" s="26" t="s">
        <v>113</v>
      </c>
      <c r="G11" s="294">
        <v>125</v>
      </c>
      <c r="H11" s="23"/>
      <c r="I11" s="24">
        <f>E11*G11</f>
        <v>22812.5</v>
      </c>
      <c r="J11" s="136"/>
      <c r="K11" s="38">
        <f>I11</f>
        <v>22812.5</v>
      </c>
    </row>
    <row r="12" spans="2:11" x14ac:dyDescent="0.35">
      <c r="B12" s="134" t="s">
        <v>67</v>
      </c>
      <c r="C12" s="11" t="s">
        <v>197</v>
      </c>
      <c r="D12" s="11"/>
      <c r="E12" s="247">
        <f>E16*1.29</f>
        <v>38814.746607572342</v>
      </c>
      <c r="F12" s="62" t="s">
        <v>178</v>
      </c>
      <c r="G12" s="104">
        <f>0.7*(1.05^25)</f>
        <v>2.37044845862957</v>
      </c>
      <c r="H12" s="24"/>
      <c r="I12" s="24">
        <f>E12*G12</f>
        <v>92008.356268017189</v>
      </c>
      <c r="J12" s="136"/>
      <c r="K12" s="38">
        <f>I12</f>
        <v>92008.356268017189</v>
      </c>
    </row>
    <row r="13" spans="2:11" x14ac:dyDescent="0.35">
      <c r="B13" s="134" t="s">
        <v>65</v>
      </c>
      <c r="C13" s="456" t="s">
        <v>196</v>
      </c>
      <c r="D13" s="457"/>
      <c r="E13" s="151">
        <f>365*E56/100</f>
        <v>365</v>
      </c>
      <c r="F13" s="62" t="s">
        <v>113</v>
      </c>
      <c r="G13" s="294">
        <v>105</v>
      </c>
      <c r="H13" s="24"/>
      <c r="I13" s="24">
        <f>E13*G13</f>
        <v>38325</v>
      </c>
      <c r="J13" s="136"/>
      <c r="K13" s="38">
        <f>I13</f>
        <v>38325</v>
      </c>
    </row>
    <row r="14" spans="2:11" x14ac:dyDescent="0.35">
      <c r="B14" s="134" t="s">
        <v>59</v>
      </c>
      <c r="C14" s="11" t="s">
        <v>195</v>
      </c>
      <c r="D14" s="11"/>
      <c r="E14" s="294"/>
      <c r="F14" s="62" t="s">
        <v>84</v>
      </c>
      <c r="G14" s="294"/>
      <c r="H14" s="24">
        <f>E14*G14</f>
        <v>0</v>
      </c>
      <c r="I14" s="24" t="s">
        <v>194</v>
      </c>
      <c r="J14" s="136"/>
      <c r="K14" s="38">
        <f>H14</f>
        <v>0</v>
      </c>
    </row>
    <row r="15" spans="2:11" x14ac:dyDescent="0.35">
      <c r="B15" s="134" t="s">
        <v>56</v>
      </c>
      <c r="C15" s="11" t="s">
        <v>193</v>
      </c>
      <c r="D15" s="11"/>
      <c r="E15" s="26"/>
      <c r="F15" s="26"/>
      <c r="G15" s="24"/>
      <c r="H15" s="24"/>
      <c r="I15" s="24"/>
      <c r="J15" s="136"/>
      <c r="K15" s="38"/>
    </row>
    <row r="16" spans="2:11" x14ac:dyDescent="0.35">
      <c r="B16" s="92"/>
      <c r="C16" s="138" t="s">
        <v>192</v>
      </c>
      <c r="D16" s="11" t="s">
        <v>191</v>
      </c>
      <c r="E16" s="247">
        <f>E18*0.81*7.21/(8.34*1000)</f>
        <v>30088.950858583212</v>
      </c>
      <c r="F16" s="26" t="s">
        <v>178</v>
      </c>
      <c r="G16" s="104">
        <f>0.384*(1.05^25)</f>
        <v>1.3003602973053643</v>
      </c>
      <c r="H16" s="24">
        <f>E16*G16</f>
        <v>39126.477084073762</v>
      </c>
      <c r="I16" s="150"/>
      <c r="J16" s="136"/>
      <c r="K16" s="38">
        <f>H16</f>
        <v>39126.477084073762</v>
      </c>
    </row>
    <row r="17" spans="2:11" x14ac:dyDescent="0.35">
      <c r="B17" s="92"/>
      <c r="C17" s="138" t="s">
        <v>190</v>
      </c>
      <c r="D17" s="11" t="s">
        <v>189</v>
      </c>
      <c r="E17" s="247">
        <f>64.8*0.161*8760</f>
        <v>91391.328000000009</v>
      </c>
      <c r="F17" s="26" t="s">
        <v>188</v>
      </c>
      <c r="G17" s="294">
        <v>0.18</v>
      </c>
      <c r="H17" s="24">
        <f>E17*G17</f>
        <v>16450.439040000001</v>
      </c>
      <c r="I17" s="24"/>
      <c r="J17" s="136"/>
      <c r="K17" s="38">
        <f>H17</f>
        <v>16450.439040000001</v>
      </c>
    </row>
    <row r="18" spans="2:11" x14ac:dyDescent="0.35">
      <c r="B18" s="92"/>
      <c r="C18" s="138" t="s">
        <v>187</v>
      </c>
      <c r="D18" s="11" t="s">
        <v>186</v>
      </c>
      <c r="E18" s="247">
        <f>672/137*1000*8760</f>
        <v>42968759.124087594</v>
      </c>
      <c r="F18" s="26" t="s">
        <v>183</v>
      </c>
      <c r="G18" s="24"/>
      <c r="H18" s="24"/>
      <c r="I18" s="24"/>
      <c r="J18" s="136"/>
      <c r="K18" s="38"/>
    </row>
    <row r="19" spans="2:11" x14ac:dyDescent="0.35">
      <c r="B19" s="92"/>
      <c r="C19" s="138" t="s">
        <v>185</v>
      </c>
      <c r="D19" s="11" t="s">
        <v>184</v>
      </c>
      <c r="E19" s="247">
        <f>E18*0.035*0.81</f>
        <v>1218164.3211678835</v>
      </c>
      <c r="F19" s="26" t="s">
        <v>183</v>
      </c>
      <c r="G19" s="294">
        <v>1.7</v>
      </c>
      <c r="H19" s="24">
        <f>E19*G19</f>
        <v>2070879.3459854019</v>
      </c>
      <c r="I19" s="24"/>
      <c r="J19" s="136"/>
      <c r="K19" s="38">
        <f>H19</f>
        <v>2070879.3459854019</v>
      </c>
    </row>
    <row r="20" spans="2:11" x14ac:dyDescent="0.35">
      <c r="B20" s="92"/>
      <c r="C20" s="138" t="s">
        <v>182</v>
      </c>
      <c r="D20" s="138" t="s">
        <v>181</v>
      </c>
      <c r="E20" s="247">
        <f>E16*1.3*1.29</f>
        <v>50459.170589844049</v>
      </c>
      <c r="F20" s="26" t="s">
        <v>178</v>
      </c>
      <c r="G20" s="104">
        <f>1.97*(1.05^25)</f>
        <v>6.6711192335717904</v>
      </c>
      <c r="H20" s="24">
        <f>E20*G20</f>
        <v>336619.14343198866</v>
      </c>
      <c r="I20" s="24"/>
      <c r="J20" s="136"/>
      <c r="K20" s="38">
        <f>H20</f>
        <v>336619.14343198866</v>
      </c>
    </row>
    <row r="21" spans="2:11" x14ac:dyDescent="0.35">
      <c r="B21" s="92"/>
      <c r="C21" s="138" t="s">
        <v>180</v>
      </c>
      <c r="D21" s="138" t="s">
        <v>179</v>
      </c>
      <c r="E21" s="247">
        <f>E20*0.29</f>
        <v>14633.159471054772</v>
      </c>
      <c r="F21" s="26" t="s">
        <v>178</v>
      </c>
      <c r="G21" s="104">
        <f>3.82*(1.05^25)</f>
        <v>12.935875874235654</v>
      </c>
      <c r="H21" s="24">
        <f>E21*G21</f>
        <v>189292.73456546039</v>
      </c>
      <c r="I21" s="24"/>
      <c r="J21" s="136"/>
      <c r="K21" s="38">
        <f>H21</f>
        <v>189292.73456546039</v>
      </c>
    </row>
    <row r="22" spans="2:11" x14ac:dyDescent="0.35">
      <c r="B22" s="92"/>
      <c r="C22" s="138" t="s">
        <v>177</v>
      </c>
      <c r="D22" s="138" t="s">
        <v>176</v>
      </c>
      <c r="E22" s="104">
        <f>(1440-1232)*(60)*2*2.2/2000</f>
        <v>27.456000000000003</v>
      </c>
      <c r="F22" s="26" t="s">
        <v>92</v>
      </c>
      <c r="G22" s="294">
        <v>356</v>
      </c>
      <c r="H22" s="24">
        <f>E22*G22</f>
        <v>9774.3360000000011</v>
      </c>
      <c r="I22" s="24"/>
      <c r="J22" s="136"/>
      <c r="K22" s="38">
        <f>H22</f>
        <v>9774.3360000000011</v>
      </c>
    </row>
    <row r="23" spans="2:11" ht="16.5" x14ac:dyDescent="0.35">
      <c r="B23" s="92"/>
      <c r="C23" s="138" t="s">
        <v>305</v>
      </c>
      <c r="D23" s="138" t="s">
        <v>306</v>
      </c>
      <c r="E23" s="104"/>
      <c r="F23" s="26" t="s">
        <v>188</v>
      </c>
      <c r="G23" s="294">
        <v>0.18</v>
      </c>
      <c r="H23" s="299" t="s">
        <v>57</v>
      </c>
      <c r="I23" s="24"/>
      <c r="J23" s="136"/>
      <c r="K23" s="38">
        <f>G23*E23</f>
        <v>0</v>
      </c>
    </row>
    <row r="24" spans="2:11" x14ac:dyDescent="0.35">
      <c r="B24" s="92"/>
      <c r="C24" s="138"/>
      <c r="D24" s="138"/>
      <c r="E24" s="150"/>
      <c r="F24" s="26"/>
      <c r="G24" s="150"/>
      <c r="H24" s="24"/>
      <c r="I24" s="24"/>
      <c r="J24" s="136"/>
      <c r="K24" s="38"/>
    </row>
    <row r="25" spans="2:11" x14ac:dyDescent="0.35">
      <c r="B25" s="134" t="s">
        <v>175</v>
      </c>
      <c r="C25" s="138" t="s">
        <v>257</v>
      </c>
      <c r="D25" s="11"/>
      <c r="E25" s="26"/>
      <c r="F25" s="26"/>
      <c r="G25" s="24"/>
      <c r="H25" s="24"/>
      <c r="I25" s="24"/>
      <c r="J25" s="136"/>
      <c r="K25" s="38"/>
    </row>
    <row r="26" spans="2:11" x14ac:dyDescent="0.35">
      <c r="B26" s="92"/>
      <c r="C26" s="149" t="s">
        <v>99</v>
      </c>
      <c r="D26" s="138" t="s">
        <v>174</v>
      </c>
      <c r="E26" s="36">
        <v>0.3</v>
      </c>
      <c r="F26" s="26" t="s">
        <v>173</v>
      </c>
      <c r="G26" s="24">
        <f>'3-4 EU 1 SCR_WI TCI'!H14</f>
        <v>5000000</v>
      </c>
      <c r="H26" s="10">
        <f>G26*E26</f>
        <v>1500000</v>
      </c>
      <c r="I26" s="24"/>
      <c r="J26" s="136"/>
      <c r="K26" s="38">
        <f>H26*E31</f>
        <v>475812.84694686718</v>
      </c>
    </row>
    <row r="27" spans="2:11" x14ac:dyDescent="0.35">
      <c r="B27" s="92"/>
      <c r="C27" s="149" t="s">
        <v>96</v>
      </c>
      <c r="D27" s="138" t="s">
        <v>172</v>
      </c>
      <c r="E27" s="294">
        <v>180</v>
      </c>
      <c r="F27" s="26" t="s">
        <v>113</v>
      </c>
      <c r="G27" s="294">
        <v>105</v>
      </c>
      <c r="H27" s="147"/>
      <c r="I27" s="24">
        <f>E27*G27</f>
        <v>18900</v>
      </c>
      <c r="J27" s="136"/>
      <c r="K27" s="38">
        <f>I27*E31</f>
        <v>5995.2418715305266</v>
      </c>
    </row>
    <row r="28" spans="2:11" x14ac:dyDescent="0.35">
      <c r="B28" s="92"/>
      <c r="C28" s="149" t="s">
        <v>94</v>
      </c>
      <c r="D28" s="138" t="s">
        <v>171</v>
      </c>
      <c r="E28" s="36">
        <v>0.13</v>
      </c>
      <c r="F28" s="26" t="s">
        <v>169</v>
      </c>
      <c r="G28" s="24"/>
      <c r="H28" s="147"/>
      <c r="I28" s="24">
        <f>E28*(H26)</f>
        <v>195000</v>
      </c>
      <c r="J28" s="136"/>
      <c r="K28" s="38">
        <f>I28*E31</f>
        <v>61855.670103092736</v>
      </c>
    </row>
    <row r="29" spans="2:11" x14ac:dyDescent="0.35">
      <c r="B29" s="92"/>
      <c r="C29" s="149" t="s">
        <v>91</v>
      </c>
      <c r="D29" s="138" t="s">
        <v>170</v>
      </c>
      <c r="E29" s="36">
        <v>0.13</v>
      </c>
      <c r="F29" s="26" t="s">
        <v>169</v>
      </c>
      <c r="G29" s="24"/>
      <c r="H29" s="147"/>
      <c r="I29" s="24">
        <f>E29*H26</f>
        <v>195000</v>
      </c>
      <c r="J29" s="136"/>
      <c r="K29" s="38">
        <f>I29*E31</f>
        <v>61855.670103092736</v>
      </c>
    </row>
    <row r="30" spans="2:11" x14ac:dyDescent="0.35">
      <c r="B30" s="92"/>
      <c r="C30" s="149"/>
      <c r="D30" s="138"/>
      <c r="E30" s="148"/>
      <c r="F30" s="26"/>
      <c r="G30" s="24"/>
      <c r="H30" s="147"/>
      <c r="I30" s="24"/>
      <c r="J30" s="136"/>
      <c r="K30" s="38"/>
    </row>
    <row r="31" spans="2:11" x14ac:dyDescent="0.35">
      <c r="B31" s="146" t="s">
        <v>168</v>
      </c>
      <c r="C31" s="142"/>
      <c r="D31" s="11"/>
      <c r="E31" s="137">
        <f>($E$53/100)/(POWER(1+($E$53/100),($E$55)/($E$56/100))-1)</f>
        <v>0.3172085646312448</v>
      </c>
      <c r="F31" s="40"/>
      <c r="G31" s="136"/>
      <c r="H31" s="24"/>
      <c r="I31" s="141"/>
      <c r="J31" s="24"/>
      <c r="K31" s="38"/>
    </row>
    <row r="32" spans="2:11" x14ac:dyDescent="0.35">
      <c r="B32" s="146"/>
      <c r="C32" s="142"/>
      <c r="D32" s="11"/>
      <c r="E32" s="137"/>
      <c r="F32" s="40"/>
      <c r="G32" s="136"/>
      <c r="H32" s="24"/>
      <c r="I32" s="141"/>
      <c r="J32" s="24"/>
      <c r="K32" s="38"/>
    </row>
    <row r="33" spans="2:12" x14ac:dyDescent="0.35">
      <c r="B33" s="130" t="s">
        <v>167</v>
      </c>
      <c r="C33" s="129"/>
      <c r="D33" s="145"/>
      <c r="E33" s="144"/>
      <c r="F33" s="126"/>
      <c r="G33" s="143"/>
      <c r="H33" s="44"/>
      <c r="I33" s="124"/>
      <c r="J33" s="117" t="s">
        <v>166</v>
      </c>
      <c r="K33" s="116">
        <f>SUM(K10:K32)</f>
        <v>3497457.7613995252</v>
      </c>
    </row>
    <row r="34" spans="2:12" x14ac:dyDescent="0.35">
      <c r="B34" s="92"/>
      <c r="C34" s="142"/>
      <c r="D34" s="11"/>
      <c r="E34" s="26"/>
      <c r="F34" s="11"/>
      <c r="G34" s="24"/>
      <c r="H34" s="24"/>
      <c r="I34" s="141"/>
      <c r="J34" s="140"/>
      <c r="K34" s="38"/>
    </row>
    <row r="35" spans="2:12" ht="15.5" x14ac:dyDescent="0.35">
      <c r="B35" s="15" t="s">
        <v>165</v>
      </c>
      <c r="C35" s="41"/>
      <c r="D35" s="11"/>
      <c r="E35" s="26"/>
      <c r="F35" s="26"/>
      <c r="G35" s="24"/>
      <c r="H35" s="24"/>
      <c r="I35" s="24"/>
      <c r="J35" s="24"/>
      <c r="K35" s="38"/>
    </row>
    <row r="36" spans="2:12" x14ac:dyDescent="0.35">
      <c r="B36" s="134" t="s">
        <v>164</v>
      </c>
      <c r="C36" s="11" t="s">
        <v>163</v>
      </c>
      <c r="D36" s="11"/>
      <c r="E36" s="139">
        <v>0.3</v>
      </c>
      <c r="F36" s="26" t="s">
        <v>162</v>
      </c>
      <c r="G36" s="24"/>
      <c r="H36" s="23"/>
      <c r="I36" s="24">
        <f>E36*I12</f>
        <v>27602.506880405155</v>
      </c>
      <c r="J36" s="136"/>
      <c r="K36" s="38">
        <f>I36</f>
        <v>27602.506880405155</v>
      </c>
    </row>
    <row r="37" spans="2:12" x14ac:dyDescent="0.35">
      <c r="B37" s="134" t="s">
        <v>161</v>
      </c>
      <c r="C37" s="11" t="s">
        <v>160</v>
      </c>
      <c r="D37" s="11"/>
      <c r="E37" s="139">
        <v>0.04</v>
      </c>
      <c r="F37" s="26" t="s">
        <v>159</v>
      </c>
      <c r="G37" s="24"/>
      <c r="H37" s="23"/>
      <c r="I37" s="24">
        <f>E37*'3-4 EU 1 SCR_WI TCI'!K66</f>
        <v>1250505.6000000001</v>
      </c>
      <c r="J37" s="136"/>
      <c r="K37" s="38">
        <f>I37</f>
        <v>1250505.6000000001</v>
      </c>
    </row>
    <row r="38" spans="2:12" x14ac:dyDescent="0.35">
      <c r="B38" s="134"/>
      <c r="C38" s="138" t="s">
        <v>158</v>
      </c>
      <c r="D38" s="11"/>
      <c r="E38" s="137">
        <f>($E$53/100*POWER((1+($E$53/100)),$E$54))/((POWER(((1+$E$53/100)),$E$54))-1)</f>
        <v>8.0242587190691314E-2</v>
      </c>
      <c r="F38" s="62"/>
      <c r="G38" s="24"/>
      <c r="H38" s="24"/>
      <c r="I38" s="24"/>
      <c r="J38" s="136"/>
      <c r="K38" s="135"/>
      <c r="L38" s="131"/>
    </row>
    <row r="39" spans="2:12" x14ac:dyDescent="0.35">
      <c r="B39" s="134" t="s">
        <v>157</v>
      </c>
      <c r="C39" s="11" t="s">
        <v>156</v>
      </c>
      <c r="D39" s="11"/>
      <c r="E39" s="11"/>
      <c r="F39" s="11"/>
      <c r="G39" s="24"/>
      <c r="H39" s="133"/>
      <c r="I39" s="24"/>
      <c r="J39" s="132" t="s">
        <v>155</v>
      </c>
      <c r="K39" s="38">
        <f>E38*'3-4 EU 1 SCR_WI TCI'!K66</f>
        <v>2508595.116011194</v>
      </c>
      <c r="L39" s="131"/>
    </row>
    <row r="40" spans="2:12" x14ac:dyDescent="0.35">
      <c r="B40" s="92"/>
      <c r="C40" s="11"/>
      <c r="D40" s="11"/>
      <c r="E40" s="26"/>
      <c r="F40" s="11"/>
      <c r="G40" s="24"/>
      <c r="H40" s="24"/>
      <c r="I40" s="24"/>
      <c r="J40" s="24"/>
      <c r="K40" s="38"/>
    </row>
    <row r="41" spans="2:12" x14ac:dyDescent="0.35">
      <c r="B41" s="130" t="s">
        <v>154</v>
      </c>
      <c r="C41" s="129"/>
      <c r="D41" s="128"/>
      <c r="E41" s="127"/>
      <c r="F41" s="126"/>
      <c r="G41" s="124"/>
      <c r="H41" s="125"/>
      <c r="I41" s="124"/>
      <c r="J41" s="117" t="s">
        <v>153</v>
      </c>
      <c r="K41" s="116">
        <f>SUM(K34:K39)</f>
        <v>3786703.2228915989</v>
      </c>
    </row>
    <row r="42" spans="2:12" x14ac:dyDescent="0.35">
      <c r="B42" s="123"/>
      <c r="C42" s="122"/>
      <c r="D42" s="11"/>
      <c r="E42" s="26"/>
      <c r="F42" s="11"/>
      <c r="G42" s="24"/>
      <c r="H42" s="24"/>
      <c r="I42" s="24"/>
      <c r="J42" s="24"/>
      <c r="K42" s="38"/>
    </row>
    <row r="43" spans="2:12" ht="15.5" x14ac:dyDescent="0.35">
      <c r="B43" s="121" t="s">
        <v>152</v>
      </c>
      <c r="C43" s="120"/>
      <c r="D43" s="119"/>
      <c r="E43" s="295"/>
      <c r="F43" s="119"/>
      <c r="G43" s="44"/>
      <c r="H43" s="118"/>
      <c r="I43" s="44"/>
      <c r="J43" s="117" t="s">
        <v>151</v>
      </c>
      <c r="K43" s="116">
        <f>K33+K41</f>
        <v>7284160.9842911242</v>
      </c>
    </row>
    <row r="44" spans="2:12" ht="15" thickBot="1" x14ac:dyDescent="0.4">
      <c r="B44" s="92"/>
      <c r="C44" s="11"/>
      <c r="D44" s="11"/>
      <c r="E44" s="26"/>
      <c r="F44" s="11"/>
      <c r="G44" s="11"/>
      <c r="H44" s="11"/>
      <c r="I44" s="11"/>
      <c r="J44" s="11"/>
      <c r="K44" s="75"/>
    </row>
    <row r="45" spans="2:12" ht="16" thickBot="1" x14ac:dyDescent="0.4">
      <c r="B45" s="458" t="s">
        <v>150</v>
      </c>
      <c r="C45" s="459"/>
      <c r="D45" s="459"/>
      <c r="E45" s="459"/>
      <c r="F45" s="459"/>
      <c r="G45" s="459"/>
      <c r="H45" s="459"/>
      <c r="I45" s="459"/>
      <c r="J45" s="459"/>
      <c r="K45" s="460"/>
    </row>
    <row r="46" spans="2:12" ht="11.25" customHeight="1" x14ac:dyDescent="0.35">
      <c r="B46" s="92"/>
      <c r="C46" s="11"/>
      <c r="D46" s="11"/>
      <c r="E46" s="11"/>
      <c r="F46" s="11"/>
      <c r="G46" s="11"/>
      <c r="H46" s="11"/>
      <c r="I46" s="11"/>
      <c r="J46" s="11"/>
      <c r="K46" s="75"/>
    </row>
    <row r="47" spans="2:12" ht="15.5" x14ac:dyDescent="0.35">
      <c r="B47" s="15" t="s">
        <v>149</v>
      </c>
      <c r="C47" s="41"/>
      <c r="D47" s="11"/>
      <c r="E47" s="11"/>
      <c r="F47" s="11"/>
      <c r="G47" s="11"/>
      <c r="H47" s="11"/>
      <c r="I47" s="11"/>
      <c r="J47" s="115" t="s">
        <v>148</v>
      </c>
      <c r="K47" s="301">
        <f>'3-3 Ranking-NOx'!F6</f>
        <v>1520</v>
      </c>
    </row>
    <row r="48" spans="2:12" x14ac:dyDescent="0.35">
      <c r="B48" s="92"/>
      <c r="C48" s="11"/>
      <c r="D48" s="11"/>
      <c r="E48" s="11"/>
      <c r="F48" s="11"/>
      <c r="G48" s="11"/>
      <c r="H48" s="11"/>
      <c r="I48" s="11"/>
      <c r="J48" s="11"/>
      <c r="K48" s="75"/>
    </row>
    <row r="49" spans="2:11" ht="15.5" x14ac:dyDescent="0.35">
      <c r="B49" s="15" t="s">
        <v>369</v>
      </c>
      <c r="C49" s="41"/>
      <c r="D49" s="11"/>
      <c r="E49" s="11"/>
      <c r="F49" s="11"/>
      <c r="G49" s="11"/>
      <c r="H49" s="327"/>
      <c r="I49" s="11"/>
      <c r="J49" s="328" t="s">
        <v>146</v>
      </c>
      <c r="K49" s="9">
        <f>K43/K47</f>
        <v>4792.2111738757394</v>
      </c>
    </row>
    <row r="50" spans="2:11" ht="18" thickBot="1" x14ac:dyDescent="0.4">
      <c r="B50" s="114" t="s">
        <v>370</v>
      </c>
      <c r="C50" s="113"/>
      <c r="D50" s="111"/>
      <c r="E50" s="111"/>
      <c r="F50" s="111"/>
      <c r="G50" s="111"/>
      <c r="H50" s="112"/>
      <c r="I50" s="111"/>
      <c r="J50" s="110" t="s">
        <v>146</v>
      </c>
      <c r="K50" s="109">
        <f>+K43/222</f>
        <v>32811.535965275332</v>
      </c>
    </row>
    <row r="51" spans="2:11" ht="15.5" thickTop="1" thickBot="1" x14ac:dyDescent="0.4"/>
    <row r="52" spans="2:11" x14ac:dyDescent="0.35">
      <c r="D52" s="108" t="s">
        <v>145</v>
      </c>
      <c r="E52" s="107"/>
      <c r="F52" s="106"/>
      <c r="G52" s="105"/>
    </row>
    <row r="53" spans="2:11" x14ac:dyDescent="0.35">
      <c r="D53" s="103" t="s">
        <v>144</v>
      </c>
      <c r="E53" s="104">
        <v>5</v>
      </c>
      <c r="F53" s="102" t="s">
        <v>110</v>
      </c>
    </row>
    <row r="54" spans="2:11" x14ac:dyDescent="0.35">
      <c r="D54" s="103" t="s">
        <v>143</v>
      </c>
      <c r="E54" s="293">
        <v>20</v>
      </c>
      <c r="F54" s="102" t="s">
        <v>141</v>
      </c>
    </row>
    <row r="55" spans="2:11" x14ac:dyDescent="0.35">
      <c r="D55" s="103" t="s">
        <v>142</v>
      </c>
      <c r="E55" s="294">
        <v>3</v>
      </c>
      <c r="F55" s="102" t="s">
        <v>141</v>
      </c>
    </row>
    <row r="56" spans="2:11" ht="15" thickBot="1" x14ac:dyDescent="0.4">
      <c r="D56" s="101" t="s">
        <v>140</v>
      </c>
      <c r="E56" s="100">
        <v>100</v>
      </c>
      <c r="F56" s="99" t="s">
        <v>110</v>
      </c>
    </row>
    <row r="59" spans="2:11" ht="17.25" customHeight="1" x14ac:dyDescent="0.35">
      <c r="B59" s="386">
        <v>1</v>
      </c>
      <c r="C59" s="448" t="s">
        <v>374</v>
      </c>
      <c r="D59" s="448"/>
      <c r="E59" s="448"/>
      <c r="F59" s="448"/>
      <c r="G59" s="448"/>
      <c r="H59" s="448"/>
      <c r="I59" s="448"/>
      <c r="J59" s="448"/>
      <c r="K59" s="448"/>
    </row>
    <row r="60" spans="2:11" ht="34.5" customHeight="1" x14ac:dyDescent="0.35">
      <c r="B60" s="386">
        <v>2</v>
      </c>
      <c r="C60" s="449" t="s">
        <v>375</v>
      </c>
      <c r="D60" s="449"/>
      <c r="E60" s="449"/>
      <c r="F60" s="449"/>
      <c r="G60" s="449"/>
      <c r="H60" s="449"/>
      <c r="I60" s="449"/>
      <c r="J60" s="449"/>
      <c r="K60" s="449"/>
    </row>
    <row r="61" spans="2:11" ht="34.5" customHeight="1" x14ac:dyDescent="0.35">
      <c r="B61" s="387">
        <v>3</v>
      </c>
      <c r="C61" s="448" t="s">
        <v>376</v>
      </c>
      <c r="D61" s="448"/>
      <c r="E61" s="448"/>
      <c r="F61" s="448"/>
      <c r="G61" s="448"/>
      <c r="H61" s="448"/>
      <c r="I61" s="448"/>
      <c r="J61" s="448"/>
      <c r="K61" s="448"/>
    </row>
    <row r="62" spans="2:11" ht="17.25" customHeight="1" x14ac:dyDescent="0.35">
      <c r="B62" s="387">
        <v>4</v>
      </c>
      <c r="C62" s="448" t="s">
        <v>377</v>
      </c>
      <c r="D62" s="448"/>
      <c r="E62" s="448"/>
      <c r="F62" s="448"/>
      <c r="G62" s="448"/>
      <c r="H62" s="448"/>
      <c r="I62" s="448"/>
      <c r="J62" s="448"/>
      <c r="K62" s="448"/>
    </row>
    <row r="63" spans="2:11" ht="34.5" customHeight="1" x14ac:dyDescent="0.35">
      <c r="B63" s="387">
        <v>5</v>
      </c>
      <c r="C63" s="448" t="s">
        <v>378</v>
      </c>
      <c r="D63" s="448"/>
      <c r="E63" s="448"/>
      <c r="F63" s="448"/>
      <c r="G63" s="448"/>
      <c r="H63" s="448"/>
      <c r="I63" s="448"/>
      <c r="J63" s="448"/>
      <c r="K63" s="448"/>
    </row>
    <row r="64" spans="2:11" ht="33.75" customHeight="1" x14ac:dyDescent="0.35">
      <c r="B64" s="387">
        <v>6</v>
      </c>
      <c r="C64" s="448" t="s">
        <v>380</v>
      </c>
      <c r="D64" s="448"/>
      <c r="E64" s="448"/>
      <c r="F64" s="448"/>
      <c r="G64" s="448"/>
      <c r="H64" s="448"/>
      <c r="I64" s="448"/>
      <c r="J64" s="448"/>
      <c r="K64" s="448"/>
    </row>
    <row r="65" spans="2:11" ht="16.5" x14ac:dyDescent="0.35">
      <c r="B65" s="387">
        <v>7</v>
      </c>
      <c r="C65" s="448" t="s">
        <v>379</v>
      </c>
      <c r="D65" s="448"/>
      <c r="E65" s="448"/>
      <c r="F65" s="448"/>
      <c r="G65" s="448"/>
      <c r="H65" s="448"/>
      <c r="I65" s="448"/>
      <c r="J65" s="448"/>
      <c r="K65" s="448"/>
    </row>
    <row r="66" spans="2:11" ht="33.75" customHeight="1" x14ac:dyDescent="0.35">
      <c r="B66" s="387">
        <v>8</v>
      </c>
      <c r="C66" s="448" t="s">
        <v>381</v>
      </c>
      <c r="D66" s="448"/>
      <c r="E66" s="448"/>
      <c r="F66" s="448"/>
      <c r="G66" s="448"/>
      <c r="H66" s="448"/>
      <c r="I66" s="448"/>
      <c r="J66" s="448"/>
      <c r="K66" s="448"/>
    </row>
    <row r="67" spans="2:11" ht="17.25" customHeight="1" x14ac:dyDescent="0.35">
      <c r="B67" s="387">
        <v>9</v>
      </c>
      <c r="C67" s="448" t="s">
        <v>403</v>
      </c>
      <c r="D67" s="448"/>
      <c r="E67" s="448"/>
      <c r="F67" s="448"/>
      <c r="G67" s="448"/>
      <c r="H67" s="448"/>
      <c r="I67" s="448"/>
      <c r="J67" s="448"/>
      <c r="K67" s="448"/>
    </row>
  </sheetData>
  <mergeCells count="15">
    <mergeCell ref="C64:K64"/>
    <mergeCell ref="C65:K65"/>
    <mergeCell ref="C66:K66"/>
    <mergeCell ref="C67:K67"/>
    <mergeCell ref="C59:K59"/>
    <mergeCell ref="C60:K60"/>
    <mergeCell ref="C61:K61"/>
    <mergeCell ref="C62:K62"/>
    <mergeCell ref="C63:K63"/>
    <mergeCell ref="I3:K3"/>
    <mergeCell ref="B8:K8"/>
    <mergeCell ref="C13:D13"/>
    <mergeCell ref="B45:K45"/>
    <mergeCell ref="B1:K1"/>
    <mergeCell ref="B2:K2"/>
  </mergeCells>
  <printOptions horizontalCentered="1"/>
  <pageMargins left="0.38" right="0.4" top="0.48" bottom="0.75" header="0.3" footer="0.3"/>
  <pageSetup scale="53" firstPageNumber="45" orientation="portrait" useFirstPageNumber="1" r:id="rId1"/>
  <headerFooter>
    <oddFooter>&amp;L&amp;"Arial,Regular"&amp;8GVEA - North Pole Facility
PM2.5 NAA BACT Analysis&amp;C&amp;"Arial,Regular"&amp;8Page 51&amp;R&amp;"Arial,Regular"&amp;8August 2017</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79998168889431442"/>
    <pageSetUpPr fitToPage="1"/>
  </sheetPr>
  <dimension ref="B1:K81"/>
  <sheetViews>
    <sheetView topLeftCell="A37" zoomScale="80" zoomScaleNormal="80" zoomScalePageLayoutView="60" workbookViewId="0">
      <selection activeCell="M49" sqref="M49"/>
    </sheetView>
  </sheetViews>
  <sheetFormatPr defaultRowHeight="14.5" x14ac:dyDescent="0.35"/>
  <cols>
    <col min="1" max="1" width="2.26953125" customWidth="1"/>
    <col min="2" max="2" width="5.26953125" customWidth="1"/>
    <col min="3" max="3" width="6" customWidth="1"/>
    <col min="4" max="4" width="63.7265625" customWidth="1"/>
    <col min="6" max="6" width="19.26953125" customWidth="1"/>
    <col min="7" max="7" width="13" customWidth="1"/>
    <col min="8" max="8" width="16.54296875" customWidth="1"/>
    <col min="9" max="9" width="13.26953125" customWidth="1"/>
    <col min="10" max="10" width="14.7265625" customWidth="1"/>
    <col min="11" max="11" width="17.26953125" customWidth="1"/>
    <col min="13" max="13" width="29.81640625" customWidth="1"/>
  </cols>
  <sheetData>
    <row r="1" spans="2:11" x14ac:dyDescent="0.35">
      <c r="B1" s="439" t="s">
        <v>354</v>
      </c>
      <c r="C1" s="439"/>
      <c r="D1" s="439"/>
      <c r="E1" s="439"/>
      <c r="F1" s="439"/>
      <c r="G1" s="439"/>
      <c r="H1" s="439"/>
      <c r="I1" s="439"/>
      <c r="J1" s="439"/>
      <c r="K1" s="439"/>
    </row>
    <row r="2" spans="2:11" x14ac:dyDescent="0.35">
      <c r="B2" s="439" t="s">
        <v>355</v>
      </c>
      <c r="C2" s="439"/>
      <c r="D2" s="439"/>
      <c r="E2" s="439"/>
      <c r="F2" s="439"/>
      <c r="G2" s="439"/>
      <c r="H2" s="439"/>
      <c r="I2" s="439"/>
      <c r="J2" s="439"/>
      <c r="K2" s="439"/>
    </row>
    <row r="3" spans="2:11" ht="15" thickBot="1" x14ac:dyDescent="0.4">
      <c r="J3" s="440" t="s">
        <v>139</v>
      </c>
      <c r="K3" s="441"/>
    </row>
    <row r="4" spans="2:11" ht="19" thickTop="1" x14ac:dyDescent="0.45">
      <c r="B4" s="98" t="s">
        <v>138</v>
      </c>
      <c r="C4" s="97"/>
      <c r="D4" s="97"/>
      <c r="E4" s="96"/>
      <c r="F4" s="96"/>
      <c r="G4" s="96"/>
      <c r="H4" s="96"/>
      <c r="I4" s="96"/>
      <c r="J4" s="95" t="s">
        <v>137</v>
      </c>
      <c r="K4" s="94">
        <v>42921</v>
      </c>
    </row>
    <row r="5" spans="2:11" x14ac:dyDescent="0.35">
      <c r="B5" s="92" t="s">
        <v>136</v>
      </c>
      <c r="C5" s="11"/>
      <c r="D5" s="93" t="s">
        <v>308</v>
      </c>
      <c r="E5" s="11"/>
      <c r="F5" s="11"/>
      <c r="G5" s="11"/>
      <c r="H5" s="11"/>
      <c r="I5" s="11"/>
      <c r="J5" s="40" t="s">
        <v>135</v>
      </c>
      <c r="K5" s="91" t="s">
        <v>134</v>
      </c>
    </row>
    <row r="6" spans="2:11" x14ac:dyDescent="0.35">
      <c r="B6" s="92"/>
      <c r="C6" s="11"/>
      <c r="D6" s="11"/>
      <c r="E6" s="11"/>
      <c r="F6" s="11"/>
      <c r="G6" s="11"/>
      <c r="H6" s="11"/>
      <c r="I6" s="11"/>
      <c r="J6" s="40" t="s">
        <v>133</v>
      </c>
      <c r="K6" s="91" t="s">
        <v>207</v>
      </c>
    </row>
    <row r="7" spans="2:11" ht="15" thickBot="1" x14ac:dyDescent="0.4">
      <c r="B7" s="90" t="s">
        <v>299</v>
      </c>
      <c r="C7" s="89"/>
      <c r="D7" s="89"/>
      <c r="E7" s="89"/>
      <c r="F7" s="89"/>
      <c r="G7" s="89"/>
      <c r="H7" s="89"/>
      <c r="I7" s="89"/>
      <c r="J7" s="88" t="s">
        <v>132</v>
      </c>
      <c r="K7" s="87"/>
    </row>
    <row r="8" spans="2:11" ht="36.75" customHeight="1" thickBot="1" x14ac:dyDescent="0.4">
      <c r="B8" s="442" t="s">
        <v>131</v>
      </c>
      <c r="C8" s="443"/>
      <c r="D8" s="443"/>
      <c r="E8" s="443"/>
      <c r="F8" s="443"/>
      <c r="G8" s="443"/>
      <c r="H8" s="443"/>
      <c r="I8" s="443"/>
      <c r="J8" s="443"/>
      <c r="K8" s="444"/>
    </row>
    <row r="9" spans="2:11" ht="27" customHeight="1" thickTop="1" x14ac:dyDescent="0.45">
      <c r="B9" s="86" t="s">
        <v>130</v>
      </c>
      <c r="C9" s="82"/>
      <c r="D9" s="82"/>
      <c r="E9" s="85" t="s">
        <v>129</v>
      </c>
      <c r="F9" s="85" t="s">
        <v>128</v>
      </c>
      <c r="G9" s="84" t="s">
        <v>127</v>
      </c>
      <c r="H9" s="446" t="s">
        <v>126</v>
      </c>
      <c r="I9" s="446" t="s">
        <v>125</v>
      </c>
      <c r="J9" s="82"/>
      <c r="K9" s="81"/>
    </row>
    <row r="10" spans="2:11" ht="28.5" customHeight="1" x14ac:dyDescent="0.35">
      <c r="B10" s="15"/>
      <c r="C10" s="11"/>
      <c r="D10" s="11"/>
      <c r="E10" s="80"/>
      <c r="F10" s="80"/>
      <c r="G10" s="79"/>
      <c r="H10" s="447"/>
      <c r="I10" s="447"/>
      <c r="J10" s="11"/>
      <c r="K10" s="77"/>
    </row>
    <row r="11" spans="2:11" ht="15.5" x14ac:dyDescent="0.35">
      <c r="B11" s="43" t="s">
        <v>124</v>
      </c>
      <c r="C11" s="41" t="s">
        <v>123</v>
      </c>
      <c r="D11" s="41"/>
      <c r="E11" s="11"/>
      <c r="F11" s="11"/>
      <c r="G11" s="11"/>
      <c r="H11" s="11"/>
      <c r="I11" s="11"/>
      <c r="J11" s="76"/>
      <c r="K11" s="75"/>
    </row>
    <row r="12" spans="2:11" ht="15.5" x14ac:dyDescent="0.35">
      <c r="B12" s="15"/>
      <c r="C12" s="41" t="s">
        <v>99</v>
      </c>
      <c r="D12" s="41" t="s">
        <v>122</v>
      </c>
      <c r="E12" s="11"/>
      <c r="F12" s="11"/>
      <c r="G12" s="11"/>
      <c r="H12" s="11"/>
      <c r="I12" s="11"/>
      <c r="J12" s="74"/>
      <c r="K12" s="47"/>
    </row>
    <row r="13" spans="2:11" ht="16.5" x14ac:dyDescent="0.35">
      <c r="B13" s="52"/>
      <c r="C13" s="37"/>
      <c r="D13" s="50" t="s">
        <v>300</v>
      </c>
      <c r="E13" s="294">
        <v>1</v>
      </c>
      <c r="F13" s="26" t="s">
        <v>63</v>
      </c>
      <c r="G13" s="73">
        <v>2000000</v>
      </c>
      <c r="H13" s="24">
        <f>E13*G13</f>
        <v>2000000</v>
      </c>
      <c r="I13" s="24"/>
      <c r="J13" s="23"/>
      <c r="K13" s="9"/>
    </row>
    <row r="14" spans="2:11" ht="16.5" x14ac:dyDescent="0.35">
      <c r="B14" s="70"/>
      <c r="C14" s="69"/>
      <c r="D14" s="54" t="s">
        <v>301</v>
      </c>
      <c r="E14" s="294">
        <v>1</v>
      </c>
      <c r="F14" s="26" t="s">
        <v>63</v>
      </c>
      <c r="G14" s="73">
        <v>5000000</v>
      </c>
      <c r="H14" s="24">
        <f>E14*G14</f>
        <v>5000000</v>
      </c>
      <c r="I14" s="68"/>
      <c r="K14" s="75"/>
    </row>
    <row r="15" spans="2:11" x14ac:dyDescent="0.35">
      <c r="B15" s="70"/>
      <c r="C15" s="69"/>
      <c r="D15" s="54" t="s">
        <v>368</v>
      </c>
      <c r="E15" s="325">
        <v>1</v>
      </c>
      <c r="F15" s="26" t="s">
        <v>63</v>
      </c>
      <c r="G15" s="73">
        <f>9338000/2</f>
        <v>4669000</v>
      </c>
      <c r="H15" s="24">
        <f>E15*G15</f>
        <v>4669000</v>
      </c>
      <c r="I15" s="68"/>
      <c r="J15" s="48" t="s">
        <v>105</v>
      </c>
      <c r="K15" s="47">
        <f>SUM(H13:H15)</f>
        <v>11669000</v>
      </c>
    </row>
    <row r="16" spans="2:11" x14ac:dyDescent="0.35">
      <c r="B16" s="70"/>
      <c r="C16" s="69"/>
      <c r="D16" s="54"/>
      <c r="E16" s="62"/>
      <c r="F16" s="62"/>
      <c r="G16" s="326"/>
      <c r="H16" s="24"/>
      <c r="I16" s="68"/>
      <c r="J16" s="48"/>
      <c r="K16" s="47"/>
    </row>
    <row r="17" spans="2:11" ht="15.5" x14ac:dyDescent="0.35">
      <c r="B17" s="70"/>
      <c r="C17" s="72" t="s">
        <v>96</v>
      </c>
      <c r="D17" s="72" t="s">
        <v>121</v>
      </c>
      <c r="E17" s="62"/>
      <c r="F17" s="62"/>
      <c r="G17" s="71"/>
      <c r="H17" s="68"/>
      <c r="I17" s="68"/>
      <c r="J17" s="48"/>
      <c r="K17" s="38"/>
    </row>
    <row r="18" spans="2:11" ht="16.5" x14ac:dyDescent="0.35">
      <c r="B18" s="70"/>
      <c r="C18" s="69"/>
      <c r="D18" s="54" t="s">
        <v>302</v>
      </c>
      <c r="E18" s="294"/>
      <c r="F18" s="62" t="s">
        <v>63</v>
      </c>
      <c r="G18" s="294"/>
      <c r="H18" s="24">
        <f>E18*G18</f>
        <v>0</v>
      </c>
      <c r="I18" s="68"/>
      <c r="J18" s="23"/>
      <c r="K18" s="38"/>
    </row>
    <row r="19" spans="2:11" x14ac:dyDescent="0.35">
      <c r="B19" s="67"/>
      <c r="C19" s="66"/>
      <c r="D19" s="64"/>
      <c r="E19" s="65"/>
      <c r="F19" s="65"/>
      <c r="G19" s="64"/>
      <c r="H19" s="63"/>
      <c r="I19" s="63"/>
      <c r="J19" s="48" t="s">
        <v>105</v>
      </c>
      <c r="K19" s="47">
        <f>SUM(H18:H18)</f>
        <v>0</v>
      </c>
    </row>
    <row r="20" spans="2:11" ht="15.5" x14ac:dyDescent="0.35">
      <c r="B20" s="52"/>
      <c r="C20" s="41" t="s">
        <v>94</v>
      </c>
      <c r="D20" s="41" t="s">
        <v>119</v>
      </c>
      <c r="E20" s="26"/>
      <c r="F20" s="26"/>
      <c r="G20" s="11"/>
      <c r="H20" s="24"/>
      <c r="I20" s="24"/>
      <c r="J20" s="23"/>
      <c r="K20" s="38"/>
    </row>
    <row r="21" spans="2:11" x14ac:dyDescent="0.35">
      <c r="B21" s="52"/>
      <c r="C21" s="37"/>
      <c r="D21" s="50" t="s">
        <v>118</v>
      </c>
      <c r="E21" s="294"/>
      <c r="F21" s="26" t="s">
        <v>117</v>
      </c>
      <c r="G21" s="36"/>
      <c r="H21" s="24"/>
      <c r="I21" s="24">
        <f>G21*H13</f>
        <v>0</v>
      </c>
      <c r="J21" s="23"/>
      <c r="K21" s="38"/>
    </row>
    <row r="22" spans="2:11" x14ac:dyDescent="0.35">
      <c r="B22" s="56"/>
      <c r="C22" s="54"/>
      <c r="D22" s="54"/>
      <c r="E22" s="55"/>
      <c r="F22" s="55"/>
      <c r="G22" s="54"/>
      <c r="H22" s="53"/>
      <c r="I22" s="53"/>
      <c r="J22" s="48" t="s">
        <v>105</v>
      </c>
      <c r="K22" s="47">
        <f>SUM(I21:I21)</f>
        <v>0</v>
      </c>
    </row>
    <row r="23" spans="2:11" ht="15.5" x14ac:dyDescent="0.35">
      <c r="B23" s="52"/>
      <c r="C23" s="41" t="s">
        <v>91</v>
      </c>
      <c r="D23" s="41" t="s">
        <v>116</v>
      </c>
      <c r="E23" s="26"/>
      <c r="F23" s="26"/>
      <c r="G23" s="11"/>
      <c r="H23" s="24"/>
      <c r="I23" s="24"/>
      <c r="J23" s="23"/>
      <c r="K23" s="38"/>
    </row>
    <row r="24" spans="2:11" x14ac:dyDescent="0.35">
      <c r="B24" s="60"/>
      <c r="C24" s="50"/>
      <c r="D24" s="54" t="s">
        <v>115</v>
      </c>
      <c r="E24" s="35"/>
      <c r="F24" s="51" t="s">
        <v>113</v>
      </c>
      <c r="G24" s="61"/>
      <c r="H24" s="49"/>
      <c r="I24" s="49">
        <f>E24*G24</f>
        <v>0</v>
      </c>
      <c r="J24" s="58"/>
      <c r="K24" s="57"/>
    </row>
    <row r="25" spans="2:11" x14ac:dyDescent="0.35">
      <c r="B25" s="60"/>
      <c r="C25" s="50"/>
      <c r="D25" s="54" t="s">
        <v>114</v>
      </c>
      <c r="E25" s="35"/>
      <c r="F25" s="51" t="s">
        <v>113</v>
      </c>
      <c r="G25" s="61"/>
      <c r="H25" s="49"/>
      <c r="I25" s="49">
        <f>E25*G25</f>
        <v>0</v>
      </c>
      <c r="J25" s="58"/>
      <c r="K25" s="57"/>
    </row>
    <row r="26" spans="2:11" x14ac:dyDescent="0.35">
      <c r="B26" s="60"/>
      <c r="C26" s="50"/>
      <c r="D26" s="54"/>
      <c r="E26" s="55"/>
      <c r="F26" s="55"/>
      <c r="G26" s="159"/>
      <c r="H26" s="49"/>
      <c r="I26" s="49"/>
      <c r="J26" s="58"/>
      <c r="K26" s="57"/>
    </row>
    <row r="27" spans="2:11" ht="15.5" x14ac:dyDescent="0.35">
      <c r="B27" s="60"/>
      <c r="C27" s="41" t="s">
        <v>89</v>
      </c>
      <c r="D27" s="41" t="s">
        <v>112</v>
      </c>
      <c r="E27" s="11"/>
      <c r="F27" s="11"/>
      <c r="G27" s="11"/>
      <c r="H27" s="24"/>
      <c r="I27" s="49"/>
      <c r="J27" s="58"/>
      <c r="K27" s="57"/>
    </row>
    <row r="28" spans="2:11" x14ac:dyDescent="0.35">
      <c r="B28" s="60"/>
      <c r="C28" s="50"/>
      <c r="D28" s="50" t="s">
        <v>111</v>
      </c>
      <c r="E28" s="59">
        <v>5.0000000000000001E-3</v>
      </c>
      <c r="F28" s="26" t="s">
        <v>110</v>
      </c>
      <c r="G28" s="294"/>
      <c r="H28" s="49">
        <f>E28*G14</f>
        <v>25000</v>
      </c>
      <c r="I28" s="49"/>
      <c r="J28" s="58"/>
      <c r="K28" s="57"/>
    </row>
    <row r="29" spans="2:11" x14ac:dyDescent="0.35">
      <c r="B29" s="56"/>
      <c r="C29" s="54"/>
      <c r="D29" s="54"/>
      <c r="E29" s="55"/>
      <c r="F29" s="55"/>
      <c r="G29" s="54"/>
      <c r="H29" s="53"/>
      <c r="I29" s="53"/>
      <c r="J29" s="48" t="s">
        <v>105</v>
      </c>
      <c r="K29" s="47">
        <f>H28</f>
        <v>25000</v>
      </c>
    </row>
    <row r="30" spans="2:11" ht="15.5" x14ac:dyDescent="0.35">
      <c r="B30" s="52"/>
      <c r="C30" s="41" t="s">
        <v>86</v>
      </c>
      <c r="D30" s="41" t="s">
        <v>109</v>
      </c>
      <c r="E30" s="26"/>
      <c r="F30" s="26"/>
      <c r="G30" s="11"/>
      <c r="H30" s="24"/>
      <c r="I30" s="24"/>
      <c r="J30" s="23"/>
      <c r="K30" s="38"/>
    </row>
    <row r="31" spans="2:11" x14ac:dyDescent="0.35">
      <c r="B31" s="52"/>
      <c r="C31" s="37"/>
      <c r="D31" s="50" t="s">
        <v>108</v>
      </c>
      <c r="E31" s="35">
        <v>10</v>
      </c>
      <c r="F31" s="51" t="s">
        <v>106</v>
      </c>
      <c r="G31" s="35">
        <v>1800</v>
      </c>
      <c r="H31" s="49"/>
      <c r="I31" s="49">
        <f>G31*E31</f>
        <v>18000</v>
      </c>
      <c r="J31" s="23"/>
      <c r="K31" s="38"/>
    </row>
    <row r="32" spans="2:11" x14ac:dyDescent="0.35">
      <c r="B32" s="52"/>
      <c r="C32" s="37"/>
      <c r="D32" s="50" t="s">
        <v>107</v>
      </c>
      <c r="E32" s="35">
        <v>8</v>
      </c>
      <c r="F32" s="51" t="s">
        <v>106</v>
      </c>
      <c r="G32" s="35">
        <v>2500</v>
      </c>
      <c r="H32" s="49"/>
      <c r="I32" s="49">
        <f>G32*E32</f>
        <v>20000</v>
      </c>
      <c r="J32" s="23"/>
      <c r="K32" s="38"/>
    </row>
    <row r="33" spans="2:11" x14ac:dyDescent="0.35">
      <c r="B33" s="52"/>
      <c r="C33" s="37"/>
      <c r="D33" s="37"/>
      <c r="E33" s="51"/>
      <c r="F33" s="51"/>
      <c r="G33" s="50"/>
      <c r="H33" s="49"/>
      <c r="I33" s="49"/>
      <c r="J33" s="48" t="s">
        <v>105</v>
      </c>
      <c r="K33" s="47">
        <f>SUM(I31:I32)</f>
        <v>38000</v>
      </c>
    </row>
    <row r="34" spans="2:11" ht="15.5" x14ac:dyDescent="0.35">
      <c r="B34" s="21" t="s">
        <v>104</v>
      </c>
      <c r="C34" s="46"/>
      <c r="D34" s="46"/>
      <c r="E34" s="297" t="s">
        <v>103</v>
      </c>
      <c r="F34" s="45"/>
      <c r="G34" s="45"/>
      <c r="H34" s="45"/>
      <c r="I34" s="44"/>
      <c r="J34" s="17" t="s">
        <v>102</v>
      </c>
      <c r="K34" s="29">
        <f>SUM(K13:K33)</f>
        <v>11732000</v>
      </c>
    </row>
    <row r="35" spans="2:11" ht="15.5" x14ac:dyDescent="0.35">
      <c r="B35" s="13"/>
      <c r="C35" s="12"/>
      <c r="D35" s="12"/>
      <c r="E35" s="26"/>
      <c r="F35" s="26"/>
      <c r="G35" s="11"/>
      <c r="H35" s="24"/>
      <c r="I35" s="24"/>
      <c r="J35" s="10"/>
      <c r="K35" s="38"/>
    </row>
    <row r="36" spans="2:11" ht="17.5" x14ac:dyDescent="0.35">
      <c r="B36" s="43" t="s">
        <v>101</v>
      </c>
      <c r="C36" s="41" t="s">
        <v>303</v>
      </c>
      <c r="D36" s="41"/>
      <c r="E36" s="26"/>
      <c r="F36" s="26"/>
      <c r="G36" s="11"/>
      <c r="H36" s="24"/>
      <c r="I36" s="24"/>
      <c r="J36" s="10"/>
      <c r="K36" s="38"/>
    </row>
    <row r="37" spans="2:11" ht="15.5" x14ac:dyDescent="0.35">
      <c r="B37" s="15"/>
      <c r="C37" s="41" t="s">
        <v>99</v>
      </c>
      <c r="D37" s="41" t="s">
        <v>98</v>
      </c>
      <c r="E37" s="35"/>
      <c r="F37" s="26" t="s">
        <v>97</v>
      </c>
      <c r="G37" s="35"/>
      <c r="H37" s="24">
        <f>E37*G37</f>
        <v>0</v>
      </c>
      <c r="I37" s="24"/>
      <c r="J37" s="23"/>
      <c r="K37" s="38">
        <f>H37+I37</f>
        <v>0</v>
      </c>
    </row>
    <row r="38" spans="2:11" ht="15.5" x14ac:dyDescent="0.35">
      <c r="B38" s="15"/>
      <c r="C38" s="41" t="s">
        <v>96</v>
      </c>
      <c r="D38" s="41" t="s">
        <v>95</v>
      </c>
      <c r="E38" s="35"/>
      <c r="F38" s="26" t="s">
        <v>92</v>
      </c>
      <c r="G38" s="35"/>
      <c r="H38" s="24">
        <f t="shared" ref="H38:H43" si="0">E38*G38</f>
        <v>0</v>
      </c>
      <c r="I38" s="24"/>
      <c r="J38" s="23"/>
      <c r="K38" s="38">
        <f t="shared" ref="K38:K47" si="1">H38+I38</f>
        <v>0</v>
      </c>
    </row>
    <row r="39" spans="2:11" ht="15.5" x14ac:dyDescent="0.35">
      <c r="B39" s="15"/>
      <c r="C39" s="41" t="s">
        <v>94</v>
      </c>
      <c r="D39" s="41" t="s">
        <v>93</v>
      </c>
      <c r="E39" s="35"/>
      <c r="F39" s="26" t="s">
        <v>92</v>
      </c>
      <c r="G39" s="35"/>
      <c r="H39" s="24">
        <f t="shared" si="0"/>
        <v>0</v>
      </c>
      <c r="I39" s="24"/>
      <c r="J39" s="23"/>
      <c r="K39" s="38">
        <f t="shared" si="1"/>
        <v>0</v>
      </c>
    </row>
    <row r="40" spans="2:11" ht="15.5" x14ac:dyDescent="0.35">
      <c r="B40" s="15"/>
      <c r="C40" s="41" t="s">
        <v>91</v>
      </c>
      <c r="D40" s="41" t="s">
        <v>90</v>
      </c>
      <c r="E40" s="35"/>
      <c r="F40" s="26" t="s">
        <v>84</v>
      </c>
      <c r="G40" s="35"/>
      <c r="H40" s="24">
        <f t="shared" si="0"/>
        <v>0</v>
      </c>
      <c r="I40" s="24"/>
      <c r="J40" s="23"/>
      <c r="K40" s="38">
        <f t="shared" si="1"/>
        <v>0</v>
      </c>
    </row>
    <row r="41" spans="2:11" ht="15.5" x14ac:dyDescent="0.35">
      <c r="B41" s="15"/>
      <c r="C41" s="41" t="s">
        <v>89</v>
      </c>
      <c r="D41" s="41" t="s">
        <v>88</v>
      </c>
      <c r="E41" s="35"/>
      <c r="F41" s="26" t="s">
        <v>87</v>
      </c>
      <c r="G41" s="35"/>
      <c r="H41" s="24">
        <f t="shared" si="0"/>
        <v>0</v>
      </c>
      <c r="I41" s="24"/>
      <c r="J41" s="23"/>
      <c r="K41" s="38">
        <f t="shared" si="1"/>
        <v>0</v>
      </c>
    </row>
    <row r="42" spans="2:11" ht="15.5" x14ac:dyDescent="0.35">
      <c r="B42" s="15"/>
      <c r="C42" s="41" t="s">
        <v>86</v>
      </c>
      <c r="D42" s="41" t="s">
        <v>85</v>
      </c>
      <c r="E42" s="35"/>
      <c r="F42" s="26" t="s">
        <v>84</v>
      </c>
      <c r="G42" s="35"/>
      <c r="H42" s="24">
        <f t="shared" si="0"/>
        <v>0</v>
      </c>
      <c r="I42" s="24"/>
      <c r="J42" s="23"/>
      <c r="K42" s="38">
        <f t="shared" si="1"/>
        <v>0</v>
      </c>
    </row>
    <row r="43" spans="2:11" ht="15.5" x14ac:dyDescent="0.35">
      <c r="B43" s="15"/>
      <c r="C43" s="41" t="s">
        <v>83</v>
      </c>
      <c r="D43" s="41" t="s">
        <v>82</v>
      </c>
      <c r="E43" s="35"/>
      <c r="F43" s="26" t="s">
        <v>81</v>
      </c>
      <c r="G43" s="35"/>
      <c r="H43" s="24">
        <f t="shared" si="0"/>
        <v>0</v>
      </c>
      <c r="I43" s="24"/>
      <c r="J43" s="23"/>
      <c r="K43" s="38">
        <f t="shared" si="1"/>
        <v>0</v>
      </c>
    </row>
    <row r="44" spans="2:11" ht="15.5" x14ac:dyDescent="0.35">
      <c r="B44" s="15"/>
      <c r="C44" s="41" t="s">
        <v>80</v>
      </c>
      <c r="D44" s="41" t="s">
        <v>79</v>
      </c>
      <c r="E44" s="26"/>
      <c r="F44" s="26"/>
      <c r="G44" s="10"/>
      <c r="H44" s="24"/>
      <c r="I44" s="24"/>
      <c r="J44" s="23"/>
      <c r="K44" s="38"/>
    </row>
    <row r="45" spans="2:11" ht="15.5" x14ac:dyDescent="0.35">
      <c r="B45" s="15"/>
      <c r="C45" s="41"/>
      <c r="D45" s="12" t="s">
        <v>78</v>
      </c>
      <c r="F45" s="40" t="s">
        <v>77</v>
      </c>
      <c r="G45" s="36"/>
      <c r="H45" s="42"/>
      <c r="I45" s="24">
        <f>G45*I24</f>
        <v>0</v>
      </c>
      <c r="J45" s="23"/>
      <c r="K45" s="38">
        <f t="shared" si="1"/>
        <v>0</v>
      </c>
    </row>
    <row r="46" spans="2:11" ht="15.5" x14ac:dyDescent="0.35">
      <c r="B46" s="15"/>
      <c r="C46" s="41"/>
      <c r="D46" s="12" t="s">
        <v>76</v>
      </c>
      <c r="F46" s="40" t="s">
        <v>75</v>
      </c>
      <c r="G46" s="36"/>
      <c r="H46" s="42"/>
      <c r="I46" s="24">
        <f>G46*I25</f>
        <v>0</v>
      </c>
      <c r="J46" s="23"/>
      <c r="K46" s="38">
        <f t="shared" si="1"/>
        <v>0</v>
      </c>
    </row>
    <row r="47" spans="2:11" ht="15.5" x14ac:dyDescent="0.35">
      <c r="B47" s="15"/>
      <c r="C47" s="41"/>
      <c r="D47" s="12" t="s">
        <v>74</v>
      </c>
      <c r="F47" s="40" t="s">
        <v>73</v>
      </c>
      <c r="G47" s="36"/>
      <c r="H47" s="24"/>
      <c r="I47" s="24">
        <f>G47*K15</f>
        <v>0</v>
      </c>
      <c r="J47" s="23"/>
      <c r="K47" s="38">
        <f t="shared" si="1"/>
        <v>0</v>
      </c>
    </row>
    <row r="48" spans="2:11" ht="15.5" x14ac:dyDescent="0.35">
      <c r="B48" s="21" t="s">
        <v>72</v>
      </c>
      <c r="C48" s="39"/>
      <c r="D48" s="39"/>
      <c r="E48" s="445"/>
      <c r="F48" s="445"/>
      <c r="G48" s="445"/>
      <c r="H48" s="445"/>
      <c r="I48" s="30"/>
      <c r="J48" s="17" t="s">
        <v>71</v>
      </c>
      <c r="K48" s="29">
        <f>(H13*0.5)+(H14*2)</f>
        <v>11000000</v>
      </c>
    </row>
    <row r="49" spans="2:11" ht="15.5" x14ac:dyDescent="0.35">
      <c r="B49" s="13"/>
      <c r="C49" s="12"/>
      <c r="D49" s="12"/>
      <c r="E49" s="11"/>
      <c r="F49" s="11"/>
      <c r="G49" s="11"/>
      <c r="H49" s="10"/>
      <c r="I49" s="10"/>
      <c r="J49" s="10"/>
      <c r="K49" s="38"/>
    </row>
    <row r="50" spans="2:11" ht="15.5" x14ac:dyDescent="0.35">
      <c r="B50" s="13"/>
      <c r="C50" s="12"/>
      <c r="D50" s="12"/>
      <c r="E50" s="11"/>
      <c r="F50" s="11"/>
      <c r="G50" s="11"/>
      <c r="H50" s="10"/>
      <c r="I50" s="10"/>
      <c r="J50" s="10"/>
      <c r="K50" s="38"/>
    </row>
    <row r="51" spans="2:11" ht="15.5" x14ac:dyDescent="0.35">
      <c r="B51" s="21" t="s">
        <v>70</v>
      </c>
      <c r="C51" s="34"/>
      <c r="D51" s="34"/>
      <c r="E51" s="445"/>
      <c r="F51" s="445"/>
      <c r="G51" s="445"/>
      <c r="H51" s="445"/>
      <c r="I51" s="31"/>
      <c r="J51" s="17" t="s">
        <v>69</v>
      </c>
      <c r="K51" s="29">
        <f>K34+K48</f>
        <v>22732000</v>
      </c>
    </row>
    <row r="52" spans="2:11" ht="15.5" x14ac:dyDescent="0.35">
      <c r="B52" s="15"/>
      <c r="C52" s="12"/>
      <c r="D52" s="12"/>
      <c r="E52" s="11"/>
      <c r="F52" s="11"/>
      <c r="G52" s="37"/>
      <c r="H52" s="10"/>
      <c r="I52" s="10"/>
      <c r="J52" s="10"/>
      <c r="K52" s="9"/>
    </row>
    <row r="53" spans="2:11" ht="15.5" x14ac:dyDescent="0.35">
      <c r="B53" s="13"/>
      <c r="C53" s="12"/>
      <c r="D53" s="12"/>
      <c r="E53" s="11"/>
      <c r="F53" s="11"/>
      <c r="G53" s="11"/>
      <c r="H53" s="10"/>
      <c r="I53" s="10"/>
      <c r="J53" s="10"/>
      <c r="K53" s="9"/>
    </row>
    <row r="54" spans="2:11" ht="15.5" x14ac:dyDescent="0.35">
      <c r="B54" s="15" t="s">
        <v>68</v>
      </c>
      <c r="C54" s="12"/>
      <c r="D54" s="12"/>
      <c r="E54" s="11"/>
      <c r="F54" s="11"/>
      <c r="G54" s="11"/>
      <c r="H54" s="10"/>
      <c r="I54" s="10"/>
      <c r="J54" s="10"/>
      <c r="K54" s="9"/>
    </row>
    <row r="55" spans="2:11" ht="15.5" x14ac:dyDescent="0.35">
      <c r="B55" s="28" t="s">
        <v>67</v>
      </c>
      <c r="C55" s="12" t="s">
        <v>66</v>
      </c>
      <c r="D55" s="12"/>
      <c r="E55" s="36">
        <v>0.22</v>
      </c>
      <c r="F55" s="26" t="s">
        <v>54</v>
      </c>
      <c r="G55" s="294"/>
      <c r="H55" s="10"/>
      <c r="I55" s="24">
        <f>E55*K51</f>
        <v>5001040</v>
      </c>
      <c r="J55" s="23"/>
      <c r="K55" s="22"/>
    </row>
    <row r="56" spans="2:11" ht="15.5" x14ac:dyDescent="0.35">
      <c r="B56" s="28" t="s">
        <v>65</v>
      </c>
      <c r="C56" s="12" t="s">
        <v>64</v>
      </c>
      <c r="D56" s="12"/>
      <c r="E56" s="35">
        <v>1</v>
      </c>
      <c r="F56" s="26" t="s">
        <v>63</v>
      </c>
      <c r="G56" s="246">
        <v>10000</v>
      </c>
      <c r="H56" s="10"/>
      <c r="I56" s="24">
        <f>E56*G56</f>
        <v>10000</v>
      </c>
      <c r="J56" s="23"/>
      <c r="K56" s="22"/>
    </row>
    <row r="57" spans="2:11" ht="15.5" x14ac:dyDescent="0.35">
      <c r="B57" s="21" t="s">
        <v>62</v>
      </c>
      <c r="C57" s="34"/>
      <c r="D57" s="34"/>
      <c r="E57" s="32"/>
      <c r="F57" s="33"/>
      <c r="G57" s="32"/>
      <c r="H57" s="31"/>
      <c r="I57" s="30"/>
      <c r="J57" s="17" t="s">
        <v>61</v>
      </c>
      <c r="K57" s="29">
        <f>SUM(I55:I56)</f>
        <v>5011040</v>
      </c>
    </row>
    <row r="58" spans="2:11" ht="15.5" x14ac:dyDescent="0.35">
      <c r="B58" s="15"/>
      <c r="C58" s="12"/>
      <c r="D58" s="12"/>
      <c r="E58" s="11"/>
      <c r="F58" s="26"/>
      <c r="G58" s="11"/>
      <c r="H58" s="10"/>
      <c r="I58" s="24"/>
      <c r="J58" s="14"/>
      <c r="K58" s="9"/>
    </row>
    <row r="59" spans="2:11" ht="15.5" x14ac:dyDescent="0.35">
      <c r="B59" s="13"/>
      <c r="C59" s="12"/>
      <c r="D59" s="12"/>
      <c r="E59" s="11"/>
      <c r="F59" s="26"/>
      <c r="G59" s="11"/>
      <c r="H59" s="10"/>
      <c r="I59" s="24"/>
      <c r="J59" s="10"/>
      <c r="K59" s="9"/>
    </row>
    <row r="60" spans="2:11" ht="15.5" x14ac:dyDescent="0.35">
      <c r="B60" s="15" t="s">
        <v>60</v>
      </c>
      <c r="C60" s="12"/>
      <c r="D60" s="12"/>
      <c r="E60" s="11"/>
      <c r="F60" s="26"/>
      <c r="G60" s="11"/>
      <c r="H60" s="10"/>
      <c r="I60" s="24"/>
      <c r="J60" s="10"/>
      <c r="K60" s="9"/>
    </row>
    <row r="61" spans="2:11" ht="17.5" x14ac:dyDescent="0.35">
      <c r="B61" s="28" t="s">
        <v>59</v>
      </c>
      <c r="C61" s="12" t="s">
        <v>304</v>
      </c>
      <c r="D61" s="12"/>
      <c r="E61" s="294"/>
      <c r="F61" s="26" t="s">
        <v>54</v>
      </c>
      <c r="G61" s="294"/>
      <c r="H61" s="10"/>
      <c r="I61" s="24"/>
      <c r="J61" s="23"/>
      <c r="K61" s="298" t="s">
        <v>309</v>
      </c>
    </row>
    <row r="62" spans="2:11" ht="15.5" x14ac:dyDescent="0.35">
      <c r="B62" s="28" t="s">
        <v>56</v>
      </c>
      <c r="C62" s="12" t="s">
        <v>55</v>
      </c>
      <c r="D62" s="12"/>
      <c r="E62" s="27">
        <v>0.3</v>
      </c>
      <c r="F62" s="26" t="s">
        <v>267</v>
      </c>
      <c r="G62" s="294"/>
      <c r="H62" s="10"/>
      <c r="I62" s="24">
        <f>E62*K34</f>
        <v>3519600</v>
      </c>
      <c r="J62" s="23"/>
      <c r="K62" s="22"/>
    </row>
    <row r="63" spans="2:11" ht="15.5" x14ac:dyDescent="0.35">
      <c r="B63" s="21" t="s">
        <v>53</v>
      </c>
      <c r="C63" s="20"/>
      <c r="D63" s="20"/>
      <c r="E63" s="19"/>
      <c r="F63" s="19"/>
      <c r="G63" s="19"/>
      <c r="H63" s="18"/>
      <c r="I63" s="18"/>
      <c r="J63" s="17" t="s">
        <v>52</v>
      </c>
      <c r="K63" s="16">
        <f>SUM(I61:I62)</f>
        <v>3519600</v>
      </c>
    </row>
    <row r="64" spans="2:11" ht="15.5" x14ac:dyDescent="0.35">
      <c r="B64" s="15"/>
      <c r="C64" s="12"/>
      <c r="D64" s="12"/>
      <c r="E64" s="11"/>
      <c r="F64" s="11"/>
      <c r="G64" s="11"/>
      <c r="H64" s="10"/>
      <c r="I64" s="10"/>
      <c r="J64" s="14"/>
      <c r="K64" s="9"/>
    </row>
    <row r="65" spans="2:11" ht="15.5" x14ac:dyDescent="0.35">
      <c r="B65" s="13"/>
      <c r="C65" s="12"/>
      <c r="D65" s="12"/>
      <c r="E65" s="11"/>
      <c r="F65" s="11"/>
      <c r="G65" s="11"/>
      <c r="H65" s="10"/>
      <c r="I65" s="10"/>
      <c r="J65" s="10"/>
      <c r="K65" s="9"/>
    </row>
    <row r="66" spans="2:11" ht="34.5" customHeight="1" thickBot="1" x14ac:dyDescent="0.5">
      <c r="B66" s="8" t="s">
        <v>51</v>
      </c>
      <c r="C66" s="7"/>
      <c r="D66" s="7"/>
      <c r="E66" s="7"/>
      <c r="F66" s="7"/>
      <c r="G66" s="6"/>
      <c r="H66" s="5"/>
      <c r="I66" s="4"/>
      <c r="J66" s="3" t="s">
        <v>50</v>
      </c>
      <c r="K66" s="2">
        <f>K51+K57+K63</f>
        <v>31262640</v>
      </c>
    </row>
    <row r="67" spans="2:11" ht="15" thickTop="1" x14ac:dyDescent="0.35"/>
    <row r="69" spans="2:11" ht="16.5" x14ac:dyDescent="0.35">
      <c r="B69" s="386">
        <v>1</v>
      </c>
      <c r="C69" s="448" t="s">
        <v>374</v>
      </c>
      <c r="D69" s="448"/>
      <c r="E69" s="448"/>
      <c r="F69" s="448"/>
      <c r="G69" s="448"/>
      <c r="H69" s="448"/>
      <c r="I69" s="448"/>
      <c r="J69" s="448"/>
      <c r="K69" s="448"/>
    </row>
    <row r="70" spans="2:11" ht="34.5" customHeight="1" x14ac:dyDescent="0.35">
      <c r="B70" s="386">
        <v>2</v>
      </c>
      <c r="C70" s="448" t="s">
        <v>375</v>
      </c>
      <c r="D70" s="448"/>
      <c r="E70" s="448"/>
      <c r="F70" s="448"/>
      <c r="G70" s="448"/>
      <c r="H70" s="448"/>
      <c r="I70" s="448"/>
      <c r="J70" s="448"/>
      <c r="K70" s="448"/>
    </row>
    <row r="71" spans="2:11" ht="34.5" customHeight="1" x14ac:dyDescent="0.35">
      <c r="B71" s="386">
        <v>3</v>
      </c>
      <c r="C71" s="448" t="s">
        <v>376</v>
      </c>
      <c r="D71" s="448"/>
      <c r="E71" s="448"/>
      <c r="F71" s="448"/>
      <c r="G71" s="448"/>
      <c r="H71" s="448"/>
      <c r="I71" s="448"/>
      <c r="J71" s="448"/>
      <c r="K71" s="448"/>
    </row>
    <row r="72" spans="2:11" ht="17.25" customHeight="1" x14ac:dyDescent="0.35">
      <c r="B72" s="386">
        <v>4</v>
      </c>
      <c r="C72" s="448" t="s">
        <v>377</v>
      </c>
      <c r="D72" s="448"/>
      <c r="E72" s="448"/>
      <c r="F72" s="448"/>
      <c r="G72" s="448"/>
      <c r="H72" s="448"/>
      <c r="I72" s="448"/>
      <c r="J72" s="448"/>
      <c r="K72" s="448"/>
    </row>
    <row r="73" spans="2:11" ht="34.5" customHeight="1" x14ac:dyDescent="0.35">
      <c r="B73" s="386">
        <v>5</v>
      </c>
      <c r="C73" s="448" t="s">
        <v>378</v>
      </c>
      <c r="D73" s="448"/>
      <c r="E73" s="448"/>
      <c r="F73" s="448"/>
      <c r="G73" s="448"/>
      <c r="H73" s="448"/>
      <c r="I73" s="448"/>
      <c r="J73" s="448"/>
      <c r="K73" s="448"/>
    </row>
    <row r="74" spans="2:11" ht="34.5" customHeight="1" x14ac:dyDescent="0.35">
      <c r="B74" s="386">
        <v>6</v>
      </c>
      <c r="C74" s="448" t="s">
        <v>380</v>
      </c>
      <c r="D74" s="448"/>
      <c r="E74" s="448"/>
      <c r="F74" s="448"/>
      <c r="G74" s="448"/>
      <c r="H74" s="448"/>
      <c r="I74" s="448"/>
      <c r="J74" s="448"/>
      <c r="K74" s="448"/>
    </row>
    <row r="75" spans="2:11" ht="17.25" customHeight="1" x14ac:dyDescent="0.35">
      <c r="B75" s="386">
        <v>7</v>
      </c>
      <c r="C75" s="448" t="s">
        <v>379</v>
      </c>
      <c r="D75" s="448"/>
      <c r="E75" s="448"/>
      <c r="F75" s="448"/>
      <c r="G75" s="448"/>
      <c r="H75" s="448"/>
      <c r="I75" s="448"/>
      <c r="J75" s="448"/>
      <c r="K75" s="448"/>
    </row>
    <row r="76" spans="2:11" ht="34.5" customHeight="1" x14ac:dyDescent="0.35">
      <c r="B76" s="386">
        <v>8</v>
      </c>
      <c r="C76" s="448" t="s">
        <v>381</v>
      </c>
      <c r="D76" s="448"/>
      <c r="E76" s="448"/>
      <c r="F76" s="448"/>
      <c r="G76" s="448"/>
      <c r="H76" s="448"/>
      <c r="I76" s="448"/>
      <c r="J76" s="448"/>
      <c r="K76" s="448"/>
    </row>
    <row r="77" spans="2:11" ht="16.5" x14ac:dyDescent="0.35">
      <c r="B77" s="300"/>
      <c r="C77" s="448"/>
      <c r="D77" s="448"/>
      <c r="E77" s="448"/>
      <c r="F77" s="448"/>
      <c r="G77" s="448"/>
      <c r="H77" s="448"/>
      <c r="I77" s="448"/>
      <c r="J77" s="448"/>
      <c r="K77" s="448"/>
    </row>
    <row r="78" spans="2:11" ht="16.5" x14ac:dyDescent="0.35">
      <c r="B78" s="300"/>
    </row>
    <row r="79" spans="2:11" ht="16.5" x14ac:dyDescent="0.35">
      <c r="B79" s="300"/>
    </row>
    <row r="80" spans="2:11" ht="16.5" x14ac:dyDescent="0.35">
      <c r="B80" s="300"/>
    </row>
    <row r="81" spans="2:2" ht="16.5" x14ac:dyDescent="0.35">
      <c r="B81" s="300"/>
    </row>
  </sheetData>
  <mergeCells count="17">
    <mergeCell ref="C74:K74"/>
    <mergeCell ref="C75:K75"/>
    <mergeCell ref="C76:K76"/>
    <mergeCell ref="C77:K77"/>
    <mergeCell ref="C69:K69"/>
    <mergeCell ref="C70:K70"/>
    <mergeCell ref="C71:K71"/>
    <mergeCell ref="C72:K72"/>
    <mergeCell ref="C73:K73"/>
    <mergeCell ref="E51:H51"/>
    <mergeCell ref="I9:I10"/>
    <mergeCell ref="H9:H10"/>
    <mergeCell ref="B1:K1"/>
    <mergeCell ref="B2:K2"/>
    <mergeCell ref="J3:K3"/>
    <mergeCell ref="B8:K8"/>
    <mergeCell ref="E48:H48"/>
  </mergeCells>
  <printOptions horizontalCentered="1"/>
  <pageMargins left="0.38" right="0.4" top="0.48" bottom="0.75" header="0.3" footer="0.3"/>
  <pageSetup scale="52" firstPageNumber="45" orientation="portrait" useFirstPageNumber="1" r:id="rId1"/>
  <headerFooter>
    <oddFooter>&amp;L&amp;"Arial,Regular"&amp;8GVEA - North Pole Facility
PM2.5 NAA BACT Analysis&amp;C&amp;"Arial,Regular"&amp;8Page 52&amp;R&amp;"Arial,Regular"&amp;8August 2017</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79998168889431442"/>
    <pageSetUpPr fitToPage="1"/>
  </sheetPr>
  <dimension ref="B1:L67"/>
  <sheetViews>
    <sheetView zoomScale="70" zoomScaleNormal="70" zoomScalePageLayoutView="70" workbookViewId="0">
      <selection activeCell="O44" sqref="O44"/>
    </sheetView>
  </sheetViews>
  <sheetFormatPr defaultRowHeight="14.5" x14ac:dyDescent="0.35"/>
  <cols>
    <col min="1" max="1" width="3" customWidth="1"/>
    <col min="2" max="3" width="6" customWidth="1"/>
    <col min="4" max="4" width="56.54296875" customWidth="1"/>
    <col min="5" max="5" width="14.26953125" bestFit="1" customWidth="1"/>
    <col min="6" max="6" width="14.26953125" customWidth="1"/>
    <col min="7" max="7" width="15.453125" customWidth="1"/>
    <col min="8" max="8" width="24" customWidth="1"/>
    <col min="9" max="9" width="20.54296875" customWidth="1"/>
    <col min="10" max="10" width="11.81640625" customWidth="1"/>
    <col min="11" max="11" width="13.26953125" customWidth="1"/>
  </cols>
  <sheetData>
    <row r="1" spans="2:11" x14ac:dyDescent="0.35">
      <c r="B1" s="439" t="s">
        <v>356</v>
      </c>
      <c r="C1" s="439"/>
      <c r="D1" s="439"/>
      <c r="E1" s="439"/>
      <c r="F1" s="439"/>
      <c r="G1" s="439"/>
      <c r="H1" s="439"/>
      <c r="I1" s="439"/>
      <c r="J1" s="439"/>
      <c r="K1" s="439"/>
    </row>
    <row r="3" spans="2:11" ht="15" thickBot="1" x14ac:dyDescent="0.4">
      <c r="I3" s="450" t="s">
        <v>205</v>
      </c>
      <c r="J3" s="451"/>
      <c r="K3" s="452"/>
    </row>
    <row r="4" spans="2:11" ht="19" thickTop="1" x14ac:dyDescent="0.45">
      <c r="B4" s="98" t="s">
        <v>204</v>
      </c>
      <c r="C4" s="158"/>
      <c r="D4" s="96"/>
      <c r="E4" s="96"/>
      <c r="F4" s="96"/>
      <c r="G4" s="96"/>
      <c r="H4" s="96"/>
      <c r="I4" s="96"/>
      <c r="J4" s="95" t="s">
        <v>137</v>
      </c>
      <c r="K4" s="94"/>
    </row>
    <row r="5" spans="2:11" x14ac:dyDescent="0.35">
      <c r="B5" s="92" t="s">
        <v>203</v>
      </c>
      <c r="C5" s="11"/>
      <c r="D5" s="93" t="s">
        <v>308</v>
      </c>
      <c r="E5" s="11"/>
      <c r="F5" s="11"/>
      <c r="G5" s="11"/>
      <c r="H5" s="11"/>
      <c r="I5" s="11"/>
      <c r="J5" s="40" t="s">
        <v>135</v>
      </c>
      <c r="K5" s="91"/>
    </row>
    <row r="6" spans="2:11" x14ac:dyDescent="0.35">
      <c r="B6" s="92"/>
      <c r="C6" s="11"/>
      <c r="D6" s="11"/>
      <c r="E6" s="11"/>
      <c r="F6" s="11"/>
      <c r="G6" s="11"/>
      <c r="H6" s="11"/>
      <c r="I6" s="11"/>
      <c r="J6" s="40" t="s">
        <v>133</v>
      </c>
      <c r="K6" s="91"/>
    </row>
    <row r="7" spans="2:11" ht="15" thickBot="1" x14ac:dyDescent="0.4">
      <c r="B7" s="90" t="s">
        <v>299</v>
      </c>
      <c r="C7" s="89"/>
      <c r="D7" s="89"/>
      <c r="E7" s="89"/>
      <c r="F7" s="89"/>
      <c r="G7" s="89"/>
      <c r="H7" s="89"/>
      <c r="I7" s="89"/>
      <c r="J7" s="88" t="s">
        <v>132</v>
      </c>
      <c r="K7" s="87"/>
    </row>
    <row r="8" spans="2:11" ht="16" thickBot="1" x14ac:dyDescent="0.4">
      <c r="B8" s="453" t="s">
        <v>202</v>
      </c>
      <c r="C8" s="454"/>
      <c r="D8" s="454"/>
      <c r="E8" s="454"/>
      <c r="F8" s="454"/>
      <c r="G8" s="454"/>
      <c r="H8" s="454"/>
      <c r="I8" s="454"/>
      <c r="J8" s="454"/>
      <c r="K8" s="455"/>
    </row>
    <row r="9" spans="2:11" ht="15.5" x14ac:dyDescent="0.35">
      <c r="B9" s="157" t="s">
        <v>201</v>
      </c>
      <c r="C9" s="156"/>
      <c r="D9" s="107"/>
      <c r="E9" s="155" t="s">
        <v>129</v>
      </c>
      <c r="F9" s="155" t="s">
        <v>128</v>
      </c>
      <c r="G9" s="154" t="s">
        <v>127</v>
      </c>
      <c r="H9" s="153" t="s">
        <v>126</v>
      </c>
      <c r="I9" s="153" t="s">
        <v>125</v>
      </c>
      <c r="J9" s="107"/>
      <c r="K9" s="152" t="s">
        <v>200</v>
      </c>
    </row>
    <row r="10" spans="2:11" x14ac:dyDescent="0.35">
      <c r="B10" s="134" t="s">
        <v>124</v>
      </c>
      <c r="C10" s="11" t="s">
        <v>199</v>
      </c>
      <c r="D10" s="11"/>
      <c r="E10" s="151">
        <f>E13*2</f>
        <v>730</v>
      </c>
      <c r="F10" s="26" t="s">
        <v>113</v>
      </c>
      <c r="G10" s="294">
        <v>105</v>
      </c>
      <c r="H10" s="23"/>
      <c r="I10" s="24">
        <f>E10*G10</f>
        <v>76650</v>
      </c>
      <c r="J10" s="136"/>
      <c r="K10" s="38">
        <f>I10</f>
        <v>76650</v>
      </c>
    </row>
    <row r="11" spans="2:11" x14ac:dyDescent="0.35">
      <c r="B11" s="134" t="s">
        <v>101</v>
      </c>
      <c r="C11" s="11" t="s">
        <v>198</v>
      </c>
      <c r="D11" s="11"/>
      <c r="E11" s="151">
        <f>E13/2</f>
        <v>182.5</v>
      </c>
      <c r="F11" s="26" t="s">
        <v>113</v>
      </c>
      <c r="G11" s="294">
        <v>125</v>
      </c>
      <c r="H11" s="23"/>
      <c r="I11" s="24">
        <f>E11*G11</f>
        <v>22812.5</v>
      </c>
      <c r="J11" s="136"/>
      <c r="K11" s="38">
        <f t="shared" ref="K11:K12" si="0">I11</f>
        <v>22812.5</v>
      </c>
    </row>
    <row r="12" spans="2:11" x14ac:dyDescent="0.35">
      <c r="B12" s="134" t="s">
        <v>67</v>
      </c>
      <c r="C12" s="11" t="s">
        <v>197</v>
      </c>
      <c r="D12" s="11"/>
      <c r="E12" s="247">
        <f>E16*1.29</f>
        <v>35411.809918689287</v>
      </c>
      <c r="F12" s="62" t="s">
        <v>178</v>
      </c>
      <c r="G12" s="104">
        <f>0.7*(1.05^25)</f>
        <v>2.37044845862957</v>
      </c>
      <c r="H12" s="24"/>
      <c r="I12" s="24">
        <f>E12*G12</f>
        <v>83941.870239040334</v>
      </c>
      <c r="J12" s="136"/>
      <c r="K12" s="38">
        <f t="shared" si="0"/>
        <v>83941.870239040334</v>
      </c>
    </row>
    <row r="13" spans="2:11" x14ac:dyDescent="0.35">
      <c r="B13" s="134" t="s">
        <v>65</v>
      </c>
      <c r="C13" s="456" t="s">
        <v>196</v>
      </c>
      <c r="D13" s="457"/>
      <c r="E13" s="151">
        <f>365*E56/100</f>
        <v>365</v>
      </c>
      <c r="F13" s="62" t="s">
        <v>113</v>
      </c>
      <c r="G13" s="294">
        <v>105</v>
      </c>
      <c r="H13" s="24"/>
      <c r="I13" s="24">
        <f>E13*G13</f>
        <v>38325</v>
      </c>
      <c r="J13" s="136"/>
      <c r="K13" s="38">
        <f>I13</f>
        <v>38325</v>
      </c>
    </row>
    <row r="14" spans="2:11" x14ac:dyDescent="0.35">
      <c r="B14" s="134" t="s">
        <v>59</v>
      </c>
      <c r="C14" s="11" t="s">
        <v>195</v>
      </c>
      <c r="D14" s="11"/>
      <c r="E14" s="294"/>
      <c r="F14" s="62" t="s">
        <v>84</v>
      </c>
      <c r="G14" s="294"/>
      <c r="H14" s="24">
        <f>E14*G14</f>
        <v>0</v>
      </c>
      <c r="I14" s="24" t="s">
        <v>194</v>
      </c>
      <c r="J14" s="136"/>
      <c r="K14" s="38">
        <f>H14</f>
        <v>0</v>
      </c>
    </row>
    <row r="15" spans="2:11" x14ac:dyDescent="0.35">
      <c r="B15" s="134" t="s">
        <v>56</v>
      </c>
      <c r="C15" s="11" t="s">
        <v>193</v>
      </c>
      <c r="D15" s="11"/>
      <c r="E15" s="26"/>
      <c r="F15" s="26"/>
      <c r="G15" s="24"/>
      <c r="H15" s="24"/>
      <c r="I15" s="24"/>
      <c r="J15" s="136"/>
      <c r="K15" s="38"/>
    </row>
    <row r="16" spans="2:11" x14ac:dyDescent="0.35">
      <c r="B16" s="92"/>
      <c r="C16" s="138" t="s">
        <v>192</v>
      </c>
      <c r="D16" s="11" t="s">
        <v>191</v>
      </c>
      <c r="E16" s="247">
        <f>E18*0.81*7.21/(8.34*1000)</f>
        <v>27451.015440844407</v>
      </c>
      <c r="F16" s="26" t="s">
        <v>178</v>
      </c>
      <c r="G16" s="104">
        <f>0.384*(1.05^25)</f>
        <v>1.3003602973053643</v>
      </c>
      <c r="H16" s="24">
        <f>E16*G16</f>
        <v>35696.210599990576</v>
      </c>
      <c r="I16" s="150"/>
      <c r="J16" s="136"/>
      <c r="K16" s="38">
        <f>H16</f>
        <v>35696.210599990576</v>
      </c>
    </row>
    <row r="17" spans="2:11" x14ac:dyDescent="0.35">
      <c r="B17" s="92"/>
      <c r="C17" s="138" t="s">
        <v>190</v>
      </c>
      <c r="D17" s="11" t="s">
        <v>189</v>
      </c>
      <c r="E17" s="247">
        <f>64.8*0.161*7992</f>
        <v>83378.937600000005</v>
      </c>
      <c r="F17" s="26" t="s">
        <v>188</v>
      </c>
      <c r="G17" s="294">
        <v>0.18</v>
      </c>
      <c r="H17" s="24">
        <f>E17*G17</f>
        <v>15008.208768</v>
      </c>
      <c r="I17" s="24"/>
      <c r="J17" s="136"/>
      <c r="K17" s="38">
        <f>H17</f>
        <v>15008.208768</v>
      </c>
    </row>
    <row r="18" spans="2:11" x14ac:dyDescent="0.35">
      <c r="B18" s="92"/>
      <c r="C18" s="138" t="s">
        <v>187</v>
      </c>
      <c r="D18" s="11" t="s">
        <v>186</v>
      </c>
      <c r="E18" s="247">
        <f>672/137*1000*7992</f>
        <v>39201635.036496349</v>
      </c>
      <c r="F18" s="26" t="s">
        <v>183</v>
      </c>
      <c r="G18" s="24"/>
      <c r="H18" s="24"/>
      <c r="I18" s="24"/>
      <c r="J18" s="136"/>
      <c r="K18" s="38"/>
    </row>
    <row r="19" spans="2:11" x14ac:dyDescent="0.35">
      <c r="B19" s="92"/>
      <c r="C19" s="138" t="s">
        <v>185</v>
      </c>
      <c r="D19" s="11" t="s">
        <v>184</v>
      </c>
      <c r="E19" s="247">
        <f>E18*0.035*0.81</f>
        <v>1111366.3532846717</v>
      </c>
      <c r="F19" s="26" t="s">
        <v>183</v>
      </c>
      <c r="G19" s="294">
        <v>1.7</v>
      </c>
      <c r="H19" s="24">
        <f>E19*G19</f>
        <v>1889322.8005839419</v>
      </c>
      <c r="I19" s="24"/>
      <c r="J19" s="136"/>
      <c r="K19" s="38">
        <f>H19</f>
        <v>1889322.8005839419</v>
      </c>
    </row>
    <row r="20" spans="2:11" x14ac:dyDescent="0.35">
      <c r="B20" s="92"/>
      <c r="C20" s="138" t="s">
        <v>182</v>
      </c>
      <c r="D20" s="138" t="s">
        <v>181</v>
      </c>
      <c r="E20" s="247">
        <f>E16*1.3*1.29</f>
        <v>46035.352894296077</v>
      </c>
      <c r="F20" s="26" t="s">
        <v>178</v>
      </c>
      <c r="G20" s="104">
        <f>1.97*(1.05^25)</f>
        <v>6.6711192335717904</v>
      </c>
      <c r="H20" s="24">
        <f>E20*G20</f>
        <v>307107.32811740332</v>
      </c>
      <c r="I20" s="24"/>
      <c r="J20" s="136"/>
      <c r="K20" s="38">
        <f>H20</f>
        <v>307107.32811740332</v>
      </c>
    </row>
    <row r="21" spans="2:11" x14ac:dyDescent="0.35">
      <c r="B21" s="92"/>
      <c r="C21" s="138" t="s">
        <v>180</v>
      </c>
      <c r="D21" s="138" t="s">
        <v>179</v>
      </c>
      <c r="E21" s="247">
        <f>E20*0.29</f>
        <v>13350.252339345861</v>
      </c>
      <c r="F21" s="26" t="s">
        <v>178</v>
      </c>
      <c r="G21" s="104">
        <f>3.82*(1.05^25)</f>
        <v>12.935875874235654</v>
      </c>
      <c r="H21" s="24">
        <f>E21*G21</f>
        <v>172697.20715150223</v>
      </c>
      <c r="I21" s="24"/>
      <c r="J21" s="136"/>
      <c r="K21" s="38">
        <f>H21</f>
        <v>172697.20715150223</v>
      </c>
    </row>
    <row r="22" spans="2:11" x14ac:dyDescent="0.35">
      <c r="B22" s="92"/>
      <c r="C22" s="138" t="s">
        <v>177</v>
      </c>
      <c r="D22" s="138" t="s">
        <v>176</v>
      </c>
      <c r="E22" s="104">
        <f>(2126.8-1819.6)*(60)*2*2.2/2000</f>
        <v>40.550400000000039</v>
      </c>
      <c r="F22" s="26" t="s">
        <v>92</v>
      </c>
      <c r="G22" s="294">
        <v>356</v>
      </c>
      <c r="H22" s="24">
        <f>E22*G22</f>
        <v>14435.942400000014</v>
      </c>
      <c r="I22" s="24"/>
      <c r="J22" s="136"/>
      <c r="K22" s="38">
        <f>H22</f>
        <v>14435.942400000014</v>
      </c>
    </row>
    <row r="23" spans="2:11" ht="16.5" x14ac:dyDescent="0.35">
      <c r="B23" s="92"/>
      <c r="C23" s="138" t="s">
        <v>305</v>
      </c>
      <c r="D23" s="138" t="s">
        <v>306</v>
      </c>
      <c r="E23" s="104"/>
      <c r="F23" s="26" t="s">
        <v>188</v>
      </c>
      <c r="G23" s="294">
        <v>0.18</v>
      </c>
      <c r="H23" s="299" t="s">
        <v>57</v>
      </c>
      <c r="I23" s="24"/>
      <c r="J23" s="136"/>
      <c r="K23" s="38">
        <f>E23*G23</f>
        <v>0</v>
      </c>
    </row>
    <row r="24" spans="2:11" x14ac:dyDescent="0.35">
      <c r="B24" s="92"/>
      <c r="C24" s="138"/>
      <c r="D24" s="138"/>
      <c r="E24" s="150"/>
      <c r="F24" s="26"/>
      <c r="G24" s="150"/>
      <c r="H24" s="24"/>
      <c r="I24" s="24"/>
      <c r="J24" s="136"/>
      <c r="K24" s="38"/>
    </row>
    <row r="25" spans="2:11" x14ac:dyDescent="0.35">
      <c r="B25" s="134" t="s">
        <v>175</v>
      </c>
      <c r="C25" s="138" t="s">
        <v>257</v>
      </c>
      <c r="D25" s="11"/>
      <c r="E25" s="26"/>
      <c r="F25" s="26"/>
      <c r="G25" s="24"/>
      <c r="H25" s="24"/>
      <c r="I25" s="24"/>
      <c r="J25" s="136"/>
      <c r="K25" s="38"/>
    </row>
    <row r="26" spans="2:11" x14ac:dyDescent="0.35">
      <c r="B26" s="92"/>
      <c r="C26" s="149" t="s">
        <v>99</v>
      </c>
      <c r="D26" s="138" t="s">
        <v>174</v>
      </c>
      <c r="E26" s="36">
        <v>0.3</v>
      </c>
      <c r="F26" s="26" t="s">
        <v>173</v>
      </c>
      <c r="G26" s="24">
        <f>'3-6 EU 2 SCR_WI TCI'!H14</f>
        <v>5000000</v>
      </c>
      <c r="H26" s="10">
        <f>G26*E26</f>
        <v>1500000</v>
      </c>
      <c r="I26" s="24"/>
      <c r="J26" s="136"/>
      <c r="K26" s="38">
        <f>H26*E31</f>
        <v>475812.84694686718</v>
      </c>
    </row>
    <row r="27" spans="2:11" x14ac:dyDescent="0.35">
      <c r="B27" s="92"/>
      <c r="C27" s="149" t="s">
        <v>96</v>
      </c>
      <c r="D27" s="138" t="s">
        <v>172</v>
      </c>
      <c r="E27" s="294">
        <v>180</v>
      </c>
      <c r="F27" s="26" t="s">
        <v>113</v>
      </c>
      <c r="G27" s="294">
        <v>105</v>
      </c>
      <c r="H27" s="147"/>
      <c r="I27" s="24">
        <f>E27*G27</f>
        <v>18900</v>
      </c>
      <c r="J27" s="136"/>
      <c r="K27" s="38">
        <f>I27*E31</f>
        <v>5995.2418715305266</v>
      </c>
    </row>
    <row r="28" spans="2:11" x14ac:dyDescent="0.35">
      <c r="B28" s="92"/>
      <c r="C28" s="149" t="s">
        <v>94</v>
      </c>
      <c r="D28" s="138" t="s">
        <v>171</v>
      </c>
      <c r="E28" s="36">
        <v>0.13</v>
      </c>
      <c r="F28" s="26" t="s">
        <v>169</v>
      </c>
      <c r="G28" s="24"/>
      <c r="H28" s="147"/>
      <c r="I28" s="24">
        <f>E28*(H26)</f>
        <v>195000</v>
      </c>
      <c r="J28" s="136"/>
      <c r="K28" s="38">
        <f>I28*E31</f>
        <v>61855.670103092736</v>
      </c>
    </row>
    <row r="29" spans="2:11" x14ac:dyDescent="0.35">
      <c r="B29" s="92"/>
      <c r="C29" s="149" t="s">
        <v>91</v>
      </c>
      <c r="D29" s="138" t="s">
        <v>170</v>
      </c>
      <c r="E29" s="36">
        <v>0.13</v>
      </c>
      <c r="F29" s="26" t="s">
        <v>169</v>
      </c>
      <c r="G29" s="24"/>
      <c r="H29" s="147"/>
      <c r="I29" s="24">
        <f>E29*H26</f>
        <v>195000</v>
      </c>
      <c r="J29" s="136"/>
      <c r="K29" s="38">
        <f>I29*E31</f>
        <v>61855.670103092736</v>
      </c>
    </row>
    <row r="30" spans="2:11" x14ac:dyDescent="0.35">
      <c r="B30" s="92"/>
      <c r="C30" s="149"/>
      <c r="D30" s="138"/>
      <c r="E30" s="148"/>
      <c r="F30" s="26"/>
      <c r="G30" s="24"/>
      <c r="H30" s="147"/>
      <c r="I30" s="24"/>
      <c r="J30" s="136"/>
      <c r="K30" s="38"/>
    </row>
    <row r="31" spans="2:11" x14ac:dyDescent="0.35">
      <c r="B31" s="146" t="s">
        <v>168</v>
      </c>
      <c r="C31" s="142"/>
      <c r="D31" s="11"/>
      <c r="E31" s="137">
        <f>($E$53/100)/(POWER(1+($E$53/100),($E$55)/($E$56/100))-1)</f>
        <v>0.3172085646312448</v>
      </c>
      <c r="F31" s="40"/>
      <c r="G31" s="136"/>
      <c r="H31" s="24"/>
      <c r="I31" s="141"/>
      <c r="J31" s="24"/>
      <c r="K31" s="38"/>
    </row>
    <row r="32" spans="2:11" x14ac:dyDescent="0.35">
      <c r="B32" s="146"/>
      <c r="C32" s="142"/>
      <c r="D32" s="11"/>
      <c r="E32" s="137"/>
      <c r="F32" s="40"/>
      <c r="G32" s="136"/>
      <c r="H32" s="24"/>
      <c r="I32" s="141"/>
      <c r="J32" s="24"/>
      <c r="K32" s="38"/>
    </row>
    <row r="33" spans="2:12" x14ac:dyDescent="0.35">
      <c r="B33" s="130" t="s">
        <v>167</v>
      </c>
      <c r="C33" s="129"/>
      <c r="D33" s="145"/>
      <c r="E33" s="144"/>
      <c r="F33" s="126"/>
      <c r="G33" s="143"/>
      <c r="H33" s="44"/>
      <c r="I33" s="124"/>
      <c r="J33" s="117" t="s">
        <v>166</v>
      </c>
      <c r="K33" s="116">
        <f>SUM(K10:K32)</f>
        <v>3261516.4968844615</v>
      </c>
    </row>
    <row r="34" spans="2:12" x14ac:dyDescent="0.35">
      <c r="B34" s="92"/>
      <c r="C34" s="142"/>
      <c r="D34" s="11"/>
      <c r="E34" s="26"/>
      <c r="F34" s="11"/>
      <c r="G34" s="24"/>
      <c r="H34" s="24"/>
      <c r="I34" s="141"/>
      <c r="J34" s="140"/>
      <c r="K34" s="38"/>
    </row>
    <row r="35" spans="2:12" ht="15.5" x14ac:dyDescent="0.35">
      <c r="B35" s="15" t="s">
        <v>165</v>
      </c>
      <c r="C35" s="41"/>
      <c r="D35" s="11"/>
      <c r="E35" s="26"/>
      <c r="F35" s="26"/>
      <c r="G35" s="24"/>
      <c r="H35" s="24"/>
      <c r="I35" s="24"/>
      <c r="J35" s="24"/>
      <c r="K35" s="38"/>
    </row>
    <row r="36" spans="2:12" x14ac:dyDescent="0.35">
      <c r="B36" s="134" t="s">
        <v>164</v>
      </c>
      <c r="C36" s="11" t="s">
        <v>163</v>
      </c>
      <c r="D36" s="11"/>
      <c r="E36" s="139">
        <v>0.3</v>
      </c>
      <c r="F36" s="26" t="s">
        <v>162</v>
      </c>
      <c r="G36" s="24"/>
      <c r="H36" s="23"/>
      <c r="I36" s="24">
        <f>E36*I12</f>
        <v>25182.561071712098</v>
      </c>
      <c r="J36" s="136"/>
      <c r="K36" s="38">
        <f>I36</f>
        <v>25182.561071712098</v>
      </c>
    </row>
    <row r="37" spans="2:12" x14ac:dyDescent="0.35">
      <c r="B37" s="134" t="s">
        <v>161</v>
      </c>
      <c r="C37" s="11" t="s">
        <v>160</v>
      </c>
      <c r="D37" s="11"/>
      <c r="E37" s="139">
        <v>0.04</v>
      </c>
      <c r="F37" s="26" t="s">
        <v>159</v>
      </c>
      <c r="G37" s="24"/>
      <c r="H37" s="23"/>
      <c r="I37" s="24">
        <f>E37*'3-6 EU 2 SCR_WI TCI'!K66</f>
        <v>1250505.6000000001</v>
      </c>
      <c r="J37" s="136"/>
      <c r="K37" s="38">
        <f>I37</f>
        <v>1250505.6000000001</v>
      </c>
    </row>
    <row r="38" spans="2:12" x14ac:dyDescent="0.35">
      <c r="B38" s="134"/>
      <c r="C38" s="138" t="s">
        <v>158</v>
      </c>
      <c r="D38" s="11"/>
      <c r="E38" s="137">
        <f>($E$53/100*POWER((1+($E$53/100)),$E$54))/((POWER(((1+$E$53/100)),$E$54))-1)</f>
        <v>8.0242587190691314E-2</v>
      </c>
      <c r="F38" s="62"/>
      <c r="G38" s="24"/>
      <c r="H38" s="24"/>
      <c r="I38" s="24"/>
      <c r="J38" s="136"/>
      <c r="K38" s="135"/>
      <c r="L38" s="131"/>
    </row>
    <row r="39" spans="2:12" x14ac:dyDescent="0.35">
      <c r="B39" s="134" t="s">
        <v>157</v>
      </c>
      <c r="C39" s="11" t="s">
        <v>156</v>
      </c>
      <c r="D39" s="11"/>
      <c r="E39" s="11"/>
      <c r="F39" s="11"/>
      <c r="G39" s="24"/>
      <c r="H39" s="133"/>
      <c r="I39" s="24"/>
      <c r="J39" s="132" t="s">
        <v>155</v>
      </c>
      <c r="K39" s="38">
        <f>E38*'3-6 EU 2 SCR_WI TCI'!K66</f>
        <v>2508595.116011194</v>
      </c>
      <c r="L39" s="131"/>
    </row>
    <row r="40" spans="2:12" x14ac:dyDescent="0.35">
      <c r="B40" s="92"/>
      <c r="C40" s="11"/>
      <c r="D40" s="11"/>
      <c r="E40" s="26"/>
      <c r="F40" s="11"/>
      <c r="G40" s="24"/>
      <c r="H40" s="24"/>
      <c r="I40" s="24"/>
      <c r="J40" s="24"/>
      <c r="K40" s="38"/>
    </row>
    <row r="41" spans="2:12" x14ac:dyDescent="0.35">
      <c r="B41" s="130" t="s">
        <v>154</v>
      </c>
      <c r="C41" s="129"/>
      <c r="D41" s="128"/>
      <c r="E41" s="127"/>
      <c r="F41" s="126"/>
      <c r="G41" s="124"/>
      <c r="H41" s="125"/>
      <c r="I41" s="124"/>
      <c r="J41" s="117" t="s">
        <v>153</v>
      </c>
      <c r="K41" s="116">
        <f>SUM(K34:K39)</f>
        <v>3784283.2770829061</v>
      </c>
    </row>
    <row r="42" spans="2:12" x14ac:dyDescent="0.35">
      <c r="B42" s="123"/>
      <c r="C42" s="122"/>
      <c r="D42" s="11"/>
      <c r="E42" s="26"/>
      <c r="F42" s="11"/>
      <c r="G42" s="24"/>
      <c r="H42" s="24"/>
      <c r="I42" s="24"/>
      <c r="J42" s="24"/>
      <c r="K42" s="38"/>
    </row>
    <row r="43" spans="2:12" ht="15.5" x14ac:dyDescent="0.35">
      <c r="B43" s="121" t="s">
        <v>152</v>
      </c>
      <c r="C43" s="120"/>
      <c r="D43" s="119"/>
      <c r="E43" s="295"/>
      <c r="F43" s="119"/>
      <c r="G43" s="44"/>
      <c r="H43" s="118"/>
      <c r="I43" s="44"/>
      <c r="J43" s="117" t="s">
        <v>151</v>
      </c>
      <c r="K43" s="116">
        <f>K33+K41</f>
        <v>7045799.7739673676</v>
      </c>
    </row>
    <row r="44" spans="2:12" ht="15" thickBot="1" x14ac:dyDescent="0.4">
      <c r="B44" s="92"/>
      <c r="C44" s="11"/>
      <c r="D44" s="11"/>
      <c r="E44" s="26"/>
      <c r="F44" s="11"/>
      <c r="G44" s="11"/>
      <c r="H44" s="11"/>
      <c r="I44" s="11"/>
      <c r="J44" s="11"/>
      <c r="K44" s="75"/>
    </row>
    <row r="45" spans="2:12" ht="16" thickBot="1" x14ac:dyDescent="0.4">
      <c r="B45" s="458" t="s">
        <v>150</v>
      </c>
      <c r="C45" s="459"/>
      <c r="D45" s="459"/>
      <c r="E45" s="459"/>
      <c r="F45" s="459"/>
      <c r="G45" s="459"/>
      <c r="H45" s="459"/>
      <c r="I45" s="459"/>
      <c r="J45" s="459"/>
      <c r="K45" s="460"/>
    </row>
    <row r="46" spans="2:12" ht="11.25" customHeight="1" x14ac:dyDescent="0.35">
      <c r="B46" s="92"/>
      <c r="C46" s="11"/>
      <c r="D46" s="11"/>
      <c r="E46" s="11"/>
      <c r="F46" s="11"/>
      <c r="G46" s="11"/>
      <c r="H46" s="11"/>
      <c r="I46" s="11"/>
      <c r="J46" s="11"/>
      <c r="K46" s="75"/>
    </row>
    <row r="47" spans="2:12" ht="15.5" x14ac:dyDescent="0.35">
      <c r="B47" s="15" t="s">
        <v>149</v>
      </c>
      <c r="C47" s="41"/>
      <c r="D47" s="11"/>
      <c r="E47" s="11"/>
      <c r="F47" s="11"/>
      <c r="G47" s="11"/>
      <c r="H47" s="11"/>
      <c r="I47" s="11"/>
      <c r="J47" s="115" t="s">
        <v>148</v>
      </c>
      <c r="K47" s="301">
        <f>'3-3 Ranking-NOx'!F11</f>
        <v>2244.9208319999998</v>
      </c>
    </row>
    <row r="48" spans="2:12" x14ac:dyDescent="0.35">
      <c r="B48" s="92"/>
      <c r="C48" s="11"/>
      <c r="D48" s="11"/>
      <c r="E48" s="11"/>
      <c r="F48" s="11"/>
      <c r="G48" s="11"/>
      <c r="H48" s="11"/>
      <c r="I48" s="11"/>
      <c r="J48" s="11"/>
      <c r="K48" s="75"/>
    </row>
    <row r="49" spans="2:11" ht="15.5" x14ac:dyDescent="0.35">
      <c r="B49" s="15" t="s">
        <v>369</v>
      </c>
      <c r="C49" s="41"/>
      <c r="D49" s="11"/>
      <c r="E49" s="11"/>
      <c r="F49" s="11"/>
      <c r="G49" s="11"/>
      <c r="H49" s="327"/>
      <c r="I49" s="11"/>
      <c r="J49" s="328" t="s">
        <v>146</v>
      </c>
      <c r="K49" s="38">
        <f>K43/K47</f>
        <v>3138.5515576022631</v>
      </c>
    </row>
    <row r="50" spans="2:11" ht="18" thickBot="1" x14ac:dyDescent="0.4">
      <c r="B50" s="114" t="s">
        <v>371</v>
      </c>
      <c r="C50" s="113"/>
      <c r="D50" s="111"/>
      <c r="E50" s="111"/>
      <c r="F50" s="111"/>
      <c r="G50" s="111"/>
      <c r="H50" s="112"/>
      <c r="I50" s="111"/>
      <c r="J50" s="110" t="s">
        <v>146</v>
      </c>
      <c r="K50" s="109">
        <f>+K43/658</f>
        <v>10707.90239204767</v>
      </c>
    </row>
    <row r="51" spans="2:11" ht="15.5" thickTop="1" thickBot="1" x14ac:dyDescent="0.4"/>
    <row r="52" spans="2:11" x14ac:dyDescent="0.35">
      <c r="D52" s="108" t="s">
        <v>145</v>
      </c>
      <c r="E52" s="107"/>
      <c r="F52" s="106"/>
      <c r="G52" s="105"/>
    </row>
    <row r="53" spans="2:11" x14ac:dyDescent="0.35">
      <c r="D53" s="103" t="s">
        <v>144</v>
      </c>
      <c r="E53" s="104">
        <v>5</v>
      </c>
      <c r="F53" s="102" t="s">
        <v>110</v>
      </c>
    </row>
    <row r="54" spans="2:11" x14ac:dyDescent="0.35">
      <c r="D54" s="103" t="s">
        <v>143</v>
      </c>
      <c r="E54" s="293">
        <v>20</v>
      </c>
      <c r="F54" s="102" t="s">
        <v>141</v>
      </c>
    </row>
    <row r="55" spans="2:11" x14ac:dyDescent="0.35">
      <c r="D55" s="103" t="s">
        <v>142</v>
      </c>
      <c r="E55" s="294">
        <v>3</v>
      </c>
      <c r="F55" s="102" t="s">
        <v>141</v>
      </c>
    </row>
    <row r="56" spans="2:11" ht="15" thickBot="1" x14ac:dyDescent="0.4">
      <c r="D56" s="101" t="s">
        <v>140</v>
      </c>
      <c r="E56" s="100">
        <v>100</v>
      </c>
      <c r="F56" s="99" t="s">
        <v>110</v>
      </c>
    </row>
    <row r="59" spans="2:11" ht="17.25" customHeight="1" x14ac:dyDescent="0.35">
      <c r="B59" s="386">
        <v>1</v>
      </c>
      <c r="C59" s="448" t="s">
        <v>374</v>
      </c>
      <c r="D59" s="448"/>
      <c r="E59" s="448"/>
      <c r="F59" s="448"/>
      <c r="G59" s="448"/>
      <c r="H59" s="448"/>
      <c r="I59" s="448"/>
      <c r="J59" s="448"/>
      <c r="K59" s="448"/>
    </row>
    <row r="60" spans="2:11" ht="34.5" customHeight="1" x14ac:dyDescent="0.35">
      <c r="B60" s="386">
        <v>2</v>
      </c>
      <c r="C60" s="448" t="s">
        <v>375</v>
      </c>
      <c r="D60" s="448"/>
      <c r="E60" s="448"/>
      <c r="F60" s="448"/>
      <c r="G60" s="448"/>
      <c r="H60" s="448"/>
      <c r="I60" s="448"/>
      <c r="J60" s="448"/>
      <c r="K60" s="448"/>
    </row>
    <row r="61" spans="2:11" ht="34.5" customHeight="1" x14ac:dyDescent="0.35">
      <c r="B61" s="386">
        <v>3</v>
      </c>
      <c r="C61" s="448" t="s">
        <v>376</v>
      </c>
      <c r="D61" s="448"/>
      <c r="E61" s="448"/>
      <c r="F61" s="448"/>
      <c r="G61" s="448"/>
      <c r="H61" s="448"/>
      <c r="I61" s="448"/>
      <c r="J61" s="448"/>
      <c r="K61" s="448"/>
    </row>
    <row r="62" spans="2:11" ht="17.25" customHeight="1" x14ac:dyDescent="0.35">
      <c r="B62" s="386">
        <v>4</v>
      </c>
      <c r="C62" s="448" t="s">
        <v>377</v>
      </c>
      <c r="D62" s="448"/>
      <c r="E62" s="448"/>
      <c r="F62" s="448"/>
      <c r="G62" s="448"/>
      <c r="H62" s="448"/>
      <c r="I62" s="448"/>
      <c r="J62" s="448"/>
      <c r="K62" s="448"/>
    </row>
    <row r="63" spans="2:11" ht="34.5" customHeight="1" x14ac:dyDescent="0.35">
      <c r="B63" s="386">
        <v>5</v>
      </c>
      <c r="C63" s="448" t="s">
        <v>378</v>
      </c>
      <c r="D63" s="448"/>
      <c r="E63" s="448"/>
      <c r="F63" s="448"/>
      <c r="G63" s="448"/>
      <c r="H63" s="448"/>
      <c r="I63" s="448"/>
      <c r="J63" s="448"/>
      <c r="K63" s="448"/>
    </row>
    <row r="64" spans="2:11" ht="34.5" customHeight="1" x14ac:dyDescent="0.35">
      <c r="B64" s="386">
        <v>6</v>
      </c>
      <c r="C64" s="448" t="s">
        <v>380</v>
      </c>
      <c r="D64" s="448"/>
      <c r="E64" s="448"/>
      <c r="F64" s="448"/>
      <c r="G64" s="448"/>
      <c r="H64" s="448"/>
      <c r="I64" s="448"/>
      <c r="J64" s="448"/>
      <c r="K64" s="448"/>
    </row>
    <row r="65" spans="2:11" ht="17.25" customHeight="1" x14ac:dyDescent="0.35">
      <c r="B65" s="386">
        <v>7</v>
      </c>
      <c r="C65" s="448" t="s">
        <v>379</v>
      </c>
      <c r="D65" s="448"/>
      <c r="E65" s="448"/>
      <c r="F65" s="448"/>
      <c r="G65" s="448"/>
      <c r="H65" s="448"/>
      <c r="I65" s="448"/>
      <c r="J65" s="448"/>
      <c r="K65" s="448"/>
    </row>
    <row r="66" spans="2:11" ht="34.5" customHeight="1" x14ac:dyDescent="0.35">
      <c r="B66" s="386">
        <v>8</v>
      </c>
      <c r="C66" s="448" t="s">
        <v>381</v>
      </c>
      <c r="D66" s="448"/>
      <c r="E66" s="448"/>
      <c r="F66" s="448"/>
      <c r="G66" s="448"/>
      <c r="H66" s="448"/>
      <c r="I66" s="448"/>
      <c r="J66" s="448"/>
      <c r="K66" s="448"/>
    </row>
    <row r="67" spans="2:11" ht="16.5" x14ac:dyDescent="0.35">
      <c r="B67" s="386">
        <v>9</v>
      </c>
      <c r="C67" s="448" t="s">
        <v>382</v>
      </c>
      <c r="D67" s="448"/>
      <c r="E67" s="448"/>
      <c r="F67" s="448"/>
      <c r="G67" s="448"/>
      <c r="H67" s="448"/>
      <c r="I67" s="448"/>
      <c r="J67" s="448"/>
      <c r="K67" s="448"/>
    </row>
  </sheetData>
  <mergeCells count="14">
    <mergeCell ref="C64:K64"/>
    <mergeCell ref="C65:K65"/>
    <mergeCell ref="C66:K66"/>
    <mergeCell ref="C67:K67"/>
    <mergeCell ref="C59:K59"/>
    <mergeCell ref="C60:K60"/>
    <mergeCell ref="C61:K61"/>
    <mergeCell ref="C62:K62"/>
    <mergeCell ref="C63:K63"/>
    <mergeCell ref="I3:K3"/>
    <mergeCell ref="B8:K8"/>
    <mergeCell ref="C13:D13"/>
    <mergeCell ref="B45:K45"/>
    <mergeCell ref="B1:K1"/>
  </mergeCells>
  <printOptions horizontalCentered="1"/>
  <pageMargins left="0.38" right="0.4" top="0.48" bottom="0.75" header="0.3" footer="0.3"/>
  <pageSetup scale="53" firstPageNumber="45" orientation="portrait" useFirstPageNumber="1" r:id="rId1"/>
  <headerFooter>
    <oddFooter>&amp;L&amp;"Arial,Regular"&amp;8GVEA - North Pole Facility
PM2.5 NAA BACT Analysis&amp;C&amp;"Arial,Regular"&amp;8Page 53&amp;R&amp;"Arial,Regular"&amp;8August 2017</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79998168889431442"/>
    <pageSetUpPr fitToPage="1"/>
  </sheetPr>
  <dimension ref="B1:K73"/>
  <sheetViews>
    <sheetView topLeftCell="A4" zoomScale="90" zoomScaleNormal="90" zoomScalePageLayoutView="70" workbookViewId="0">
      <selection activeCell="M68" sqref="M68"/>
    </sheetView>
  </sheetViews>
  <sheetFormatPr defaultRowHeight="14.5" x14ac:dyDescent="0.35"/>
  <cols>
    <col min="1" max="1" width="2.26953125" customWidth="1"/>
    <col min="2" max="2" width="5.26953125" customWidth="1"/>
    <col min="3" max="3" width="6" customWidth="1"/>
    <col min="4" max="4" width="61.81640625" customWidth="1"/>
    <col min="5" max="5" width="10.1796875" customWidth="1"/>
    <col min="6" max="6" width="15.81640625" customWidth="1"/>
    <col min="7" max="7" width="11.7265625" customWidth="1"/>
    <col min="8" max="8" width="24.1796875" customWidth="1"/>
    <col min="9" max="9" width="17.54296875" customWidth="1"/>
    <col min="10" max="10" width="14.7265625" customWidth="1"/>
    <col min="11" max="11" width="17.26953125" customWidth="1"/>
    <col min="13" max="13" width="29.81640625" customWidth="1"/>
  </cols>
  <sheetData>
    <row r="1" spans="2:11" x14ac:dyDescent="0.35">
      <c r="B1" s="439" t="s">
        <v>357</v>
      </c>
      <c r="C1" s="439"/>
      <c r="D1" s="439"/>
      <c r="E1" s="439"/>
      <c r="F1" s="439"/>
      <c r="G1" s="439"/>
      <c r="H1" s="439"/>
      <c r="I1" s="439"/>
      <c r="J1" s="439"/>
      <c r="K1" s="439"/>
    </row>
    <row r="3" spans="2:11" ht="15" thickBot="1" x14ac:dyDescent="0.4">
      <c r="J3" s="440" t="s">
        <v>139</v>
      </c>
      <c r="K3" s="440"/>
    </row>
    <row r="4" spans="2:11" ht="19" thickTop="1" x14ac:dyDescent="0.45">
      <c r="B4" s="98" t="s">
        <v>206</v>
      </c>
      <c r="C4" s="97"/>
      <c r="D4" s="97"/>
      <c r="E4" s="96"/>
      <c r="F4" s="96"/>
      <c r="G4" s="96"/>
      <c r="H4" s="96"/>
      <c r="I4" s="96"/>
      <c r="J4" s="95" t="s">
        <v>137</v>
      </c>
      <c r="K4" s="94"/>
    </row>
    <row r="5" spans="2:11" x14ac:dyDescent="0.35">
      <c r="B5" s="92" t="s">
        <v>136</v>
      </c>
      <c r="C5" s="11"/>
      <c r="D5" s="93" t="s">
        <v>310</v>
      </c>
      <c r="E5" s="11"/>
      <c r="F5" s="11"/>
      <c r="G5" s="11"/>
      <c r="H5" s="11"/>
      <c r="I5" s="11"/>
      <c r="J5" s="40" t="s">
        <v>135</v>
      </c>
      <c r="K5" s="91"/>
    </row>
    <row r="6" spans="2:11" x14ac:dyDescent="0.35">
      <c r="B6" s="92"/>
      <c r="C6" s="11"/>
      <c r="D6" s="11"/>
      <c r="E6" s="11"/>
      <c r="F6" s="11"/>
      <c r="G6" s="11"/>
      <c r="H6" s="11"/>
      <c r="I6" s="11"/>
      <c r="J6" s="40" t="s">
        <v>133</v>
      </c>
      <c r="K6" s="91"/>
    </row>
    <row r="7" spans="2:11" ht="15" thickBot="1" x14ac:dyDescent="0.4">
      <c r="B7" s="90" t="s">
        <v>299</v>
      </c>
      <c r="C7" s="89"/>
      <c r="D7" s="89"/>
      <c r="E7" s="89"/>
      <c r="F7" s="89"/>
      <c r="G7" s="89"/>
      <c r="H7" s="89"/>
      <c r="I7" s="89"/>
      <c r="J7" s="88" t="s">
        <v>132</v>
      </c>
      <c r="K7" s="87"/>
    </row>
    <row r="8" spans="2:11" ht="36.75" customHeight="1" thickBot="1" x14ac:dyDescent="0.4">
      <c r="B8" s="442" t="s">
        <v>131</v>
      </c>
      <c r="C8" s="443"/>
      <c r="D8" s="443"/>
      <c r="E8" s="443"/>
      <c r="F8" s="443"/>
      <c r="G8" s="443"/>
      <c r="H8" s="443"/>
      <c r="I8" s="443"/>
      <c r="J8" s="443"/>
      <c r="K8" s="444"/>
    </row>
    <row r="9" spans="2:11" ht="19" thickTop="1" x14ac:dyDescent="0.45">
      <c r="B9" s="86" t="s">
        <v>130</v>
      </c>
      <c r="C9" s="82"/>
      <c r="D9" s="82"/>
      <c r="E9" s="85" t="s">
        <v>129</v>
      </c>
      <c r="F9" s="85" t="s">
        <v>128</v>
      </c>
      <c r="G9" s="84" t="s">
        <v>127</v>
      </c>
      <c r="H9" s="83" t="s">
        <v>126</v>
      </c>
      <c r="I9" s="83" t="s">
        <v>125</v>
      </c>
      <c r="J9" s="82"/>
      <c r="K9" s="81"/>
    </row>
    <row r="10" spans="2:11" ht="15.5" x14ac:dyDescent="0.35">
      <c r="B10" s="15"/>
      <c r="C10" s="11"/>
      <c r="D10" s="11"/>
      <c r="E10" s="80"/>
      <c r="F10" s="80"/>
      <c r="G10" s="79"/>
      <c r="H10" s="78"/>
      <c r="I10" s="78"/>
      <c r="J10" s="11"/>
      <c r="K10" s="77"/>
    </row>
    <row r="11" spans="2:11" ht="15.5" x14ac:dyDescent="0.35">
      <c r="B11" s="43" t="s">
        <v>124</v>
      </c>
      <c r="C11" s="41" t="s">
        <v>123</v>
      </c>
      <c r="D11" s="41"/>
      <c r="E11" s="11"/>
      <c r="F11" s="11"/>
      <c r="G11" s="11"/>
      <c r="H11" s="11"/>
      <c r="I11" s="11"/>
      <c r="J11" s="76"/>
      <c r="K11" s="75"/>
    </row>
    <row r="12" spans="2:11" ht="15.5" x14ac:dyDescent="0.35">
      <c r="B12" s="15"/>
      <c r="C12" s="41" t="s">
        <v>99</v>
      </c>
      <c r="D12" s="41" t="s">
        <v>122</v>
      </c>
      <c r="E12" s="11"/>
      <c r="F12" s="11"/>
      <c r="G12" s="11"/>
      <c r="H12" s="11"/>
      <c r="I12" s="11"/>
      <c r="J12" s="74"/>
      <c r="K12" s="47"/>
    </row>
    <row r="13" spans="2:11" ht="16.5" x14ac:dyDescent="0.35">
      <c r="B13" s="70"/>
      <c r="C13" s="69"/>
      <c r="D13" s="54" t="s">
        <v>311</v>
      </c>
      <c r="E13" s="294">
        <v>1</v>
      </c>
      <c r="F13" s="26" t="s">
        <v>63</v>
      </c>
      <c r="G13" s="73">
        <v>5000000</v>
      </c>
      <c r="H13" s="24">
        <f>E13*G13</f>
        <v>5000000</v>
      </c>
      <c r="I13" s="68"/>
      <c r="K13" s="75"/>
    </row>
    <row r="14" spans="2:11" x14ac:dyDescent="0.35">
      <c r="B14" s="70"/>
      <c r="C14" s="69"/>
      <c r="D14" s="54" t="s">
        <v>368</v>
      </c>
      <c r="E14" s="325">
        <v>1</v>
      </c>
      <c r="F14" s="26" t="s">
        <v>63</v>
      </c>
      <c r="G14" s="73">
        <v>4669000</v>
      </c>
      <c r="H14" s="24">
        <f>E14*G14</f>
        <v>4669000</v>
      </c>
      <c r="I14" s="68"/>
      <c r="J14" s="48" t="s">
        <v>105</v>
      </c>
      <c r="K14" s="47">
        <f>SUM(H13:H14)</f>
        <v>9669000</v>
      </c>
    </row>
    <row r="15" spans="2:11" x14ac:dyDescent="0.35">
      <c r="B15" s="70"/>
      <c r="C15" s="69"/>
      <c r="D15" s="54"/>
      <c r="E15" s="62"/>
      <c r="F15" s="62"/>
      <c r="G15" s="326"/>
      <c r="H15" s="24"/>
      <c r="I15" s="68"/>
      <c r="J15" s="48"/>
      <c r="K15" s="47"/>
    </row>
    <row r="16" spans="2:11" ht="15.5" x14ac:dyDescent="0.35">
      <c r="B16" s="70"/>
      <c r="C16" s="72" t="s">
        <v>96</v>
      </c>
      <c r="D16" s="72" t="s">
        <v>121</v>
      </c>
      <c r="E16" s="62"/>
      <c r="F16" s="62"/>
      <c r="G16" s="71"/>
      <c r="H16" s="68"/>
      <c r="I16" s="68"/>
      <c r="J16" s="48"/>
      <c r="K16" s="38"/>
    </row>
    <row r="17" spans="2:11" ht="16.5" x14ac:dyDescent="0.35">
      <c r="B17" s="70"/>
      <c r="C17" s="69"/>
      <c r="D17" s="54" t="s">
        <v>312</v>
      </c>
      <c r="E17" s="294"/>
      <c r="F17" s="62" t="s">
        <v>63</v>
      </c>
      <c r="G17" s="294"/>
      <c r="H17" s="24">
        <f>E17*G17</f>
        <v>0</v>
      </c>
      <c r="I17" s="68"/>
      <c r="J17" s="23"/>
      <c r="K17" s="38"/>
    </row>
    <row r="18" spans="2:11" x14ac:dyDescent="0.35">
      <c r="B18" s="67"/>
      <c r="C18" s="66"/>
      <c r="D18" s="64"/>
      <c r="E18" s="65"/>
      <c r="F18" s="65"/>
      <c r="G18" s="64"/>
      <c r="H18" s="63"/>
      <c r="I18" s="63"/>
      <c r="J18" s="48" t="s">
        <v>105</v>
      </c>
      <c r="K18" s="47">
        <f>SUM(H17:H17)</f>
        <v>0</v>
      </c>
    </row>
    <row r="19" spans="2:11" ht="15.5" x14ac:dyDescent="0.35">
      <c r="B19" s="52"/>
      <c r="C19" s="41" t="s">
        <v>94</v>
      </c>
      <c r="D19" s="41" t="s">
        <v>119</v>
      </c>
      <c r="E19" s="26"/>
      <c r="F19" s="26"/>
      <c r="G19" s="11"/>
      <c r="H19" s="24"/>
      <c r="I19" s="24"/>
      <c r="J19" s="23"/>
      <c r="K19" s="38"/>
    </row>
    <row r="20" spans="2:11" x14ac:dyDescent="0.35">
      <c r="B20" s="52"/>
      <c r="C20" s="37"/>
      <c r="D20" s="50"/>
      <c r="E20" s="294"/>
      <c r="F20" s="26" t="s">
        <v>117</v>
      </c>
      <c r="G20" s="36"/>
      <c r="H20" s="24"/>
      <c r="I20" s="24">
        <v>0</v>
      </c>
      <c r="J20" s="23"/>
      <c r="K20" s="38"/>
    </row>
    <row r="21" spans="2:11" x14ac:dyDescent="0.35">
      <c r="B21" s="56"/>
      <c r="C21" s="54"/>
      <c r="D21" s="54"/>
      <c r="E21" s="55"/>
      <c r="F21" s="55"/>
      <c r="G21" s="54"/>
      <c r="H21" s="53"/>
      <c r="I21" s="53"/>
      <c r="J21" s="48" t="s">
        <v>105</v>
      </c>
      <c r="K21" s="47">
        <f>SUM(I20:I20)</f>
        <v>0</v>
      </c>
    </row>
    <row r="22" spans="2:11" ht="15.5" x14ac:dyDescent="0.35">
      <c r="B22" s="52"/>
      <c r="C22" s="41" t="s">
        <v>91</v>
      </c>
      <c r="D22" s="41" t="s">
        <v>116</v>
      </c>
      <c r="E22" s="26"/>
      <c r="F22" s="26"/>
      <c r="G22" s="11"/>
      <c r="H22" s="24"/>
      <c r="I22" s="24"/>
      <c r="J22" s="23"/>
      <c r="K22" s="38"/>
    </row>
    <row r="23" spans="2:11" x14ac:dyDescent="0.35">
      <c r="B23" s="60"/>
      <c r="C23" s="50"/>
      <c r="D23" s="54" t="s">
        <v>115</v>
      </c>
      <c r="E23" s="35"/>
      <c r="F23" s="51" t="s">
        <v>113</v>
      </c>
      <c r="G23" s="61"/>
      <c r="H23" s="49"/>
      <c r="I23" s="49">
        <f>E23*G23</f>
        <v>0</v>
      </c>
      <c r="J23" s="58"/>
      <c r="K23" s="57"/>
    </row>
    <row r="24" spans="2:11" x14ac:dyDescent="0.35">
      <c r="B24" s="60"/>
      <c r="C24" s="50"/>
      <c r="D24" s="54" t="s">
        <v>114</v>
      </c>
      <c r="E24" s="35"/>
      <c r="F24" s="51" t="s">
        <v>113</v>
      </c>
      <c r="G24" s="61"/>
      <c r="H24" s="49"/>
      <c r="I24" s="49">
        <f>E24*G24</f>
        <v>0</v>
      </c>
      <c r="J24" s="58"/>
      <c r="K24" s="57"/>
    </row>
    <row r="25" spans="2:11" x14ac:dyDescent="0.35">
      <c r="B25" s="60"/>
      <c r="C25" s="50"/>
      <c r="D25" s="54"/>
      <c r="E25" s="55"/>
      <c r="F25" s="51"/>
      <c r="G25" s="159"/>
      <c r="H25" s="49"/>
      <c r="I25" s="49"/>
      <c r="J25" s="58"/>
      <c r="K25" s="57"/>
    </row>
    <row r="26" spans="2:11" ht="15.5" x14ac:dyDescent="0.35">
      <c r="B26" s="60"/>
      <c r="C26" s="41" t="s">
        <v>89</v>
      </c>
      <c r="D26" s="41" t="s">
        <v>112</v>
      </c>
      <c r="E26" s="11"/>
      <c r="F26" s="11"/>
      <c r="G26" s="11"/>
      <c r="H26" s="24"/>
      <c r="I26" s="49"/>
      <c r="J26" s="58"/>
      <c r="K26" s="57"/>
    </row>
    <row r="27" spans="2:11" x14ac:dyDescent="0.35">
      <c r="B27" s="60"/>
      <c r="C27" s="50"/>
      <c r="D27" s="50" t="s">
        <v>111</v>
      </c>
      <c r="E27" s="59">
        <v>5.0000000000000001E-3</v>
      </c>
      <c r="F27" s="26" t="s">
        <v>110</v>
      </c>
      <c r="G27" s="294"/>
      <c r="H27" s="49">
        <f>E27*G13</f>
        <v>25000</v>
      </c>
      <c r="I27" s="49"/>
      <c r="J27" s="58"/>
      <c r="K27" s="57"/>
    </row>
    <row r="28" spans="2:11" x14ac:dyDescent="0.35">
      <c r="B28" s="56"/>
      <c r="C28" s="54"/>
      <c r="D28" s="54"/>
      <c r="E28" s="55"/>
      <c r="F28" s="55"/>
      <c r="G28" s="54"/>
      <c r="H28" s="53"/>
      <c r="I28" s="53"/>
      <c r="J28" s="48" t="s">
        <v>105</v>
      </c>
      <c r="K28" s="47">
        <f>H27</f>
        <v>25000</v>
      </c>
    </row>
    <row r="29" spans="2:11" ht="15.5" x14ac:dyDescent="0.35">
      <c r="B29" s="52"/>
      <c r="C29" s="41" t="s">
        <v>86</v>
      </c>
      <c r="D29" s="41" t="s">
        <v>109</v>
      </c>
      <c r="E29" s="26"/>
      <c r="F29" s="26"/>
      <c r="G29" s="11"/>
      <c r="H29" s="24"/>
      <c r="I29" s="24"/>
      <c r="J29" s="23"/>
      <c r="K29" s="38"/>
    </row>
    <row r="30" spans="2:11" x14ac:dyDescent="0.35">
      <c r="B30" s="52"/>
      <c r="C30" s="37"/>
      <c r="D30" s="50" t="s">
        <v>108</v>
      </c>
      <c r="E30" s="35">
        <v>10</v>
      </c>
      <c r="F30" s="51" t="s">
        <v>106</v>
      </c>
      <c r="G30" s="35">
        <v>1800</v>
      </c>
      <c r="H30" s="49"/>
      <c r="I30" s="49">
        <f>G30*E30</f>
        <v>18000</v>
      </c>
      <c r="J30" s="23"/>
      <c r="K30" s="38"/>
    </row>
    <row r="31" spans="2:11" x14ac:dyDescent="0.35">
      <c r="B31" s="52"/>
      <c r="C31" s="37"/>
      <c r="D31" s="50" t="s">
        <v>107</v>
      </c>
      <c r="E31" s="35">
        <v>8</v>
      </c>
      <c r="F31" s="51" t="s">
        <v>106</v>
      </c>
      <c r="G31" s="35">
        <v>2500</v>
      </c>
      <c r="H31" s="49"/>
      <c r="I31" s="49">
        <f>G31*E31</f>
        <v>20000</v>
      </c>
      <c r="J31" s="23"/>
      <c r="K31" s="38"/>
    </row>
    <row r="32" spans="2:11" x14ac:dyDescent="0.35">
      <c r="B32" s="52"/>
      <c r="C32" s="37"/>
      <c r="D32" s="37"/>
      <c r="E32" s="51"/>
      <c r="F32" s="51"/>
      <c r="G32" s="50"/>
      <c r="H32" s="49"/>
      <c r="I32" s="49"/>
      <c r="J32" s="48" t="s">
        <v>105</v>
      </c>
      <c r="K32" s="47">
        <f>SUM(I30:I31)</f>
        <v>38000</v>
      </c>
    </row>
    <row r="33" spans="2:11" ht="15.5" x14ac:dyDescent="0.35">
      <c r="B33" s="21" t="s">
        <v>104</v>
      </c>
      <c r="C33" s="46"/>
      <c r="D33" s="46"/>
      <c r="E33" s="297" t="s">
        <v>103</v>
      </c>
      <c r="F33" s="297"/>
      <c r="G33" s="45"/>
      <c r="H33" s="45"/>
      <c r="I33" s="44"/>
      <c r="J33" s="17" t="s">
        <v>102</v>
      </c>
      <c r="K33" s="29">
        <f>SUM(K14:K32)</f>
        <v>9732000</v>
      </c>
    </row>
    <row r="34" spans="2:11" ht="15.5" x14ac:dyDescent="0.35">
      <c r="B34" s="13"/>
      <c r="C34" s="12"/>
      <c r="D34" s="12"/>
      <c r="E34" s="26"/>
      <c r="F34" s="26"/>
      <c r="G34" s="11"/>
      <c r="H34" s="24"/>
      <c r="I34" s="24"/>
      <c r="J34" s="10"/>
      <c r="K34" s="38"/>
    </row>
    <row r="35" spans="2:11" ht="17.5" x14ac:dyDescent="0.35">
      <c r="B35" s="43" t="s">
        <v>101</v>
      </c>
      <c r="C35" s="41" t="s">
        <v>313</v>
      </c>
      <c r="D35" s="41"/>
      <c r="E35" s="26"/>
      <c r="F35" s="26"/>
      <c r="G35" s="11"/>
      <c r="H35" s="24"/>
      <c r="I35" s="24"/>
      <c r="J35" s="10"/>
      <c r="K35" s="38"/>
    </row>
    <row r="36" spans="2:11" ht="15.5" x14ac:dyDescent="0.35">
      <c r="B36" s="15"/>
      <c r="C36" s="41" t="s">
        <v>99</v>
      </c>
      <c r="D36" s="41" t="s">
        <v>98</v>
      </c>
      <c r="E36" s="35"/>
      <c r="F36" s="26" t="s">
        <v>97</v>
      </c>
      <c r="G36" s="35"/>
      <c r="H36" s="24">
        <f>E36*G36</f>
        <v>0</v>
      </c>
      <c r="I36" s="24"/>
      <c r="J36" s="23"/>
      <c r="K36" s="38">
        <f>H36+I36</f>
        <v>0</v>
      </c>
    </row>
    <row r="37" spans="2:11" ht="15.5" x14ac:dyDescent="0.35">
      <c r="B37" s="15"/>
      <c r="C37" s="41" t="s">
        <v>96</v>
      </c>
      <c r="D37" s="41" t="s">
        <v>95</v>
      </c>
      <c r="E37" s="35"/>
      <c r="F37" s="26" t="s">
        <v>92</v>
      </c>
      <c r="G37" s="35"/>
      <c r="H37" s="24">
        <f t="shared" ref="H37:H42" si="0">E37*G37</f>
        <v>0</v>
      </c>
      <c r="I37" s="24"/>
      <c r="J37" s="23"/>
      <c r="K37" s="38">
        <f t="shared" ref="K37:K46" si="1">H37+I37</f>
        <v>0</v>
      </c>
    </row>
    <row r="38" spans="2:11" ht="15.5" x14ac:dyDescent="0.35">
      <c r="B38" s="15"/>
      <c r="C38" s="41" t="s">
        <v>94</v>
      </c>
      <c r="D38" s="41" t="s">
        <v>93</v>
      </c>
      <c r="E38" s="35"/>
      <c r="F38" s="26" t="s">
        <v>92</v>
      </c>
      <c r="G38" s="35"/>
      <c r="H38" s="24">
        <f t="shared" si="0"/>
        <v>0</v>
      </c>
      <c r="I38" s="24"/>
      <c r="J38" s="23"/>
      <c r="K38" s="38">
        <f t="shared" si="1"/>
        <v>0</v>
      </c>
    </row>
    <row r="39" spans="2:11" ht="15.5" x14ac:dyDescent="0.35">
      <c r="B39" s="15"/>
      <c r="C39" s="41" t="s">
        <v>91</v>
      </c>
      <c r="D39" s="41" t="s">
        <v>90</v>
      </c>
      <c r="E39" s="35"/>
      <c r="F39" s="26" t="s">
        <v>84</v>
      </c>
      <c r="G39" s="35"/>
      <c r="H39" s="24">
        <f t="shared" si="0"/>
        <v>0</v>
      </c>
      <c r="I39" s="24"/>
      <c r="J39" s="23"/>
      <c r="K39" s="38">
        <f t="shared" si="1"/>
        <v>0</v>
      </c>
    </row>
    <row r="40" spans="2:11" ht="15.5" x14ac:dyDescent="0.35">
      <c r="B40" s="15"/>
      <c r="C40" s="41" t="s">
        <v>89</v>
      </c>
      <c r="D40" s="41" t="s">
        <v>88</v>
      </c>
      <c r="E40" s="35"/>
      <c r="F40" s="26" t="s">
        <v>87</v>
      </c>
      <c r="G40" s="35"/>
      <c r="H40" s="24">
        <f t="shared" si="0"/>
        <v>0</v>
      </c>
      <c r="I40" s="24"/>
      <c r="J40" s="23"/>
      <c r="K40" s="38">
        <f t="shared" si="1"/>
        <v>0</v>
      </c>
    </row>
    <row r="41" spans="2:11" ht="15.5" x14ac:dyDescent="0.35">
      <c r="B41" s="15"/>
      <c r="C41" s="41" t="s">
        <v>86</v>
      </c>
      <c r="D41" s="41" t="s">
        <v>85</v>
      </c>
      <c r="E41" s="35"/>
      <c r="F41" s="26" t="s">
        <v>84</v>
      </c>
      <c r="G41" s="35"/>
      <c r="H41" s="24">
        <f t="shared" si="0"/>
        <v>0</v>
      </c>
      <c r="I41" s="24"/>
      <c r="J41" s="23"/>
      <c r="K41" s="38">
        <f t="shared" si="1"/>
        <v>0</v>
      </c>
    </row>
    <row r="42" spans="2:11" ht="15.5" x14ac:dyDescent="0.35">
      <c r="B42" s="15"/>
      <c r="C42" s="41" t="s">
        <v>83</v>
      </c>
      <c r="D42" s="41" t="s">
        <v>82</v>
      </c>
      <c r="E42" s="35"/>
      <c r="F42" s="26" t="s">
        <v>81</v>
      </c>
      <c r="G42" s="35"/>
      <c r="H42" s="24">
        <f t="shared" si="0"/>
        <v>0</v>
      </c>
      <c r="I42" s="24"/>
      <c r="J42" s="23"/>
      <c r="K42" s="38">
        <f t="shared" si="1"/>
        <v>0</v>
      </c>
    </row>
    <row r="43" spans="2:11" ht="15.5" x14ac:dyDescent="0.35">
      <c r="B43" s="15"/>
      <c r="C43" s="41" t="s">
        <v>80</v>
      </c>
      <c r="D43" s="41" t="s">
        <v>79</v>
      </c>
      <c r="E43" s="26"/>
      <c r="F43" s="26"/>
      <c r="G43" s="10"/>
      <c r="H43" s="24"/>
      <c r="I43" s="24"/>
      <c r="J43" s="23"/>
      <c r="K43" s="38"/>
    </row>
    <row r="44" spans="2:11" ht="15.5" x14ac:dyDescent="0.35">
      <c r="B44" s="15"/>
      <c r="C44" s="41"/>
      <c r="D44" s="12" t="s">
        <v>78</v>
      </c>
      <c r="F44" s="40" t="s">
        <v>77</v>
      </c>
      <c r="G44" s="36"/>
      <c r="H44" s="42"/>
      <c r="I44" s="24">
        <f>G44*I23</f>
        <v>0</v>
      </c>
      <c r="J44" s="23"/>
      <c r="K44" s="38">
        <f t="shared" si="1"/>
        <v>0</v>
      </c>
    </row>
    <row r="45" spans="2:11" ht="15.5" x14ac:dyDescent="0.35">
      <c r="B45" s="15"/>
      <c r="C45" s="41"/>
      <c r="D45" s="12" t="s">
        <v>76</v>
      </c>
      <c r="F45" s="40" t="s">
        <v>75</v>
      </c>
      <c r="G45" s="36"/>
      <c r="H45" s="42"/>
      <c r="I45" s="24">
        <f>G45*I24</f>
        <v>0</v>
      </c>
      <c r="J45" s="23"/>
      <c r="K45" s="38">
        <f t="shared" si="1"/>
        <v>0</v>
      </c>
    </row>
    <row r="46" spans="2:11" ht="15.5" x14ac:dyDescent="0.35">
      <c r="B46" s="15"/>
      <c r="C46" s="41"/>
      <c r="D46" s="12" t="s">
        <v>74</v>
      </c>
      <c r="F46" s="40" t="s">
        <v>73</v>
      </c>
      <c r="G46" s="36"/>
      <c r="H46" s="24"/>
      <c r="I46" s="24">
        <f>G46*K14</f>
        <v>0</v>
      </c>
      <c r="J46" s="23"/>
      <c r="K46" s="38">
        <f t="shared" si="1"/>
        <v>0</v>
      </c>
    </row>
    <row r="47" spans="2:11" ht="15.5" x14ac:dyDescent="0.35">
      <c r="B47" s="21" t="s">
        <v>72</v>
      </c>
      <c r="C47" s="39"/>
      <c r="D47" s="39"/>
      <c r="E47" s="445"/>
      <c r="F47" s="445"/>
      <c r="G47" s="445"/>
      <c r="H47" s="445"/>
      <c r="I47" s="30"/>
      <c r="J47" s="17" t="s">
        <v>71</v>
      </c>
      <c r="K47" s="29">
        <f>(H13*2)</f>
        <v>10000000</v>
      </c>
    </row>
    <row r="48" spans="2:11" ht="15.5" x14ac:dyDescent="0.35">
      <c r="B48" s="13"/>
      <c r="C48" s="12"/>
      <c r="D48" s="12"/>
      <c r="E48" s="11"/>
      <c r="F48" s="11"/>
      <c r="G48" s="11"/>
      <c r="H48" s="10"/>
      <c r="I48" s="10"/>
      <c r="J48" s="10"/>
      <c r="K48" s="38"/>
    </row>
    <row r="49" spans="2:11" ht="15.5" x14ac:dyDescent="0.35">
      <c r="B49" s="13"/>
      <c r="C49" s="12"/>
      <c r="D49" s="12"/>
      <c r="E49" s="11"/>
      <c r="F49" s="11"/>
      <c r="G49" s="11"/>
      <c r="H49" s="10"/>
      <c r="I49" s="10"/>
      <c r="J49" s="10"/>
      <c r="K49" s="38"/>
    </row>
    <row r="50" spans="2:11" ht="15.5" x14ac:dyDescent="0.35">
      <c r="B50" s="21" t="s">
        <v>70</v>
      </c>
      <c r="C50" s="34"/>
      <c r="D50" s="34"/>
      <c r="E50" s="445"/>
      <c r="F50" s="445"/>
      <c r="G50" s="445"/>
      <c r="H50" s="445"/>
      <c r="I50" s="31"/>
      <c r="J50" s="17" t="s">
        <v>69</v>
      </c>
      <c r="K50" s="29">
        <f>K33+K47</f>
        <v>19732000</v>
      </c>
    </row>
    <row r="51" spans="2:11" ht="15.5" x14ac:dyDescent="0.35">
      <c r="B51" s="15"/>
      <c r="C51" s="12"/>
      <c r="D51" s="12"/>
      <c r="E51" s="11"/>
      <c r="F51" s="11"/>
      <c r="G51" s="37"/>
      <c r="H51" s="10"/>
      <c r="I51" s="10"/>
      <c r="J51" s="10"/>
      <c r="K51" s="9"/>
    </row>
    <row r="52" spans="2:11" ht="15.5" x14ac:dyDescent="0.35">
      <c r="B52" s="15" t="s">
        <v>68</v>
      </c>
      <c r="C52" s="12"/>
      <c r="D52" s="12"/>
      <c r="E52" s="11"/>
      <c r="F52" s="11"/>
      <c r="G52" s="11"/>
      <c r="H52" s="10"/>
      <c r="I52" s="10"/>
      <c r="J52" s="10"/>
      <c r="K52" s="9"/>
    </row>
    <row r="53" spans="2:11" ht="15.5" x14ac:dyDescent="0.35">
      <c r="B53" s="28" t="s">
        <v>67</v>
      </c>
      <c r="C53" s="12" t="s">
        <v>66</v>
      </c>
      <c r="D53" s="12"/>
      <c r="E53" s="36">
        <v>0.18</v>
      </c>
      <c r="F53" s="26" t="s">
        <v>54</v>
      </c>
      <c r="G53" s="294"/>
      <c r="H53" s="10"/>
      <c r="I53" s="24">
        <f>E53*K50</f>
        <v>3551760</v>
      </c>
      <c r="J53" s="23"/>
      <c r="K53" s="22"/>
    </row>
    <row r="54" spans="2:11" ht="15.5" x14ac:dyDescent="0.35">
      <c r="B54" s="28" t="s">
        <v>65</v>
      </c>
      <c r="C54" s="12" t="s">
        <v>64</v>
      </c>
      <c r="D54" s="12"/>
      <c r="E54" s="35">
        <v>1</v>
      </c>
      <c r="F54" s="26" t="s">
        <v>63</v>
      </c>
      <c r="G54" s="244">
        <v>10000</v>
      </c>
      <c r="H54" s="10"/>
      <c r="I54" s="24">
        <f>E54*G54</f>
        <v>10000</v>
      </c>
      <c r="J54" s="23"/>
      <c r="K54" s="22"/>
    </row>
    <row r="55" spans="2:11" ht="15.5" x14ac:dyDescent="0.35">
      <c r="B55" s="21" t="s">
        <v>62</v>
      </c>
      <c r="C55" s="34"/>
      <c r="D55" s="34"/>
      <c r="E55" s="32"/>
      <c r="F55" s="33"/>
      <c r="G55" s="32"/>
      <c r="H55" s="31"/>
      <c r="I55" s="30"/>
      <c r="J55" s="17" t="s">
        <v>61</v>
      </c>
      <c r="K55" s="29">
        <f>SUM(I53:I54)</f>
        <v>3561760</v>
      </c>
    </row>
    <row r="56" spans="2:11" ht="15.5" x14ac:dyDescent="0.35">
      <c r="B56" s="15"/>
      <c r="C56" s="12"/>
      <c r="D56" s="12"/>
      <c r="E56" s="11"/>
      <c r="F56" s="26"/>
      <c r="G56" s="11"/>
      <c r="H56" s="10"/>
      <c r="I56" s="24"/>
      <c r="J56" s="14"/>
      <c r="K56" s="9"/>
    </row>
    <row r="57" spans="2:11" ht="15.5" x14ac:dyDescent="0.35">
      <c r="B57" s="13"/>
      <c r="C57" s="12"/>
      <c r="D57" s="12"/>
      <c r="E57" s="11"/>
      <c r="F57" s="26"/>
      <c r="G57" s="11"/>
      <c r="H57" s="10"/>
      <c r="I57" s="24"/>
      <c r="J57" s="10"/>
      <c r="K57" s="9"/>
    </row>
    <row r="58" spans="2:11" ht="15.5" x14ac:dyDescent="0.35">
      <c r="B58" s="15" t="s">
        <v>60</v>
      </c>
      <c r="C58" s="12"/>
      <c r="D58" s="12"/>
      <c r="E58" s="11"/>
      <c r="F58" s="26"/>
      <c r="G58" s="11"/>
      <c r="H58" s="10"/>
      <c r="I58" s="24"/>
      <c r="J58" s="10"/>
      <c r="K58" s="9"/>
    </row>
    <row r="59" spans="2:11" ht="17.5" x14ac:dyDescent="0.35">
      <c r="B59" s="28" t="s">
        <v>59</v>
      </c>
      <c r="C59" s="12" t="s">
        <v>314</v>
      </c>
      <c r="D59" s="12"/>
      <c r="E59" s="294"/>
      <c r="F59" s="26" t="s">
        <v>54</v>
      </c>
      <c r="G59" s="294"/>
      <c r="H59" s="10"/>
      <c r="I59" s="24"/>
      <c r="J59" s="23"/>
      <c r="K59" s="298" t="s">
        <v>57</v>
      </c>
    </row>
    <row r="60" spans="2:11" ht="15.5" x14ac:dyDescent="0.35">
      <c r="B60" s="28" t="s">
        <v>56</v>
      </c>
      <c r="C60" s="12" t="s">
        <v>55</v>
      </c>
      <c r="D60" s="12"/>
      <c r="E60" s="27">
        <v>0.3</v>
      </c>
      <c r="F60" s="26" t="s">
        <v>267</v>
      </c>
      <c r="G60" s="294"/>
      <c r="H60" s="10"/>
      <c r="I60" s="24">
        <f>E60*K33</f>
        <v>2919600</v>
      </c>
      <c r="J60" s="23"/>
      <c r="K60" s="22"/>
    </row>
    <row r="61" spans="2:11" ht="15.5" x14ac:dyDescent="0.35">
      <c r="B61" s="21" t="s">
        <v>53</v>
      </c>
      <c r="C61" s="20"/>
      <c r="D61" s="20"/>
      <c r="E61" s="19"/>
      <c r="F61" s="19"/>
      <c r="G61" s="19"/>
      <c r="H61" s="18"/>
      <c r="I61" s="18"/>
      <c r="J61" s="17" t="s">
        <v>52</v>
      </c>
      <c r="K61" s="16">
        <f>SUM(I59:I60)</f>
        <v>2919600</v>
      </c>
    </row>
    <row r="62" spans="2:11" ht="15.5" x14ac:dyDescent="0.35">
      <c r="B62" s="15"/>
      <c r="C62" s="12"/>
      <c r="D62" s="12"/>
      <c r="E62" s="11"/>
      <c r="F62" s="11"/>
      <c r="G62" s="11"/>
      <c r="H62" s="10"/>
      <c r="I62" s="10"/>
      <c r="J62" s="14"/>
      <c r="K62" s="9"/>
    </row>
    <row r="63" spans="2:11" ht="15.5" x14ac:dyDescent="0.35">
      <c r="B63" s="13"/>
      <c r="C63" s="12"/>
      <c r="D63" s="12"/>
      <c r="E63" s="11"/>
      <c r="F63" s="11"/>
      <c r="G63" s="11"/>
      <c r="H63" s="10"/>
      <c r="I63" s="10"/>
      <c r="J63" s="10"/>
      <c r="K63" s="9"/>
    </row>
    <row r="64" spans="2:11" ht="34.5" customHeight="1" thickBot="1" x14ac:dyDescent="0.5">
      <c r="B64" s="8" t="s">
        <v>51</v>
      </c>
      <c r="C64" s="7"/>
      <c r="D64" s="7"/>
      <c r="E64" s="7"/>
      <c r="F64" s="7"/>
      <c r="G64" s="6"/>
      <c r="H64" s="5"/>
      <c r="I64" s="4"/>
      <c r="J64" s="3" t="s">
        <v>50</v>
      </c>
      <c r="K64" s="2">
        <f>K50+K55+K61</f>
        <v>26213360</v>
      </c>
    </row>
    <row r="65" spans="2:11" ht="15" thickTop="1" x14ac:dyDescent="0.35"/>
    <row r="66" spans="2:11" ht="35.25" customHeight="1" x14ac:dyDescent="0.35">
      <c r="B66" s="386">
        <v>1</v>
      </c>
      <c r="C66" s="448" t="s">
        <v>375</v>
      </c>
      <c r="D66" s="448"/>
      <c r="E66" s="448"/>
      <c r="F66" s="448"/>
      <c r="G66" s="448"/>
      <c r="H66" s="448"/>
      <c r="I66" s="448"/>
      <c r="J66" s="448"/>
      <c r="K66" s="448"/>
    </row>
    <row r="67" spans="2:11" ht="35.25" customHeight="1" x14ac:dyDescent="0.35">
      <c r="B67" s="386">
        <v>2</v>
      </c>
      <c r="C67" s="448" t="s">
        <v>376</v>
      </c>
      <c r="D67" s="448"/>
      <c r="E67" s="448"/>
      <c r="F67" s="448"/>
      <c r="G67" s="448"/>
      <c r="H67" s="448"/>
      <c r="I67" s="448"/>
      <c r="J67" s="448"/>
      <c r="K67" s="448"/>
    </row>
    <row r="68" spans="2:11" ht="17.25" customHeight="1" x14ac:dyDescent="0.35">
      <c r="B68" s="386">
        <v>3</v>
      </c>
      <c r="C68" s="448" t="s">
        <v>377</v>
      </c>
      <c r="D68" s="448"/>
      <c r="E68" s="448"/>
      <c r="F68" s="448"/>
      <c r="G68" s="448"/>
      <c r="H68" s="448"/>
      <c r="I68" s="448"/>
      <c r="J68" s="448"/>
      <c r="K68" s="448"/>
    </row>
    <row r="69" spans="2:11" ht="35.25" customHeight="1" x14ac:dyDescent="0.35">
      <c r="B69" s="386">
        <v>4</v>
      </c>
      <c r="C69" s="448" t="s">
        <v>378</v>
      </c>
      <c r="D69" s="448"/>
      <c r="E69" s="448"/>
      <c r="F69" s="448"/>
      <c r="G69" s="448"/>
      <c r="H69" s="448"/>
      <c r="I69" s="448"/>
      <c r="J69" s="448"/>
      <c r="K69" s="448"/>
    </row>
    <row r="70" spans="2:11" ht="17.25" customHeight="1" x14ac:dyDescent="0.35">
      <c r="B70" s="386">
        <v>5</v>
      </c>
      <c r="C70" s="448" t="s">
        <v>379</v>
      </c>
      <c r="D70" s="448"/>
      <c r="E70" s="448"/>
      <c r="F70" s="448"/>
      <c r="G70" s="448"/>
      <c r="H70" s="448"/>
      <c r="I70" s="448"/>
      <c r="J70" s="448"/>
      <c r="K70" s="448"/>
    </row>
    <row r="71" spans="2:11" ht="35.25" customHeight="1" x14ac:dyDescent="0.35">
      <c r="B71" s="386">
        <v>6</v>
      </c>
      <c r="C71" s="448" t="s">
        <v>381</v>
      </c>
      <c r="D71" s="448"/>
      <c r="E71" s="448"/>
      <c r="F71" s="448"/>
      <c r="G71" s="448"/>
      <c r="H71" s="448"/>
      <c r="I71" s="448"/>
      <c r="J71" s="448"/>
      <c r="K71" s="448"/>
    </row>
    <row r="72" spans="2:11" ht="17.25" customHeight="1" x14ac:dyDescent="0.35">
      <c r="B72" s="386">
        <v>7</v>
      </c>
      <c r="C72" s="448" t="s">
        <v>383</v>
      </c>
      <c r="D72" s="448"/>
      <c r="E72" s="448"/>
      <c r="F72" s="448"/>
      <c r="G72" s="448"/>
      <c r="H72" s="448"/>
      <c r="I72" s="448"/>
      <c r="J72" s="448"/>
      <c r="K72" s="448"/>
    </row>
    <row r="73" spans="2:11" ht="16.5" x14ac:dyDescent="0.35">
      <c r="B73" s="300"/>
    </row>
  </sheetData>
  <mergeCells count="12">
    <mergeCell ref="B1:K1"/>
    <mergeCell ref="C72:K72"/>
    <mergeCell ref="C66:K66"/>
    <mergeCell ref="J3:K3"/>
    <mergeCell ref="B8:K8"/>
    <mergeCell ref="E47:H47"/>
    <mergeCell ref="E50:H50"/>
    <mergeCell ref="C67:K67"/>
    <mergeCell ref="C68:K68"/>
    <mergeCell ref="C69:K69"/>
    <mergeCell ref="C70:K70"/>
    <mergeCell ref="C71:K71"/>
  </mergeCells>
  <printOptions horizontalCentered="1"/>
  <pageMargins left="0.38" right="0.4" top="0.48" bottom="0.75" header="0.3" footer="0.3"/>
  <pageSetup scale="52" firstPageNumber="45" orientation="portrait" useFirstPageNumber="1" r:id="rId1"/>
  <headerFooter>
    <oddFooter>&amp;L&amp;"Arial,Regular"&amp;8GVEA - North Pole Facility
PM2.5 NAA BACT Analysis&amp;C&amp;"Arial,Regular"&amp;8Page 54&amp;R&amp;"Arial,Regular"&amp;8August 2017</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79998168889431442"/>
    <pageSetUpPr fitToPage="1"/>
  </sheetPr>
  <dimension ref="B1:L59"/>
  <sheetViews>
    <sheetView topLeftCell="A16" zoomScaleNormal="100" zoomScalePageLayoutView="70" workbookViewId="0">
      <selection activeCell="M39" sqref="M39"/>
    </sheetView>
  </sheetViews>
  <sheetFormatPr defaultRowHeight="14.5" x14ac:dyDescent="0.35"/>
  <cols>
    <col min="1" max="1" width="3" customWidth="1"/>
    <col min="2" max="3" width="6" customWidth="1"/>
    <col min="4" max="4" width="55.7265625" customWidth="1"/>
    <col min="5" max="5" width="13.7265625" bestFit="1" customWidth="1"/>
    <col min="6" max="6" width="14.453125" customWidth="1"/>
    <col min="7" max="7" width="13.453125" customWidth="1"/>
    <col min="8" max="8" width="25.453125" customWidth="1"/>
    <col min="9" max="9" width="23.81640625" customWidth="1"/>
    <col min="10" max="10" width="13.1796875" customWidth="1"/>
    <col min="11" max="11" width="13.26953125" customWidth="1"/>
  </cols>
  <sheetData>
    <row r="1" spans="2:11" x14ac:dyDescent="0.35">
      <c r="B1" s="439" t="s">
        <v>358</v>
      </c>
      <c r="C1" s="439"/>
      <c r="D1" s="439"/>
      <c r="E1" s="439"/>
      <c r="F1" s="439"/>
      <c r="G1" s="439"/>
      <c r="H1" s="439"/>
      <c r="I1" s="439"/>
      <c r="J1" s="439"/>
      <c r="K1" s="439"/>
    </row>
    <row r="2" spans="2:11" x14ac:dyDescent="0.35">
      <c r="B2" s="323"/>
      <c r="C2" s="323"/>
      <c r="D2" s="323"/>
      <c r="E2" s="323"/>
      <c r="F2" s="323"/>
      <c r="G2" s="323"/>
      <c r="H2" s="323"/>
      <c r="I2" s="323"/>
      <c r="J2" s="323"/>
      <c r="K2" s="323"/>
    </row>
    <row r="3" spans="2:11" ht="15" thickBot="1" x14ac:dyDescent="0.4">
      <c r="I3" s="450" t="s">
        <v>205</v>
      </c>
      <c r="J3" s="451"/>
      <c r="K3" s="452"/>
    </row>
    <row r="4" spans="2:11" ht="19" thickTop="1" x14ac:dyDescent="0.45">
      <c r="B4" s="98" t="s">
        <v>208</v>
      </c>
      <c r="C4" s="158"/>
      <c r="D4" s="96"/>
      <c r="E4" s="96"/>
      <c r="F4" s="96"/>
      <c r="G4" s="96"/>
      <c r="H4" s="96"/>
      <c r="I4" s="96"/>
      <c r="J4" s="95" t="s">
        <v>137</v>
      </c>
      <c r="K4" s="94"/>
    </row>
    <row r="5" spans="2:11" x14ac:dyDescent="0.35">
      <c r="B5" s="92" t="s">
        <v>203</v>
      </c>
      <c r="C5" s="11"/>
      <c r="D5" s="93" t="s">
        <v>298</v>
      </c>
      <c r="E5" s="11"/>
      <c r="F5" s="11"/>
      <c r="G5" s="11"/>
      <c r="H5" s="11"/>
      <c r="I5" s="11"/>
      <c r="J5" s="40" t="s">
        <v>135</v>
      </c>
      <c r="K5" s="91"/>
    </row>
    <row r="6" spans="2:11" x14ac:dyDescent="0.35">
      <c r="B6" s="92"/>
      <c r="C6" s="11"/>
      <c r="D6" s="11"/>
      <c r="E6" s="11"/>
      <c r="F6" s="11"/>
      <c r="G6" s="11"/>
      <c r="H6" s="11"/>
      <c r="I6" s="11"/>
      <c r="J6" s="40" t="s">
        <v>133</v>
      </c>
      <c r="K6" s="91"/>
    </row>
    <row r="7" spans="2:11" ht="15" thickBot="1" x14ac:dyDescent="0.4">
      <c r="B7" s="90" t="s">
        <v>299</v>
      </c>
      <c r="C7" s="89"/>
      <c r="D7" s="89"/>
      <c r="E7" s="89"/>
      <c r="F7" s="89"/>
      <c r="G7" s="89"/>
      <c r="H7" s="89"/>
      <c r="I7" s="89"/>
      <c r="J7" s="88" t="s">
        <v>132</v>
      </c>
      <c r="K7" s="87"/>
    </row>
    <row r="8" spans="2:11" ht="16" thickBot="1" x14ac:dyDescent="0.4">
      <c r="B8" s="453" t="s">
        <v>202</v>
      </c>
      <c r="C8" s="454"/>
      <c r="D8" s="454"/>
      <c r="E8" s="454"/>
      <c r="F8" s="454"/>
      <c r="G8" s="454"/>
      <c r="H8" s="454"/>
      <c r="I8" s="454"/>
      <c r="J8" s="454"/>
      <c r="K8" s="455"/>
    </row>
    <row r="9" spans="2:11" ht="15.5" x14ac:dyDescent="0.35">
      <c r="B9" s="157" t="s">
        <v>201</v>
      </c>
      <c r="C9" s="156"/>
      <c r="D9" s="107"/>
      <c r="E9" s="155" t="s">
        <v>129</v>
      </c>
      <c r="F9" s="155" t="s">
        <v>128</v>
      </c>
      <c r="G9" s="154" t="s">
        <v>127</v>
      </c>
      <c r="H9" s="153" t="s">
        <v>126</v>
      </c>
      <c r="I9" s="153" t="s">
        <v>125</v>
      </c>
      <c r="J9" s="107"/>
      <c r="K9" s="152" t="s">
        <v>200</v>
      </c>
    </row>
    <row r="10" spans="2:11" x14ac:dyDescent="0.35">
      <c r="B10" s="134" t="s">
        <v>124</v>
      </c>
      <c r="C10" s="11" t="s">
        <v>199</v>
      </c>
      <c r="D10" s="11"/>
      <c r="E10" s="151">
        <f>E12*2</f>
        <v>730</v>
      </c>
      <c r="F10" s="26" t="s">
        <v>113</v>
      </c>
      <c r="G10" s="294">
        <v>105</v>
      </c>
      <c r="H10" s="23"/>
      <c r="I10" s="24">
        <f>E10*G10</f>
        <v>76650</v>
      </c>
      <c r="J10" s="136"/>
      <c r="K10" s="38">
        <f>I10</f>
        <v>76650</v>
      </c>
    </row>
    <row r="11" spans="2:11" x14ac:dyDescent="0.35">
      <c r="B11" s="134" t="s">
        <v>101</v>
      </c>
      <c r="C11" s="11" t="s">
        <v>198</v>
      </c>
      <c r="D11" s="11"/>
      <c r="E11" s="151">
        <f>E12/2</f>
        <v>182.5</v>
      </c>
      <c r="F11" s="26" t="s">
        <v>113</v>
      </c>
      <c r="G11" s="294">
        <v>125</v>
      </c>
      <c r="H11" s="23"/>
      <c r="I11" s="24">
        <f>E11*G11</f>
        <v>22812.5</v>
      </c>
      <c r="J11" s="136"/>
      <c r="K11" s="38">
        <f t="shared" ref="K11" si="0">I11</f>
        <v>22812.5</v>
      </c>
    </row>
    <row r="12" spans="2:11" x14ac:dyDescent="0.35">
      <c r="B12" s="134" t="s">
        <v>67</v>
      </c>
      <c r="C12" s="456" t="s">
        <v>196</v>
      </c>
      <c r="D12" s="457"/>
      <c r="E12" s="151">
        <f>365*E49/100</f>
        <v>365</v>
      </c>
      <c r="F12" s="62" t="s">
        <v>113</v>
      </c>
      <c r="G12" s="294">
        <v>105</v>
      </c>
      <c r="H12" s="24"/>
      <c r="I12" s="24">
        <f>E12*G12</f>
        <v>38325</v>
      </c>
      <c r="J12" s="136"/>
      <c r="K12" s="38">
        <f>I12</f>
        <v>38325</v>
      </c>
    </row>
    <row r="13" spans="2:11" ht="16.5" x14ac:dyDescent="0.35">
      <c r="B13" s="134" t="s">
        <v>65</v>
      </c>
      <c r="C13" s="11" t="s">
        <v>195</v>
      </c>
      <c r="D13" s="11"/>
      <c r="E13" s="294"/>
      <c r="F13" s="62" t="s">
        <v>84</v>
      </c>
      <c r="G13" s="294"/>
      <c r="H13" s="24">
        <f>E13*G13</f>
        <v>0</v>
      </c>
      <c r="I13" s="115" t="s">
        <v>309</v>
      </c>
      <c r="J13" s="136"/>
      <c r="K13" s="38">
        <f>H13</f>
        <v>0</v>
      </c>
    </row>
    <row r="14" spans="2:11" x14ac:dyDescent="0.35">
      <c r="B14" s="134" t="s">
        <v>59</v>
      </c>
      <c r="C14" s="11" t="s">
        <v>193</v>
      </c>
      <c r="D14" s="11"/>
      <c r="E14" s="26"/>
      <c r="F14" s="26"/>
      <c r="G14" s="24"/>
      <c r="H14" s="24"/>
      <c r="I14" s="24"/>
      <c r="J14" s="136"/>
      <c r="K14" s="38"/>
    </row>
    <row r="15" spans="2:11" x14ac:dyDescent="0.35">
      <c r="B15" s="92"/>
      <c r="C15" s="138" t="s">
        <v>192</v>
      </c>
      <c r="D15" s="138" t="s">
        <v>176</v>
      </c>
      <c r="E15" s="104">
        <f>(K39)*(60)*2*2.2/2000</f>
        <v>190.08000000000004</v>
      </c>
      <c r="F15" s="26" t="s">
        <v>92</v>
      </c>
      <c r="G15" s="294">
        <v>356</v>
      </c>
      <c r="H15" s="24">
        <f>E15*G15</f>
        <v>67668.48000000001</v>
      </c>
      <c r="I15" s="24"/>
      <c r="J15" s="136"/>
      <c r="K15" s="38">
        <f>H15</f>
        <v>67668.48000000001</v>
      </c>
    </row>
    <row r="16" spans="2:11" ht="16.5" x14ac:dyDescent="0.35">
      <c r="B16" s="92"/>
      <c r="C16" s="138" t="s">
        <v>190</v>
      </c>
      <c r="D16" s="138" t="s">
        <v>315</v>
      </c>
      <c r="E16" s="104"/>
      <c r="F16" s="26" t="s">
        <v>188</v>
      </c>
      <c r="G16" s="294">
        <v>0.18</v>
      </c>
      <c r="H16" s="299" t="s">
        <v>57</v>
      </c>
      <c r="I16" s="24"/>
      <c r="J16" s="136"/>
      <c r="K16" s="38">
        <f>G16*E16</f>
        <v>0</v>
      </c>
    </row>
    <row r="17" spans="2:12" x14ac:dyDescent="0.35">
      <c r="B17" s="134" t="s">
        <v>56</v>
      </c>
      <c r="C17" s="138" t="s">
        <v>257</v>
      </c>
      <c r="D17" s="11"/>
      <c r="E17" s="26"/>
      <c r="F17" s="26"/>
      <c r="G17" s="24"/>
      <c r="H17" s="24"/>
      <c r="I17" s="24"/>
      <c r="J17" s="136"/>
      <c r="K17" s="38"/>
    </row>
    <row r="18" spans="2:12" x14ac:dyDescent="0.35">
      <c r="B18" s="92"/>
      <c r="C18" s="149" t="s">
        <v>99</v>
      </c>
      <c r="D18" s="138" t="s">
        <v>174</v>
      </c>
      <c r="E18" s="36">
        <v>0.3</v>
      </c>
      <c r="F18" s="26" t="s">
        <v>173</v>
      </c>
      <c r="G18" s="24">
        <f>'3-8 EU1 SCR TCI'!H13</f>
        <v>5000000</v>
      </c>
      <c r="H18" s="10">
        <f>G18*E18</f>
        <v>1500000</v>
      </c>
      <c r="I18" s="24"/>
      <c r="J18" s="136"/>
      <c r="K18" s="38">
        <f>H18*E23</f>
        <v>475812.84694686718</v>
      </c>
    </row>
    <row r="19" spans="2:12" x14ac:dyDescent="0.35">
      <c r="B19" s="92"/>
      <c r="C19" s="149" t="s">
        <v>96</v>
      </c>
      <c r="D19" s="138" t="s">
        <v>172</v>
      </c>
      <c r="E19" s="294">
        <v>180</v>
      </c>
      <c r="F19" s="26" t="s">
        <v>113</v>
      </c>
      <c r="G19" s="294">
        <v>105</v>
      </c>
      <c r="H19" s="147"/>
      <c r="I19" s="24">
        <f>E19*G19</f>
        <v>18900</v>
      </c>
      <c r="J19" s="136"/>
      <c r="K19" s="38">
        <f>I19*E23</f>
        <v>5995.2418715305266</v>
      </c>
    </row>
    <row r="20" spans="2:12" x14ac:dyDescent="0.35">
      <c r="B20" s="92"/>
      <c r="C20" s="149" t="s">
        <v>94</v>
      </c>
      <c r="D20" s="138" t="s">
        <v>171</v>
      </c>
      <c r="E20" s="36">
        <v>0.13</v>
      </c>
      <c r="F20" s="26" t="s">
        <v>169</v>
      </c>
      <c r="G20" s="24"/>
      <c r="H20" s="147"/>
      <c r="I20" s="24">
        <f>E20*H18</f>
        <v>195000</v>
      </c>
      <c r="J20" s="136"/>
      <c r="K20" s="38">
        <f>I20*E23</f>
        <v>61855.670103092736</v>
      </c>
    </row>
    <row r="21" spans="2:12" x14ac:dyDescent="0.35">
      <c r="B21" s="92"/>
      <c r="C21" s="149" t="s">
        <v>91</v>
      </c>
      <c r="D21" s="138" t="s">
        <v>170</v>
      </c>
      <c r="E21" s="36">
        <v>0.13</v>
      </c>
      <c r="F21" s="26" t="s">
        <v>169</v>
      </c>
      <c r="G21" s="24"/>
      <c r="H21" s="147"/>
      <c r="I21" s="24">
        <f>E21*H18</f>
        <v>195000</v>
      </c>
      <c r="J21" s="136"/>
      <c r="K21" s="38">
        <f>I21*E23</f>
        <v>61855.670103092736</v>
      </c>
    </row>
    <row r="22" spans="2:12" x14ac:dyDescent="0.35">
      <c r="B22" s="92"/>
      <c r="C22" s="149"/>
      <c r="D22" s="138"/>
      <c r="E22" s="148"/>
      <c r="F22" s="26"/>
      <c r="G22" s="24"/>
      <c r="H22" s="147"/>
      <c r="I22" s="24"/>
      <c r="J22" s="136"/>
      <c r="K22" s="38"/>
    </row>
    <row r="23" spans="2:12" x14ac:dyDescent="0.35">
      <c r="B23" s="146" t="s">
        <v>168</v>
      </c>
      <c r="C23" s="142"/>
      <c r="D23" s="11"/>
      <c r="E23" s="137">
        <f>($E$46/100)/(POWER(1+($E$46/100),($E$48)/($E$49/100))-1)</f>
        <v>0.3172085646312448</v>
      </c>
      <c r="F23" s="40"/>
      <c r="G23" s="136"/>
      <c r="H23" s="24"/>
      <c r="I23" s="141"/>
      <c r="J23" s="24"/>
      <c r="K23" s="38"/>
    </row>
    <row r="24" spans="2:12" x14ac:dyDescent="0.35">
      <c r="B24" s="92"/>
      <c r="C24" s="149"/>
      <c r="D24" s="138"/>
      <c r="E24" s="148"/>
      <c r="F24" s="26"/>
      <c r="G24" s="24"/>
      <c r="H24" s="147"/>
      <c r="I24" s="24"/>
      <c r="J24" s="136"/>
      <c r="K24" s="38"/>
    </row>
    <row r="25" spans="2:12" x14ac:dyDescent="0.35">
      <c r="B25" s="130" t="s">
        <v>167</v>
      </c>
      <c r="C25" s="129"/>
      <c r="D25" s="145"/>
      <c r="E25" s="144"/>
      <c r="F25" s="126"/>
      <c r="G25" s="143"/>
      <c r="H25" s="44"/>
      <c r="I25" s="124"/>
      <c r="J25" s="117" t="s">
        <v>166</v>
      </c>
      <c r="K25" s="116">
        <f>SUM(K10:K21)</f>
        <v>810975.40902458318</v>
      </c>
    </row>
    <row r="26" spans="2:12" x14ac:dyDescent="0.35">
      <c r="B26" s="92"/>
      <c r="C26" s="142"/>
      <c r="D26" s="11"/>
      <c r="E26" s="26"/>
      <c r="F26" s="11"/>
      <c r="G26" s="24"/>
      <c r="H26" s="24"/>
      <c r="I26" s="141"/>
      <c r="J26" s="140"/>
      <c r="K26" s="38"/>
    </row>
    <row r="27" spans="2:12" ht="15.5" x14ac:dyDescent="0.35">
      <c r="B27" s="15" t="s">
        <v>165</v>
      </c>
      <c r="C27" s="41"/>
      <c r="D27" s="11"/>
      <c r="E27" s="26"/>
      <c r="F27" s="26"/>
      <c r="G27" s="24"/>
      <c r="H27" s="24"/>
      <c r="I27" s="24"/>
      <c r="J27" s="24"/>
      <c r="K27" s="38"/>
    </row>
    <row r="28" spans="2:12" ht="16.5" x14ac:dyDescent="0.35">
      <c r="B28" s="134" t="s">
        <v>175</v>
      </c>
      <c r="C28" s="11" t="s">
        <v>316</v>
      </c>
      <c r="D28" s="11"/>
      <c r="E28" s="139"/>
      <c r="F28" s="26"/>
      <c r="G28" s="24"/>
      <c r="H28" s="115" t="s">
        <v>57</v>
      </c>
      <c r="I28" s="24">
        <v>0</v>
      </c>
      <c r="J28" s="136"/>
      <c r="K28" s="38">
        <f>I28</f>
        <v>0</v>
      </c>
    </row>
    <row r="29" spans="2:12" x14ac:dyDescent="0.35">
      <c r="B29" s="134" t="s">
        <v>164</v>
      </c>
      <c r="C29" s="11" t="s">
        <v>160</v>
      </c>
      <c r="D29" s="11"/>
      <c r="E29" s="139">
        <v>0.04</v>
      </c>
      <c r="F29" s="26" t="s">
        <v>159</v>
      </c>
      <c r="G29" s="24"/>
      <c r="H29" s="23"/>
      <c r="I29" s="24">
        <f>E29*'3-8 EU1 SCR TCI'!K64</f>
        <v>1048534.4</v>
      </c>
      <c r="J29" s="136"/>
      <c r="K29" s="38">
        <f>I29</f>
        <v>1048534.4</v>
      </c>
    </row>
    <row r="30" spans="2:12" x14ac:dyDescent="0.35">
      <c r="B30" s="134"/>
      <c r="C30" s="138" t="s">
        <v>158</v>
      </c>
      <c r="D30" s="11"/>
      <c r="E30" s="137">
        <f>($E$46/100*POWER((1+($E$46/100)),$E$47))/((POWER(((1+$E$46/100)),$E$47))-1)</f>
        <v>8.0242587190691314E-2</v>
      </c>
      <c r="F30" s="62"/>
      <c r="G30" s="24"/>
      <c r="H30" s="24"/>
      <c r="I30" s="24"/>
      <c r="J30" s="136"/>
      <c r="K30" s="135"/>
      <c r="L30" s="131"/>
    </row>
    <row r="31" spans="2:12" x14ac:dyDescent="0.35">
      <c r="B31" s="134" t="s">
        <v>161</v>
      </c>
      <c r="C31" s="11" t="s">
        <v>156</v>
      </c>
      <c r="D31" s="11"/>
      <c r="E31" s="11"/>
      <c r="F31" s="11"/>
      <c r="G31" s="24"/>
      <c r="H31" s="133"/>
      <c r="I31" s="24"/>
      <c r="J31" s="132" t="s">
        <v>155</v>
      </c>
      <c r="K31" s="38">
        <f>E30*'3-8 EU1 SCR TCI'!K64</f>
        <v>2103427.8253609799</v>
      </c>
      <c r="L31" s="131"/>
    </row>
    <row r="32" spans="2:12" x14ac:dyDescent="0.35">
      <c r="B32" s="92"/>
      <c r="C32" s="11"/>
      <c r="D32" s="11"/>
      <c r="E32" s="26"/>
      <c r="F32" s="11"/>
      <c r="G32" s="24"/>
      <c r="H32" s="24"/>
      <c r="I32" s="24"/>
      <c r="J32" s="24"/>
      <c r="K32" s="38"/>
    </row>
    <row r="33" spans="2:11" x14ac:dyDescent="0.35">
      <c r="B33" s="130" t="s">
        <v>154</v>
      </c>
      <c r="C33" s="129"/>
      <c r="D33" s="128"/>
      <c r="E33" s="127"/>
      <c r="F33" s="126"/>
      <c r="G33" s="124"/>
      <c r="H33" s="125"/>
      <c r="I33" s="124"/>
      <c r="J33" s="117" t="s">
        <v>153</v>
      </c>
      <c r="K33" s="116">
        <f>SUM(K28:K31)</f>
        <v>3151962.2253609798</v>
      </c>
    </row>
    <row r="34" spans="2:11" x14ac:dyDescent="0.35">
      <c r="B34" s="123"/>
      <c r="C34" s="122"/>
      <c r="D34" s="11"/>
      <c r="E34" s="26"/>
      <c r="F34" s="11"/>
      <c r="G34" s="24"/>
      <c r="H34" s="24"/>
      <c r="I34" s="24"/>
      <c r="J34" s="24"/>
      <c r="K34" s="38"/>
    </row>
    <row r="35" spans="2:11" ht="15.5" x14ac:dyDescent="0.35">
      <c r="B35" s="121" t="s">
        <v>152</v>
      </c>
      <c r="C35" s="120"/>
      <c r="D35" s="119"/>
      <c r="E35" s="295"/>
      <c r="F35" s="119"/>
      <c r="G35" s="44"/>
      <c r="H35" s="118"/>
      <c r="I35" s="44"/>
      <c r="J35" s="117" t="s">
        <v>151</v>
      </c>
      <c r="K35" s="116">
        <f>K25+K33</f>
        <v>3962937.634385563</v>
      </c>
    </row>
    <row r="36" spans="2:11" ht="15" thickBot="1" x14ac:dyDescent="0.4">
      <c r="B36" s="92"/>
      <c r="C36" s="11"/>
      <c r="D36" s="11"/>
      <c r="E36" s="26"/>
      <c r="F36" s="11"/>
      <c r="G36" s="11"/>
      <c r="H36" s="11"/>
      <c r="I36" s="11"/>
      <c r="J36" s="11"/>
      <c r="K36" s="75"/>
    </row>
    <row r="37" spans="2:11" ht="16" thickBot="1" x14ac:dyDescent="0.4">
      <c r="B37" s="458" t="s">
        <v>150</v>
      </c>
      <c r="C37" s="459"/>
      <c r="D37" s="459"/>
      <c r="E37" s="459"/>
      <c r="F37" s="459"/>
      <c r="G37" s="459"/>
      <c r="H37" s="459"/>
      <c r="I37" s="459"/>
      <c r="J37" s="459"/>
      <c r="K37" s="460"/>
    </row>
    <row r="38" spans="2:11" x14ac:dyDescent="0.35">
      <c r="B38" s="92"/>
      <c r="C38" s="11"/>
      <c r="D38" s="11"/>
      <c r="E38" s="11"/>
      <c r="F38" s="11"/>
      <c r="G38" s="11"/>
      <c r="H38" s="11"/>
      <c r="I38" s="11"/>
      <c r="J38" s="11"/>
      <c r="K38" s="75"/>
    </row>
    <row r="39" spans="2:11" ht="15.5" x14ac:dyDescent="0.35">
      <c r="B39" s="15" t="s">
        <v>149</v>
      </c>
      <c r="C39" s="41"/>
      <c r="D39" s="11"/>
      <c r="E39" s="11"/>
      <c r="F39" s="11"/>
      <c r="G39" s="11"/>
      <c r="H39" s="11"/>
      <c r="I39" s="11"/>
      <c r="J39" s="115" t="s">
        <v>148</v>
      </c>
      <c r="K39" s="301">
        <f>'3-3 Ranking-NOx'!F7</f>
        <v>1440</v>
      </c>
    </row>
    <row r="40" spans="2:11" x14ac:dyDescent="0.35">
      <c r="B40" s="92"/>
      <c r="C40" s="11"/>
      <c r="D40" s="11"/>
      <c r="E40" s="11"/>
      <c r="F40" s="11"/>
      <c r="G40" s="11"/>
      <c r="H40" s="11"/>
      <c r="I40" s="11"/>
      <c r="J40" s="11"/>
      <c r="K40" s="75"/>
    </row>
    <row r="41" spans="2:11" ht="15.5" x14ac:dyDescent="0.35">
      <c r="B41" s="15" t="s">
        <v>369</v>
      </c>
      <c r="C41" s="41"/>
      <c r="D41" s="11"/>
      <c r="E41" s="11"/>
      <c r="F41" s="11"/>
      <c r="G41" s="11"/>
      <c r="H41" s="327"/>
      <c r="I41" s="11"/>
      <c r="J41" s="328" t="s">
        <v>146</v>
      </c>
      <c r="K41" s="9">
        <f>K35/K39</f>
        <v>2752.0400238788634</v>
      </c>
    </row>
    <row r="42" spans="2:11" ht="21.75" customHeight="1" thickBot="1" x14ac:dyDescent="0.4">
      <c r="B42" s="114" t="s">
        <v>372</v>
      </c>
      <c r="C42" s="113"/>
      <c r="D42" s="111"/>
      <c r="E42" s="111"/>
      <c r="F42" s="111"/>
      <c r="G42" s="111"/>
      <c r="H42" s="112"/>
      <c r="I42" s="111"/>
      <c r="J42" s="110" t="s">
        <v>146</v>
      </c>
      <c r="K42" s="109">
        <f>+K35/209</f>
        <v>18961.424087969201</v>
      </c>
    </row>
    <row r="43" spans="2:11" ht="15" thickTop="1" x14ac:dyDescent="0.35"/>
    <row r="44" spans="2:11" ht="15" thickBot="1" x14ac:dyDescent="0.4"/>
    <row r="45" spans="2:11" x14ac:dyDescent="0.35">
      <c r="D45" s="108" t="s">
        <v>145</v>
      </c>
      <c r="E45" s="107"/>
      <c r="F45" s="106"/>
      <c r="G45" s="105"/>
    </row>
    <row r="46" spans="2:11" x14ac:dyDescent="0.35">
      <c r="D46" s="103" t="s">
        <v>144</v>
      </c>
      <c r="E46" s="104">
        <v>5</v>
      </c>
      <c r="F46" s="102" t="s">
        <v>110</v>
      </c>
    </row>
    <row r="47" spans="2:11" x14ac:dyDescent="0.35">
      <c r="D47" s="103" t="s">
        <v>143</v>
      </c>
      <c r="E47" s="293">
        <v>20</v>
      </c>
      <c r="F47" s="102" t="s">
        <v>141</v>
      </c>
    </row>
    <row r="48" spans="2:11" x14ac:dyDescent="0.35">
      <c r="D48" s="103" t="s">
        <v>142</v>
      </c>
      <c r="E48" s="294">
        <v>3</v>
      </c>
      <c r="F48" s="102" t="s">
        <v>141</v>
      </c>
    </row>
    <row r="49" spans="2:11" ht="15" thickBot="1" x14ac:dyDescent="0.4">
      <c r="D49" s="101" t="s">
        <v>140</v>
      </c>
      <c r="E49" s="100">
        <v>100</v>
      </c>
      <c r="F49" s="99" t="s">
        <v>110</v>
      </c>
    </row>
    <row r="52" spans="2:11" ht="36" customHeight="1" x14ac:dyDescent="0.35">
      <c r="B52" s="386">
        <v>1</v>
      </c>
      <c r="C52" s="448" t="s">
        <v>375</v>
      </c>
      <c r="D52" s="448"/>
      <c r="E52" s="448"/>
      <c r="F52" s="448"/>
      <c r="G52" s="448"/>
      <c r="H52" s="448"/>
      <c r="I52" s="448"/>
      <c r="J52" s="448"/>
      <c r="K52" s="448"/>
    </row>
    <row r="53" spans="2:11" ht="36" customHeight="1" x14ac:dyDescent="0.35">
      <c r="B53" s="386">
        <v>2</v>
      </c>
      <c r="C53" s="448" t="s">
        <v>376</v>
      </c>
      <c r="D53" s="448"/>
      <c r="E53" s="448"/>
      <c r="F53" s="448"/>
      <c r="G53" s="448"/>
      <c r="H53" s="448"/>
      <c r="I53" s="448"/>
      <c r="J53" s="448"/>
      <c r="K53" s="448"/>
    </row>
    <row r="54" spans="2:11" ht="16.5" x14ac:dyDescent="0.35">
      <c r="B54" s="386">
        <v>3</v>
      </c>
      <c r="C54" s="448" t="s">
        <v>377</v>
      </c>
      <c r="D54" s="448"/>
      <c r="E54" s="448"/>
      <c r="F54" s="448"/>
      <c r="G54" s="448"/>
      <c r="H54" s="448"/>
      <c r="I54" s="448"/>
      <c r="J54" s="448"/>
      <c r="K54" s="448"/>
    </row>
    <row r="55" spans="2:11" ht="36" customHeight="1" x14ac:dyDescent="0.35">
      <c r="B55" s="386">
        <v>4</v>
      </c>
      <c r="C55" s="448" t="s">
        <v>378</v>
      </c>
      <c r="D55" s="448"/>
      <c r="E55" s="448"/>
      <c r="F55" s="448"/>
      <c r="G55" s="448"/>
      <c r="H55" s="448"/>
      <c r="I55" s="448"/>
      <c r="J55" s="448"/>
      <c r="K55" s="448"/>
    </row>
    <row r="56" spans="2:11" ht="16.5" x14ac:dyDescent="0.35">
      <c r="B56" s="386">
        <v>5</v>
      </c>
      <c r="C56" s="448" t="s">
        <v>379</v>
      </c>
      <c r="D56" s="448"/>
      <c r="E56" s="448"/>
      <c r="F56" s="448"/>
      <c r="G56" s="448"/>
      <c r="H56" s="448"/>
      <c r="I56" s="448"/>
      <c r="J56" s="448"/>
      <c r="K56" s="448"/>
    </row>
    <row r="57" spans="2:11" ht="36" customHeight="1" x14ac:dyDescent="0.35">
      <c r="B57" s="386">
        <v>6</v>
      </c>
      <c r="C57" s="448" t="s">
        <v>381</v>
      </c>
      <c r="D57" s="448"/>
      <c r="E57" s="448"/>
      <c r="F57" s="448"/>
      <c r="G57" s="448"/>
      <c r="H57" s="448"/>
      <c r="I57" s="448"/>
      <c r="J57" s="448"/>
      <c r="K57" s="448"/>
    </row>
    <row r="58" spans="2:11" ht="16.5" x14ac:dyDescent="0.35">
      <c r="B58" s="386">
        <v>7</v>
      </c>
      <c r="C58" s="448" t="s">
        <v>383</v>
      </c>
      <c r="D58" s="448"/>
      <c r="E58" s="448"/>
      <c r="F58" s="448"/>
      <c r="G58" s="448"/>
      <c r="H58" s="448"/>
      <c r="I58" s="448"/>
      <c r="J58" s="448"/>
      <c r="K58" s="448"/>
    </row>
    <row r="59" spans="2:11" ht="17.25" customHeight="1" x14ac:dyDescent="0.35">
      <c r="B59" s="386">
        <v>8</v>
      </c>
      <c r="C59" s="448" t="s">
        <v>403</v>
      </c>
      <c r="D59" s="448"/>
      <c r="E59" s="448"/>
      <c r="F59" s="448"/>
      <c r="G59" s="448"/>
      <c r="H59" s="448"/>
      <c r="I59" s="448"/>
      <c r="J59" s="448"/>
      <c r="K59" s="448"/>
    </row>
  </sheetData>
  <mergeCells count="13">
    <mergeCell ref="C57:K57"/>
    <mergeCell ref="C58:K58"/>
    <mergeCell ref="C59:K59"/>
    <mergeCell ref="C52:K52"/>
    <mergeCell ref="C53:K53"/>
    <mergeCell ref="C54:K54"/>
    <mergeCell ref="C55:K55"/>
    <mergeCell ref="C56:K56"/>
    <mergeCell ref="I3:K3"/>
    <mergeCell ref="B8:K8"/>
    <mergeCell ref="C12:D12"/>
    <mergeCell ref="B37:K37"/>
    <mergeCell ref="B1:K1"/>
  </mergeCells>
  <printOptions horizontalCentered="1"/>
  <pageMargins left="0.38" right="0.4" top="0.48" bottom="0.75" header="0.3" footer="0.3"/>
  <pageSetup scale="52" firstPageNumber="45" orientation="portrait" useFirstPageNumber="1" r:id="rId1"/>
  <headerFooter>
    <oddFooter>&amp;L&amp;"Arial,Regular"&amp;8GVEA - North Pole Facility
PM2.5 NAA BACT Analysis&amp;C&amp;"Arial,Regular"&amp;8Page 55&amp;R&amp;"Arial,Regular"&amp;8August 2017</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8DFFD117A687F4BBEEF3206719FB718" ma:contentTypeVersion="0" ma:contentTypeDescription="Create a new document." ma:contentTypeScope="" ma:versionID="950c161123550eef76ac92b61c93b347">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07D405-A8C7-4549-A849-49FB4FCACFEE}">
  <ds:schemaRefs>
    <ds:schemaRef ds:uri="http://schemas.microsoft.com/sharepoint/v3/contenttype/forms"/>
  </ds:schemaRefs>
</ds:datastoreItem>
</file>

<file path=customXml/itemProps2.xml><?xml version="1.0" encoding="utf-8"?>
<ds:datastoreItem xmlns:ds="http://schemas.openxmlformats.org/officeDocument/2006/customXml" ds:itemID="{45F58390-D2FA-4B2C-A9D1-214C4A79BFA5}">
  <ds:schemaRefs>
    <ds:schemaRef ds:uri="http://purl.org/dc/dcmitype/"/>
    <ds:schemaRef ds:uri="http://purl.org/dc/terms/"/>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DBAD2DF5-6959-4BB3-820E-0FEDD13113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2</vt:i4>
      </vt:variant>
    </vt:vector>
  </HeadingPairs>
  <TitlesOfParts>
    <vt:vector size="27" baseType="lpstr">
      <vt:lpstr>3-1 Available-NOx</vt:lpstr>
      <vt:lpstr>3-2 Feasible-NOx</vt:lpstr>
      <vt:lpstr>3-3 Ranking-NOx</vt:lpstr>
      <vt:lpstr>3-4 EU 1 SCR_WI TCI</vt:lpstr>
      <vt:lpstr>3-5 EU 1 SCR_WI CE</vt:lpstr>
      <vt:lpstr>3-6 EU 2 SCR_WI TCI</vt:lpstr>
      <vt:lpstr>3-7 EU 2 SCR_WI CE</vt:lpstr>
      <vt:lpstr>3-8 EU1 SCR TCI</vt:lpstr>
      <vt:lpstr>3-9 EU1 SCR CE</vt:lpstr>
      <vt:lpstr>3-10 EU 2 SCR TCI</vt:lpstr>
      <vt:lpstr>3-11 EU2 SCR CE</vt:lpstr>
      <vt:lpstr>3-12 EU1 WI TCI</vt:lpstr>
      <vt:lpstr>3-13 EU1 WI CE</vt:lpstr>
      <vt:lpstr>3-14 EU2 WI TCI</vt:lpstr>
      <vt:lpstr>3-15 EU2 WI CE</vt:lpstr>
      <vt:lpstr>3-16 EU5-6 SCR_WI TCI</vt:lpstr>
      <vt:lpstr>3-17 EU5-6 SCR_WI CE</vt:lpstr>
      <vt:lpstr>3-18 EU ID 7 SCR TCI</vt:lpstr>
      <vt:lpstr>3-19 EU ID 7 SCR CE</vt:lpstr>
      <vt:lpstr>3-20 EU ID 11 &amp; 12 LNB TCI</vt:lpstr>
      <vt:lpstr>3-21 EU ID 11 &amp; 12 LNB CE</vt:lpstr>
      <vt:lpstr>Table 3-22</vt:lpstr>
      <vt:lpstr>Table - 3-23</vt:lpstr>
      <vt:lpstr>DO NOT INCLUDE - Identified-NOx</vt:lpstr>
      <vt:lpstr>Sheet1</vt:lpstr>
      <vt:lpstr>'3-15 EU2 WI CE'!_Toc456769220</vt:lpstr>
      <vt:lpstr>'3-17 EU5-6 SCR_WI CE'!Print_Area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2019-10-29T23:01:10Z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75a8e5f2-642e-4d6f-8266-72f2bf5cccc3</vt:lpwstr>
  </property>
  <property fmtid="{D5CDD505-2E9C-101B-9397-08002B2CF9AE}" pid="3" name="ContentTypeId">
    <vt:lpwstr>0x010100C8DFFD117A687F4BBEEF3206719FB718</vt:lpwstr>
  </property>
  <property fmtid="{D5CDD505-2E9C-101B-9397-08002B2CF9AE}" pid="4" name="ESRI_WORKBOOK_ID">
    <vt:lpwstr>5ebef13f207d41f5943120b9665ec71a</vt:lpwstr>
  </property>
</Properties>
</file>