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60" yWindow="1980" windowWidth="20730" windowHeight="9705" tabRatio="931" activeTab="1"/>
  </bookViews>
  <sheets>
    <sheet name="SCR+Water Injection TCI" sheetId="57" r:id="rId1"/>
    <sheet name="SCR+Water Injection CE" sheetId="58" r:id="rId2"/>
    <sheet name="ESRI_MAPINFO_SHEET" sheetId="59" state="veryHidden" r:id="rId3"/>
  </sheets>
  <calcPr calcId="152511" calcMode="manual"/>
</workbook>
</file>

<file path=xl/calcChain.xml><?xml version="1.0" encoding="utf-8"?>
<calcChain xmlns="http://schemas.openxmlformats.org/spreadsheetml/2006/main">
  <c r="K40" i="58" l="1"/>
  <c r="K42" i="58" s="1"/>
  <c r="K48" i="58" s="1"/>
  <c r="K46" i="58" l="1"/>
  <c r="K57" i="57"/>
  <c r="K15" i="57" l="1"/>
  <c r="H15" i="57"/>
  <c r="G15" i="57"/>
  <c r="I11" i="58" l="1"/>
  <c r="K11" i="58" s="1"/>
  <c r="G12" i="58"/>
  <c r="E13" i="58"/>
  <c r="E10" i="58" s="1"/>
  <c r="I10" i="58" s="1"/>
  <c r="K10" i="58" s="1"/>
  <c r="H14" i="58"/>
  <c r="K14" i="58" s="1"/>
  <c r="E16" i="58"/>
  <c r="H16" i="58" s="1"/>
  <c r="K16" i="58" s="1"/>
  <c r="G16" i="58"/>
  <c r="E17" i="58"/>
  <c r="H17" i="58"/>
  <c r="K17" i="58" s="1"/>
  <c r="E18" i="58"/>
  <c r="E19" i="58" s="1"/>
  <c r="H19" i="58" s="1"/>
  <c r="K19" i="58" s="1"/>
  <c r="G20" i="58"/>
  <c r="G21" i="58"/>
  <c r="E22" i="58"/>
  <c r="H22" i="58" s="1"/>
  <c r="K22" i="58" s="1"/>
  <c r="K23" i="58"/>
  <c r="G25" i="58"/>
  <c r="H25" i="58" s="1"/>
  <c r="I26" i="58"/>
  <c r="E30" i="58"/>
  <c r="K26" i="58" s="1"/>
  <c r="E37" i="58"/>
  <c r="H13" i="57"/>
  <c r="H14" i="57"/>
  <c r="H18" i="57"/>
  <c r="K19" i="57" s="1"/>
  <c r="I21" i="57"/>
  <c r="K22" i="57" s="1"/>
  <c r="I24" i="57"/>
  <c r="I25" i="57"/>
  <c r="I46" i="57" s="1"/>
  <c r="K46" i="57" s="1"/>
  <c r="H28" i="57"/>
  <c r="K29" i="57" s="1"/>
  <c r="I31" i="57"/>
  <c r="I32" i="57"/>
  <c r="K33" i="57"/>
  <c r="H37" i="57"/>
  <c r="K37" i="57"/>
  <c r="H38" i="57"/>
  <c r="K38" i="57" s="1"/>
  <c r="H39" i="57"/>
  <c r="K39" i="57"/>
  <c r="H40" i="57"/>
  <c r="K40" i="57" s="1"/>
  <c r="H41" i="57"/>
  <c r="K41" i="57"/>
  <c r="H42" i="57"/>
  <c r="K42" i="57" s="1"/>
  <c r="H43" i="57"/>
  <c r="K43" i="57" s="1"/>
  <c r="I45" i="57"/>
  <c r="K45" i="57" s="1"/>
  <c r="I56" i="57"/>
  <c r="I13" i="58" l="1"/>
  <c r="K13" i="58" s="1"/>
  <c r="I28" i="58"/>
  <c r="K28" i="58" s="1"/>
  <c r="K25" i="58"/>
  <c r="I27" i="58"/>
  <c r="K27" i="58" s="1"/>
  <c r="K34" i="57"/>
  <c r="I47" i="57"/>
  <c r="K47" i="57" s="1"/>
  <c r="K48" i="57"/>
  <c r="E20" i="58"/>
  <c r="E12" i="58"/>
  <c r="I12" i="58" s="1"/>
  <c r="I62" i="57" l="1"/>
  <c r="K63" i="57" s="1"/>
  <c r="K51" i="57"/>
  <c r="E21" i="58"/>
  <c r="H21" i="58" s="1"/>
  <c r="K21" i="58" s="1"/>
  <c r="H20" i="58"/>
  <c r="K20" i="58" s="1"/>
  <c r="K12" i="58"/>
  <c r="I35" i="58"/>
  <c r="K35" i="58" s="1"/>
  <c r="I55" i="57" l="1"/>
  <c r="K66" i="57" s="1"/>
  <c r="K32" i="58"/>
  <c r="I36" i="58" l="1"/>
  <c r="K36" i="58" s="1"/>
  <c r="K38" i="58"/>
</calcChain>
</file>

<file path=xl/comments1.xml><?xml version="1.0" encoding="utf-8"?>
<comments xmlns="http://schemas.openxmlformats.org/spreadsheetml/2006/main">
  <authors>
    <author>Author</author>
  </authors>
  <commentList>
    <comment ref="E28" authorId="0" shapeId="0">
      <text>
        <r>
          <rPr>
            <b/>
            <sz val="9"/>
            <color indexed="81"/>
            <rFont val="Tahoma"/>
            <family val="2"/>
          </rPr>
          <t>Author:</t>
        </r>
        <r>
          <rPr>
            <sz val="9"/>
            <color indexed="81"/>
            <rFont val="Tahoma"/>
            <family val="2"/>
          </rPr>
          <t xml:space="preserve">
Cost of startup spares indicated as a percentage of equipment cost per data from similar project.</t>
        </r>
      </text>
    </comment>
    <comment ref="E31" authorId="0" shapeId="0">
      <text>
        <r>
          <rPr>
            <b/>
            <sz val="9"/>
            <color indexed="81"/>
            <rFont val="Tahoma"/>
            <family val="2"/>
          </rPr>
          <t>Author:</t>
        </r>
        <r>
          <rPr>
            <sz val="9"/>
            <color indexed="81"/>
            <rFont val="Tahoma"/>
            <family val="2"/>
          </rPr>
          <t xml:space="preserve">
days based on similar project</t>
        </r>
      </text>
    </comment>
    <comment ref="E32" authorId="0" shapeId="0">
      <text>
        <r>
          <rPr>
            <b/>
            <sz val="9"/>
            <color indexed="81"/>
            <rFont val="Tahoma"/>
            <family val="2"/>
          </rPr>
          <t>Author:</t>
        </r>
        <r>
          <rPr>
            <sz val="9"/>
            <color indexed="81"/>
            <rFont val="Tahoma"/>
            <family val="2"/>
          </rPr>
          <t xml:space="preserve">
days based on similar project</t>
        </r>
      </text>
    </comment>
    <comment ref="K48" authorId="0" shapeId="0">
      <text>
        <r>
          <rPr>
            <b/>
            <sz val="9"/>
            <color indexed="81"/>
            <rFont val="Tahoma"/>
            <family val="2"/>
          </rPr>
          <t>Author:</t>
        </r>
        <r>
          <rPr>
            <sz val="9"/>
            <color indexed="81"/>
            <rFont val="Tahoma"/>
            <family val="2"/>
          </rPr>
          <t xml:space="preserve">
The water injection installation costs would double the capital required due to new water treatment system. Assume that SCR installation costs are 2x the SCR equipment costs.</t>
        </r>
      </text>
    </comment>
    <comment ref="E55" authorId="0" shapeId="0">
      <text>
        <r>
          <rPr>
            <b/>
            <sz val="9"/>
            <color indexed="81"/>
            <rFont val="Tahoma"/>
            <family val="2"/>
          </rPr>
          <t>Author:</t>
        </r>
        <r>
          <rPr>
            <sz val="9"/>
            <color indexed="81"/>
            <rFont val="Tahoma"/>
            <family val="2"/>
          </rPr>
          <t xml:space="preserve">
Blended rate based on18% of SCR TDC that was used in similar project and 33%  of water injection TDC based on Table 6-4 of EPA literature: Alternative Control Techniques Document - NOx emissions from stationary gas turbines (EPA-453/R-93-007)</t>
        </r>
      </text>
    </comment>
    <comment ref="E62" authorId="0" shapeId="0">
      <text>
        <r>
          <rPr>
            <b/>
            <sz val="9"/>
            <color indexed="81"/>
            <rFont val="Tahoma"/>
            <family val="2"/>
          </rPr>
          <t>Author:</t>
        </r>
        <r>
          <rPr>
            <sz val="9"/>
            <color indexed="81"/>
            <rFont val="Tahoma"/>
            <family val="2"/>
          </rPr>
          <t xml:space="preserve">
Based on OAQPS Control Cost Manual standard contingency estimate.</t>
        </r>
      </text>
    </comment>
  </commentList>
</comments>
</file>

<file path=xl/comments2.xml><?xml version="1.0" encoding="utf-8"?>
<comments xmlns="http://schemas.openxmlformats.org/spreadsheetml/2006/main">
  <authors>
    <author>Author</author>
  </authors>
  <commentList>
    <comment ref="E10" authorId="0" shapeId="0">
      <text>
        <r>
          <rPr>
            <b/>
            <sz val="9"/>
            <color indexed="81"/>
            <rFont val="Tahoma"/>
            <family val="2"/>
          </rPr>
          <t>Author:</t>
        </r>
        <r>
          <rPr>
            <sz val="9"/>
            <color indexed="81"/>
            <rFont val="Tahoma"/>
            <family val="2"/>
          </rPr>
          <t xml:space="preserve">
Have historically used 2 hours per day for operating.</t>
        </r>
      </text>
    </comment>
    <comment ref="G10" authorId="0" shapeId="0">
      <text>
        <r>
          <rPr>
            <b/>
            <sz val="9"/>
            <color indexed="81"/>
            <rFont val="Tahoma"/>
            <family val="2"/>
          </rPr>
          <t>Author:</t>
        </r>
        <r>
          <rPr>
            <sz val="9"/>
            <color indexed="81"/>
            <rFont val="Tahoma"/>
            <family val="2"/>
          </rPr>
          <t xml:space="preserve">
Labor cost from similar project</t>
        </r>
      </text>
    </comment>
    <comment ref="G11" authorId="0" shapeId="0">
      <text>
        <r>
          <rPr>
            <b/>
            <sz val="9"/>
            <color indexed="81"/>
            <rFont val="Tahoma"/>
            <family val="2"/>
          </rPr>
          <t>Author:</t>
        </r>
        <r>
          <rPr>
            <sz val="9"/>
            <color indexed="81"/>
            <rFont val="Tahoma"/>
            <family val="2"/>
          </rPr>
          <t xml:space="preserve">
Labor cost from similar project</t>
        </r>
      </text>
    </comment>
    <comment ref="E12" authorId="0" shapeId="0">
      <text>
        <r>
          <rPr>
            <b/>
            <sz val="9"/>
            <color indexed="81"/>
            <rFont val="Tahoma"/>
            <family val="2"/>
          </rPr>
          <t>Author:</t>
        </r>
        <r>
          <rPr>
            <sz val="9"/>
            <color indexed="81"/>
            <rFont val="Tahoma"/>
            <family val="2"/>
          </rPr>
          <t xml:space="preserve">
Water use x 1.29 to account for waste water labor as well. See table 6-5 of EPA literature: Alternative Control Techniques Document - NOx emissions from stationary gas turbines. </t>
        </r>
      </text>
    </comment>
    <comment ref="G12"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0.7 $/1000gal, Table 6-5, note g.</t>
        </r>
      </text>
    </comment>
    <comment ref="E13" authorId="0" shapeId="0">
      <text>
        <r>
          <rPr>
            <b/>
            <sz val="9"/>
            <color indexed="81"/>
            <rFont val="Tahoma"/>
            <family val="2"/>
          </rPr>
          <t>Author:</t>
        </r>
        <r>
          <rPr>
            <sz val="9"/>
            <color indexed="81"/>
            <rFont val="Tahoma"/>
            <family val="2"/>
          </rPr>
          <t xml:space="preserve">
Have historically used 1 hours per day for maintenance</t>
        </r>
      </text>
    </comment>
    <comment ref="G13" authorId="0" shapeId="0">
      <text>
        <r>
          <rPr>
            <b/>
            <sz val="9"/>
            <color indexed="81"/>
            <rFont val="Tahoma"/>
            <family val="2"/>
          </rPr>
          <t>Author:</t>
        </r>
        <r>
          <rPr>
            <sz val="9"/>
            <color indexed="81"/>
            <rFont val="Tahoma"/>
            <family val="2"/>
          </rPr>
          <t xml:space="preserve">
Labor cost from similar project</t>
        </r>
      </text>
    </comment>
    <comment ref="E16" authorId="0" shapeId="0">
      <text>
        <r>
          <rPr>
            <b/>
            <sz val="9"/>
            <color indexed="81"/>
            <rFont val="Tahoma"/>
            <family val="2"/>
          </rPr>
          <t>Author:</t>
        </r>
        <r>
          <rPr>
            <sz val="9"/>
            <color indexed="81"/>
            <rFont val="Tahoma"/>
            <family val="2"/>
          </rPr>
          <t xml:space="preserve">
used fuel/water ratio for similarly sized GE turbine in EPA literature: Alternative Control Techniques Document - NOx emissions from stationary gas turbines (Table 6-2)</t>
        </r>
      </text>
    </comment>
    <comment ref="G16"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0.384 $/1000gal, Table 6-3</t>
        </r>
      </text>
    </comment>
    <comment ref="E17"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Use water flow of 23.8 gal/min and formula in Table 6-5.</t>
        </r>
      </text>
    </comment>
    <comment ref="G17" authorId="0" shapeId="0">
      <text>
        <r>
          <rPr>
            <b/>
            <sz val="9"/>
            <color indexed="81"/>
            <rFont val="Tahoma"/>
            <family val="2"/>
          </rPr>
          <t>Author:</t>
        </r>
        <r>
          <rPr>
            <sz val="9"/>
            <color indexed="81"/>
            <rFont val="Tahoma"/>
            <family val="2"/>
          </rPr>
          <t xml:space="preserve">
Current rate GVEA charges to industrial users.</t>
        </r>
      </text>
    </comment>
    <comment ref="E18" authorId="0" shapeId="0">
      <text>
        <r>
          <rPr>
            <b/>
            <sz val="9"/>
            <color indexed="81"/>
            <rFont val="Tahoma"/>
            <family val="2"/>
          </rPr>
          <t>Author:</t>
        </r>
        <r>
          <rPr>
            <sz val="9"/>
            <color indexed="81"/>
            <rFont val="Tahoma"/>
            <family val="2"/>
          </rPr>
          <t xml:space="preserve">
Based on 268 MMBtu/hr and fuel HHV of 137 MMBtu/1000 gals. @ 8760 hours per year.</t>
        </r>
      </text>
    </comment>
    <comment ref="E19"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Use 3.5% of annual fuel use and water/fuel ratio of 0.73 (Table 6-2).</t>
        </r>
      </text>
    </comment>
    <comment ref="G19" authorId="0" shapeId="0">
      <text>
        <r>
          <rPr>
            <b/>
            <sz val="9"/>
            <color indexed="81"/>
            <rFont val="Tahoma"/>
            <family val="2"/>
          </rPr>
          <t>Author:</t>
        </r>
        <r>
          <rPr>
            <sz val="9"/>
            <color indexed="81"/>
            <rFont val="Tahoma"/>
            <family val="2"/>
          </rPr>
          <t xml:space="preserve">
EIA Monthly energy pricing report (Dec 2015).</t>
        </r>
      </text>
    </comment>
    <comment ref="E20"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Water use plus 30% design factor and 29% waste factor.</t>
        </r>
      </text>
    </comment>
    <comment ref="G20"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1.97 $/1000gal, Table 6-3</t>
        </r>
      </text>
    </comment>
    <comment ref="E21"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29% waste water from treatment capacity.</t>
        </r>
      </text>
    </comment>
    <comment ref="G21"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Escalated cost by 5% a year for inflation. 1990 cost = 3.82 $/1000gal, Table 6-3</t>
        </r>
      </text>
    </comment>
    <comment ref="E22" authorId="0" shapeId="0">
      <text>
        <r>
          <rPr>
            <b/>
            <sz val="9"/>
            <color indexed="81"/>
            <rFont val="Tahoma"/>
            <family val="2"/>
          </rPr>
          <t>Author:</t>
        </r>
        <r>
          <rPr>
            <sz val="9"/>
            <color indexed="81"/>
            <rFont val="Tahoma"/>
            <family val="2"/>
          </rPr>
          <t xml:space="preserve">
Based on SCR controlling emissions up to 929.7 tons/yr NOx after water injection, which controls up to 795.4 tons/yr based on a 77% CE alone.
2.2 moles urea to control 1 ton NOx, 50% urea solution.</t>
        </r>
      </text>
    </comment>
    <comment ref="G22" authorId="0" shapeId="0">
      <text>
        <r>
          <rPr>
            <b/>
            <sz val="9"/>
            <color indexed="81"/>
            <rFont val="Tahoma"/>
            <family val="2"/>
          </rPr>
          <t>Author:</t>
        </r>
        <r>
          <rPr>
            <sz val="9"/>
            <color indexed="81"/>
            <rFont val="Tahoma"/>
            <family val="2"/>
          </rPr>
          <t xml:space="preserve">
December 2015 price according to Farmer's Coop Association. </t>
        </r>
      </text>
    </comment>
    <comment ref="E25" authorId="0" shapeId="0">
      <text>
        <r>
          <rPr>
            <b/>
            <sz val="9"/>
            <color indexed="81"/>
            <rFont val="Tahoma"/>
            <family val="2"/>
          </rPr>
          <t>Author:</t>
        </r>
        <r>
          <rPr>
            <sz val="9"/>
            <color indexed="81"/>
            <rFont val="Tahoma"/>
            <family val="2"/>
          </rPr>
          <t xml:space="preserve">
Miratech indicated that catalyst makes up 30% of the SCR system cost</t>
        </r>
      </text>
    </comment>
    <comment ref="E26" authorId="0" shapeId="0">
      <text>
        <r>
          <rPr>
            <b/>
            <sz val="9"/>
            <color indexed="81"/>
            <rFont val="Tahoma"/>
            <family val="2"/>
          </rPr>
          <t>Author:</t>
        </r>
        <r>
          <rPr>
            <sz val="9"/>
            <color indexed="81"/>
            <rFont val="Tahoma"/>
            <family val="2"/>
          </rPr>
          <t xml:space="preserve">
Replacement labor from similar project</t>
        </r>
      </text>
    </comment>
    <comment ref="G26" authorId="0" shapeId="0">
      <text>
        <r>
          <rPr>
            <b/>
            <sz val="9"/>
            <color indexed="81"/>
            <rFont val="Tahoma"/>
            <family val="2"/>
          </rPr>
          <t>Author:</t>
        </r>
        <r>
          <rPr>
            <sz val="9"/>
            <color indexed="81"/>
            <rFont val="Tahoma"/>
            <family val="2"/>
          </rPr>
          <t xml:space="preserve">
Labor cost from similar project</t>
        </r>
      </text>
    </comment>
    <comment ref="E27" authorId="0" shapeId="0">
      <text>
        <r>
          <rPr>
            <b/>
            <sz val="9"/>
            <color indexed="81"/>
            <rFont val="Tahoma"/>
            <family val="2"/>
          </rPr>
          <t>Author:</t>
        </r>
        <r>
          <rPr>
            <sz val="9"/>
            <color indexed="81"/>
            <rFont val="Tahoma"/>
            <family val="2"/>
          </rPr>
          <t xml:space="preserve">
From similar project</t>
        </r>
      </text>
    </comment>
    <comment ref="E28" authorId="0" shapeId="0">
      <text>
        <r>
          <rPr>
            <b/>
            <sz val="9"/>
            <color indexed="81"/>
            <rFont val="Tahoma"/>
            <family val="2"/>
          </rPr>
          <t>Author:</t>
        </r>
        <r>
          <rPr>
            <sz val="9"/>
            <color indexed="81"/>
            <rFont val="Tahoma"/>
            <family val="2"/>
          </rPr>
          <t xml:space="preserve">
From similar project</t>
        </r>
      </text>
    </comment>
    <comment ref="E35"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 Assumes 30% of water treatment labor above.</t>
        </r>
      </text>
    </comment>
    <comment ref="E36" authorId="0" shapeId="0">
      <text>
        <r>
          <rPr>
            <b/>
            <sz val="9"/>
            <color indexed="81"/>
            <rFont val="Tahoma"/>
            <family val="2"/>
          </rPr>
          <t>Author:</t>
        </r>
        <r>
          <rPr>
            <sz val="9"/>
            <color indexed="81"/>
            <rFont val="Tahoma"/>
            <family val="2"/>
          </rPr>
          <t xml:space="preserve">
Based on EPA literature: Alternative Control Techniques Document - NOx emissions from stationary gas turbines.</t>
        </r>
      </text>
    </comment>
    <comment ref="E54" authorId="0" shapeId="0">
      <text>
        <r>
          <rPr>
            <b/>
            <sz val="9"/>
            <color indexed="81"/>
            <rFont val="Tahoma"/>
            <family val="2"/>
          </rPr>
          <t>Author:</t>
        </r>
        <r>
          <rPr>
            <sz val="9"/>
            <color indexed="81"/>
            <rFont val="Tahoma"/>
            <family val="2"/>
          </rPr>
          <t xml:space="preserve">
Common replacement timeframe</t>
        </r>
      </text>
    </comment>
  </commentList>
</comments>
</file>

<file path=xl/sharedStrings.xml><?xml version="1.0" encoding="utf-8"?>
<sst xmlns="http://schemas.openxmlformats.org/spreadsheetml/2006/main" count="240" uniqueCount="175">
  <si>
    <t>Shaded cells indicate user inputs.</t>
  </si>
  <si>
    <t>Date:</t>
  </si>
  <si>
    <t xml:space="preserve">Project: </t>
  </si>
  <si>
    <t>Prepared By:</t>
  </si>
  <si>
    <t>Checked By:</t>
  </si>
  <si>
    <t>Rev:</t>
  </si>
  <si>
    <t>Capital Costs</t>
  </si>
  <si>
    <t>DIRECT COSTS</t>
  </si>
  <si>
    <t>QTY</t>
  </si>
  <si>
    <t>UNIT</t>
  </si>
  <si>
    <t>UNIT COST</t>
  </si>
  <si>
    <t xml:space="preserve"> TOTAL MATERIALS COST</t>
  </si>
  <si>
    <t xml:space="preserve"> TOTAL LABOR COST</t>
  </si>
  <si>
    <t>(1)</t>
  </si>
  <si>
    <t>Purchased equipment and material costs</t>
  </si>
  <si>
    <t>(a)</t>
  </si>
  <si>
    <t>Basic equipment</t>
  </si>
  <si>
    <t>EA</t>
  </si>
  <si>
    <t>TOTAL =</t>
  </si>
  <si>
    <t>(b)</t>
  </si>
  <si>
    <t>Instrumentation</t>
  </si>
  <si>
    <t>(c)</t>
  </si>
  <si>
    <t>Freight</t>
  </si>
  <si>
    <t>% MATL COST</t>
  </si>
  <si>
    <t>(d)</t>
  </si>
  <si>
    <t>Labor</t>
  </si>
  <si>
    <t>Labor - offsite fab</t>
  </si>
  <si>
    <t>MH</t>
  </si>
  <si>
    <t>Labor - onsite</t>
  </si>
  <si>
    <t>%</t>
  </si>
  <si>
    <t>Vendor representatives fees</t>
  </si>
  <si>
    <t>Fab Site Vendor Representatives fees (enter no. of days and daily rate)</t>
  </si>
  <si>
    <t>Days</t>
  </si>
  <si>
    <t>Onsite Vendor Representatives fees (enter no. of days and daily rate)</t>
  </si>
  <si>
    <t>Purchased Equipment and Material Cost (PEMC)</t>
  </si>
  <si>
    <t xml:space="preserve"> PEMC   =</t>
  </si>
  <si>
    <t>(2)</t>
  </si>
  <si>
    <t>LOT</t>
  </si>
  <si>
    <t>Direct Installation Costs (DIC)</t>
  </si>
  <si>
    <t xml:space="preserve"> DIC   =</t>
  </si>
  <si>
    <t>Total Direct Costs (TDC)</t>
  </si>
  <si>
    <t>TDC = (PEMC) + (DIC)  =</t>
  </si>
  <si>
    <t>INDIRECT COSTS</t>
  </si>
  <si>
    <t>(3)</t>
  </si>
  <si>
    <t>Engineering, Procurement &amp; Construction Support Services</t>
  </si>
  <si>
    <t>% TDC</t>
  </si>
  <si>
    <t>(4)</t>
  </si>
  <si>
    <t>Performance tests</t>
  </si>
  <si>
    <t>Excluded in this estimate.</t>
  </si>
  <si>
    <t>Total Indirect Costs (TIC)</t>
  </si>
  <si>
    <t>TIC   =</t>
  </si>
  <si>
    <t>MANAGEMENT AND CONTINGENCY COSTS</t>
  </si>
  <si>
    <t>(5)</t>
  </si>
  <si>
    <t>(6)</t>
  </si>
  <si>
    <t>Contingency</t>
  </si>
  <si>
    <t>Total Management and Contingency Costs (TM&amp;CC)</t>
  </si>
  <si>
    <t xml:space="preserve">TM &amp; CC   =   </t>
  </si>
  <si>
    <t>TOTAL CAPITAL INVESTMENT (TCI)</t>
  </si>
  <si>
    <t xml:space="preserve">TCI  =  (TDC)+(TIC)+(TM&amp;CC)  = </t>
  </si>
  <si>
    <t>Shaded cells indicate user inputs</t>
  </si>
  <si>
    <t xml:space="preserve">Project:  </t>
  </si>
  <si>
    <t>Annualized Costs</t>
  </si>
  <si>
    <t>DIRECT ANNUAL COSTS</t>
  </si>
  <si>
    <t>TOTAL</t>
  </si>
  <si>
    <t>Operating Labor</t>
  </si>
  <si>
    <t>Supervisory Labor</t>
  </si>
  <si>
    <t>Maintenance Materials</t>
  </si>
  <si>
    <t>(7)</t>
  </si>
  <si>
    <t>Total Direct Annual Costs (TDAC)</t>
  </si>
  <si>
    <t xml:space="preserve"> TDAC   =</t>
  </si>
  <si>
    <t>INDIRECT ANNUAL COSTS</t>
  </si>
  <si>
    <t>(8)</t>
  </si>
  <si>
    <t>Overhead</t>
  </si>
  <si>
    <t>(9)</t>
  </si>
  <si>
    <t>Capital Recovery Factor [see inputs below]</t>
  </si>
  <si>
    <t>Capital Recovery</t>
  </si>
  <si>
    <t xml:space="preserve">CRF * TCI  = </t>
  </si>
  <si>
    <t>Total Indirect Annual Costs (TIAC)</t>
  </si>
  <si>
    <t xml:space="preserve"> TIAC   =</t>
  </si>
  <si>
    <t>TOTAL ANNUALIZED COSTS (TAC)</t>
  </si>
  <si>
    <t>TAC = (TDAC) + (TIAC)  =</t>
  </si>
  <si>
    <t>Cost Effectiveness Summary</t>
  </si>
  <si>
    <t>=</t>
  </si>
  <si>
    <t>COST EFFECTIVENESS ($ PER TON AVOIDED)</t>
  </si>
  <si>
    <t xml:space="preserve">(TAC)/(TPY)   = </t>
  </si>
  <si>
    <t xml:space="preserve">Annual Interest Rate (EPA OAQPS Control Cost Manual) </t>
  </si>
  <si>
    <t xml:space="preserve">Project Life (EPA OAQPS Control Cost Manual) </t>
  </si>
  <si>
    <t>years</t>
  </si>
  <si>
    <t xml:space="preserve">Catalyst Life </t>
  </si>
  <si>
    <t>Data Inputs for Capital Recovery Factor:</t>
  </si>
  <si>
    <t>(e )</t>
  </si>
  <si>
    <t>Startup Spares</t>
  </si>
  <si>
    <t>Startup Spare Parts for SCR</t>
  </si>
  <si>
    <t>(f)</t>
  </si>
  <si>
    <t>All above costs included in vendor scope except SCR spares and SCR vendor rep. fees</t>
  </si>
  <si>
    <t>Concrete</t>
  </si>
  <si>
    <t>CY</t>
  </si>
  <si>
    <t>Piling</t>
  </si>
  <si>
    <t>TON</t>
  </si>
  <si>
    <t>Structural steel</t>
  </si>
  <si>
    <t>Electrical</t>
  </si>
  <si>
    <t>Painting</t>
  </si>
  <si>
    <t>SF</t>
  </si>
  <si>
    <t>Insulation</t>
  </si>
  <si>
    <t>(g)</t>
  </si>
  <si>
    <t>Abovegrade piping</t>
  </si>
  <si>
    <t>LF</t>
  </si>
  <si>
    <t>(h)</t>
  </si>
  <si>
    <t>Functional Checkouts</t>
  </si>
  <si>
    <t>Functional Checkout  - fab site, enter %:</t>
  </si>
  <si>
    <t>% offsite fab labor</t>
  </si>
  <si>
    <t>% onsite fab labor</t>
  </si>
  <si>
    <t>Contractor Commissioning, enter %:</t>
  </si>
  <si>
    <t>% of equipment  total cost</t>
  </si>
  <si>
    <t>% PEMC</t>
  </si>
  <si>
    <t>Maintenance Labor (SCR system)</t>
  </si>
  <si>
    <t>Utilities</t>
  </si>
  <si>
    <t>a)</t>
  </si>
  <si>
    <t>Urea/DEF:</t>
  </si>
  <si>
    <t>Catalyst Replacement Costs (every 3 years)</t>
  </si>
  <si>
    <t>Replacement of SCR Catalyst: % of total equipment cost</t>
  </si>
  <si>
    <t xml:space="preserve">% total equip </t>
  </si>
  <si>
    <t>Replacement labor for SCR Catalyst</t>
  </si>
  <si>
    <t>Transport cost direct to site (SCR catalyst)</t>
  </si>
  <si>
    <t>% replacement</t>
  </si>
  <si>
    <t>Transport cost for spent SCR catalyst</t>
  </si>
  <si>
    <t>Sinking Fund Factor  [see inputs below]:</t>
  </si>
  <si>
    <t>Administrative Charges, Property Taxes, Insurance</t>
  </si>
  <si>
    <t>% total capital</t>
  </si>
  <si>
    <t>TOTAL TONS NOx AVOIDED PER YEAR</t>
  </si>
  <si>
    <t>Asset Utilization</t>
  </si>
  <si>
    <t>Total Capital Investment Determination - Water Injection + SCR</t>
  </si>
  <si>
    <t>Injection System Freight</t>
  </si>
  <si>
    <t>Cost Effectiveness Determination - Water Injection + SCR</t>
  </si>
  <si>
    <t>Maintenance Labor (water treatment)</t>
  </si>
  <si>
    <t>1000 GALS</t>
  </si>
  <si>
    <t>Included in water treatment below</t>
  </si>
  <si>
    <t>Water Use:</t>
  </si>
  <si>
    <t>b)</t>
  </si>
  <si>
    <t>Water Pump Energy:</t>
  </si>
  <si>
    <t>kWh</t>
  </si>
  <si>
    <t>c)</t>
  </si>
  <si>
    <t>CT Fuel Use:</t>
  </si>
  <si>
    <t>GALS</t>
  </si>
  <si>
    <t>d)</t>
  </si>
  <si>
    <t>Fuel Penalty:</t>
  </si>
  <si>
    <t>e)</t>
  </si>
  <si>
    <t>Water Treatment Capacity:</t>
  </si>
  <si>
    <t>f)</t>
  </si>
  <si>
    <t>Water Waste Disposal:</t>
  </si>
  <si>
    <t>g)</t>
  </si>
  <si>
    <t>% WT Labor</t>
  </si>
  <si>
    <t>(10)</t>
  </si>
  <si>
    <r>
      <t>GVEA Zehnder PM</t>
    </r>
    <r>
      <rPr>
        <vertAlign val="subscript"/>
        <sz val="11"/>
        <color theme="1"/>
        <rFont val="Calibri"/>
        <family val="2"/>
        <scheme val="minor"/>
      </rPr>
      <t>2.5</t>
    </r>
    <r>
      <rPr>
        <sz val="11"/>
        <color theme="1"/>
        <rFont val="Calibri"/>
        <family val="2"/>
        <scheme val="minor"/>
      </rPr>
      <t xml:space="preserve"> BACT Analysis - Frame 5 CTs (EU ID 1 and 2, cost per turbine)</t>
    </r>
  </si>
  <si>
    <t>*Notes regarding pertinent cost information and cost exclusion reasoning is included on the separate footnote reference page.</t>
  </si>
  <si>
    <t>Functional Checkout - onsite, enter %</t>
  </si>
  <si>
    <r>
      <t>Water Injection</t>
    </r>
    <r>
      <rPr>
        <vertAlign val="superscript"/>
        <sz val="11"/>
        <color theme="1"/>
        <rFont val="Calibri"/>
        <family val="2"/>
        <scheme val="minor"/>
      </rPr>
      <t>1</t>
    </r>
  </si>
  <si>
    <r>
      <t>Unit Operator Costs</t>
    </r>
    <r>
      <rPr>
        <vertAlign val="superscript"/>
        <sz val="12"/>
        <color theme="1"/>
        <rFont val="Calibri"/>
        <family val="2"/>
        <scheme val="minor"/>
      </rPr>
      <t>7</t>
    </r>
  </si>
  <si>
    <r>
      <t>Direct Installation Costs</t>
    </r>
    <r>
      <rPr>
        <b/>
        <vertAlign val="superscript"/>
        <sz val="12"/>
        <color theme="1"/>
        <rFont val="Calibri"/>
        <family val="2"/>
        <scheme val="minor"/>
      </rPr>
      <t>5,6</t>
    </r>
  </si>
  <si>
    <r>
      <t>Total Instrumentation</t>
    </r>
    <r>
      <rPr>
        <vertAlign val="superscript"/>
        <sz val="11"/>
        <color theme="1"/>
        <rFont val="Calibri"/>
        <family val="2"/>
        <scheme val="minor"/>
      </rPr>
      <t>4</t>
    </r>
  </si>
  <si>
    <r>
      <t>SCR</t>
    </r>
    <r>
      <rPr>
        <vertAlign val="superscript"/>
        <sz val="11"/>
        <color theme="1"/>
        <rFont val="Calibri"/>
        <family val="2"/>
        <scheme val="minor"/>
      </rPr>
      <t>2,3</t>
    </r>
  </si>
  <si>
    <r>
      <t>SCR Energy Use</t>
    </r>
    <r>
      <rPr>
        <vertAlign val="superscript"/>
        <sz val="11"/>
        <color theme="1"/>
        <rFont val="Calibri"/>
        <family val="2"/>
        <scheme val="minor"/>
      </rPr>
      <t>8</t>
    </r>
    <r>
      <rPr>
        <sz val="11"/>
        <color theme="1"/>
        <rFont val="Calibri"/>
        <family val="2"/>
        <scheme val="minor"/>
      </rPr>
      <t>:</t>
    </r>
  </si>
  <si>
    <t>h)</t>
  </si>
  <si>
    <t>Footnotes:</t>
  </si>
  <si>
    <t>Reagent Prep/Water Treatment/Structure</t>
  </si>
  <si>
    <t>Costs for reagent prep equipment and additional structures are discussed in a separately submitted CBI package.</t>
  </si>
  <si>
    <t>Continuous emissions monitoring system is included in capital costs under Reagent Prep/Water Treatment/Structure.</t>
  </si>
  <si>
    <t>Construction costs associated directly with SCR installation were conservatively estimated at double the capital cost. This seems reasonable given the current footprint of the turbine building. Additional structure costs were included under part (1)(a) This should be viewed as an engineering estimate only.</t>
  </si>
  <si>
    <t>Construction costs associated directly with water injection installation was conservatively estimated at half the capital cost. This is based on the assumption that some water treatment system work in addition to SCR treated water needs will be required to add water injection. This should be viewed as an engineering estimate only.</t>
  </si>
  <si>
    <t>Unit operator costs were excluded as these costs were not specified in vendor quotes and/or appropriate literature.</t>
  </si>
  <si>
    <t>Annual direct cost for SCR power consumption were excluded as vendor quotes did not specify system power requirements. However the reagent solutions will require continual heating to keep them in liquid form and a notable station load compared to the unit actual operation is expected.</t>
  </si>
  <si>
    <t>Source of SCR Capital Costs: ATCO Emissions Management. These were supply-only costs given in a range for the Frame 5s. The highpoint of the range provided ($2 – $3 million) was used.</t>
  </si>
  <si>
    <t xml:space="preserve">For the water injection option, costs have been included for a water treatment system. Zehnder does not have any water treatment system, thus would need reverse osmosis, electro de-ionization, storage tanks, small pumps, and interconnecting piping. It is unlikely this equipment and reagent preparation equipment would fit inside the existing turbine building as it is all essential for normal maintenance and operation.  </t>
  </si>
  <si>
    <t>SCR and Water Injection on the Simple Cycle Gas Turbines (EU IDs 1 and 2)</t>
  </si>
  <si>
    <t>Capital Costs for SCR and Water Injection on the Simple Cycle Gas Turbines (EU IDs 1 and 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</si>
</sst>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
    <numFmt numFmtId="165" formatCode="_(&quot;$&quot;* #,##0.0_);_(&quot;$&quot;* \(#,##0.0\);_(&quot;$&quot;* &quot;-&quot;?_);_(@_)"/>
  </numFmts>
  <fonts count="30" x14ac:knownFonts="1">
    <font>
      <sz val="11"/>
      <color theme="1"/>
      <name val="Calibri"/>
      <family val="2"/>
      <scheme val="minor"/>
    </font>
    <font>
      <sz val="11"/>
      <color theme="1"/>
      <name val="Arial"/>
      <family val="2"/>
    </font>
    <font>
      <sz val="11"/>
      <color theme="1"/>
      <name val="Arial"/>
      <family val="2"/>
    </font>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1"/>
      <name val="Calibri"/>
      <family val="2"/>
      <scheme val="minor"/>
    </font>
    <font>
      <b/>
      <sz val="12"/>
      <color theme="1"/>
      <name val="Calibri"/>
      <family val="2"/>
      <scheme val="minor"/>
    </font>
    <font>
      <sz val="11"/>
      <name val="Calibri"/>
      <family val="2"/>
      <scheme val="minor"/>
    </font>
    <font>
      <b/>
      <i/>
      <sz val="12"/>
      <color rgb="FF0070C0"/>
      <name val="Calibri"/>
      <family val="2"/>
      <scheme val="minor"/>
    </font>
    <font>
      <sz val="12"/>
      <color theme="1"/>
      <name val="Calibri"/>
      <family val="2"/>
      <scheme val="minor"/>
    </font>
    <font>
      <b/>
      <sz val="12"/>
      <color rgb="FF0070C0"/>
      <name val="Calibri"/>
      <family val="2"/>
      <scheme val="minor"/>
    </font>
    <font>
      <b/>
      <sz val="11"/>
      <color rgb="FF0070C0"/>
      <name val="Calibri"/>
      <family val="2"/>
      <scheme val="minor"/>
    </font>
    <font>
      <b/>
      <sz val="14"/>
      <color rgb="FF0070C0"/>
      <name val="Calibri"/>
      <family val="2"/>
      <scheme val="minor"/>
    </font>
    <font>
      <sz val="14"/>
      <color rgb="FF0070C0"/>
      <name val="Calibri"/>
      <family val="2"/>
      <scheme val="minor"/>
    </font>
    <font>
      <sz val="12"/>
      <color rgb="FF0070C0"/>
      <name val="Calibri"/>
      <family val="2"/>
      <scheme val="minor"/>
    </font>
    <font>
      <b/>
      <sz val="9"/>
      <color indexed="81"/>
      <name val="Tahoma"/>
      <family val="2"/>
    </font>
    <font>
      <sz val="9"/>
      <color indexed="81"/>
      <name val="Tahoma"/>
      <family val="2"/>
    </font>
    <font>
      <sz val="11"/>
      <color rgb="FF0070C0"/>
      <name val="Calibri"/>
      <family val="2"/>
      <scheme val="minor"/>
    </font>
    <font>
      <b/>
      <sz val="11"/>
      <color rgb="FFFF0000"/>
      <name val="Calibri"/>
      <family val="2"/>
      <scheme val="minor"/>
    </font>
    <font>
      <b/>
      <sz val="12"/>
      <name val="Calibri"/>
      <family val="2"/>
      <scheme val="minor"/>
    </font>
    <font>
      <sz val="10"/>
      <name val="Arial"/>
      <family val="2"/>
    </font>
    <font>
      <vertAlign val="subscript"/>
      <sz val="11"/>
      <color theme="1"/>
      <name val="Calibri"/>
      <family val="2"/>
      <scheme val="minor"/>
    </font>
    <font>
      <b/>
      <sz val="11"/>
      <color theme="1"/>
      <name val="Arial"/>
      <family val="2"/>
    </font>
    <font>
      <sz val="12"/>
      <name val="Times New Roman"/>
      <family val="1"/>
    </font>
    <font>
      <vertAlign val="superscript"/>
      <sz val="11"/>
      <color theme="1"/>
      <name val="Calibri"/>
      <family val="2"/>
      <scheme val="minor"/>
    </font>
    <font>
      <b/>
      <vertAlign val="superscript"/>
      <sz val="12"/>
      <color theme="1"/>
      <name val="Calibri"/>
      <family val="2"/>
      <scheme val="minor"/>
    </font>
    <font>
      <vertAlign val="superscript"/>
      <sz val="12"/>
      <color theme="1"/>
      <name val="Calibri"/>
      <family val="2"/>
      <scheme val="minor"/>
    </font>
    <font>
      <vertAlign val="superscript"/>
      <sz val="11"/>
      <color theme="1"/>
      <name val="Arial"/>
      <family val="2"/>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double">
        <color indexed="64"/>
      </bottom>
      <diagonal/>
    </border>
    <border>
      <left style="thick">
        <color indexed="64"/>
      </left>
      <right/>
      <top style="thick">
        <color indexed="64"/>
      </top>
      <bottom/>
      <diagonal/>
    </border>
    <border>
      <left/>
      <right/>
      <top style="thick">
        <color indexed="64"/>
      </top>
      <bottom/>
      <diagonal/>
    </border>
    <border>
      <left/>
      <right style="thick">
        <color auto="1"/>
      </right>
      <top style="thick">
        <color auto="1"/>
      </top>
      <bottom/>
      <diagonal/>
    </border>
    <border>
      <left style="thick">
        <color auto="1"/>
      </left>
      <right/>
      <top/>
      <bottom/>
      <diagonal/>
    </border>
    <border>
      <left/>
      <right/>
      <top/>
      <bottom style="thin">
        <color indexed="64"/>
      </bottom>
      <diagonal/>
    </border>
    <border>
      <left/>
      <right style="thick">
        <color auto="1"/>
      </right>
      <top/>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auto="1"/>
      </left>
      <right/>
      <top/>
      <bottom style="double">
        <color indexed="64"/>
      </bottom>
      <diagonal/>
    </border>
    <border>
      <left/>
      <right style="thick">
        <color auto="1"/>
      </right>
      <top/>
      <bottom style="double">
        <color indexed="64"/>
      </bottom>
      <diagonal/>
    </border>
    <border>
      <left style="thick">
        <color auto="1"/>
      </left>
      <right/>
      <top style="double">
        <color indexed="64"/>
      </top>
      <bottom/>
      <diagonal/>
    </border>
    <border>
      <left/>
      <right/>
      <top style="double">
        <color indexed="64"/>
      </top>
      <bottom/>
      <diagonal/>
    </border>
    <border>
      <left/>
      <right style="thick">
        <color auto="1"/>
      </right>
      <top style="double">
        <color indexed="64"/>
      </top>
      <bottom/>
      <diagonal/>
    </border>
    <border>
      <left style="thick">
        <color auto="1"/>
      </left>
      <right/>
      <top style="thin">
        <color auto="1"/>
      </top>
      <bottom style="thin">
        <color auto="1"/>
      </bottom>
      <diagonal/>
    </border>
    <border>
      <left/>
      <right/>
      <top style="thin">
        <color indexed="64"/>
      </top>
      <bottom style="thin">
        <color indexed="64"/>
      </bottom>
      <diagonal/>
    </border>
    <border>
      <left/>
      <right style="thick">
        <color auto="1"/>
      </right>
      <top style="thin">
        <color auto="1"/>
      </top>
      <bottom style="thin">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right style="thin">
        <color indexed="64"/>
      </right>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7">
    <xf numFmtId="0" fontId="0"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22" fillId="0" borderId="0"/>
    <xf numFmtId="0" fontId="25" fillId="0" borderId="0"/>
    <xf numFmtId="0" fontId="3" fillId="0" borderId="0"/>
  </cellStyleXfs>
  <cellXfs count="193">
    <xf numFmtId="0" fontId="0" fillId="0" borderId="0" xfId="0"/>
    <xf numFmtId="0" fontId="5" fillId="0" borderId="5" xfId="0" applyFont="1" applyBorder="1"/>
    <xf numFmtId="0" fontId="6" fillId="0" borderId="6" xfId="0" applyFont="1" applyBorder="1"/>
    <xf numFmtId="0" fontId="0" fillId="0" borderId="6" xfId="0" applyBorder="1"/>
    <xf numFmtId="0" fontId="0" fillId="0" borderId="6" xfId="0" applyBorder="1" applyAlignment="1">
      <alignment horizontal="right"/>
    </xf>
    <xf numFmtId="14" fontId="0" fillId="0" borderId="7" xfId="0" applyNumberFormat="1" applyBorder="1" applyAlignment="1">
      <alignment horizontal="right"/>
    </xf>
    <xf numFmtId="0" fontId="0" fillId="0" borderId="8" xfId="0" applyBorder="1"/>
    <xf numFmtId="0" fontId="0" fillId="0" borderId="0" xfId="0" applyBorder="1"/>
    <xf numFmtId="0" fontId="0" fillId="0" borderId="9" xfId="0" applyBorder="1"/>
    <xf numFmtId="0" fontId="0" fillId="0" borderId="0" xfId="0" applyBorder="1" applyAlignment="1">
      <alignment horizontal="right"/>
    </xf>
    <xf numFmtId="0" fontId="0" fillId="0" borderId="10" xfId="0" applyBorder="1" applyAlignment="1">
      <alignment horizontal="right"/>
    </xf>
    <xf numFmtId="0" fontId="0" fillId="0" borderId="11" xfId="0" applyBorder="1"/>
    <xf numFmtId="0" fontId="0" fillId="0" borderId="12" xfId="0" applyBorder="1"/>
    <xf numFmtId="0" fontId="0" fillId="0" borderId="12" xfId="0" applyBorder="1" applyAlignment="1">
      <alignment horizontal="right"/>
    </xf>
    <xf numFmtId="0" fontId="0" fillId="0" borderId="13" xfId="0" applyBorder="1" applyAlignment="1">
      <alignment horizontal="right"/>
    </xf>
    <xf numFmtId="0" fontId="5" fillId="0" borderId="16" xfId="0" applyFont="1" applyBorder="1"/>
    <xf numFmtId="0" fontId="0" fillId="0" borderId="17" xfId="0" applyBorder="1"/>
    <xf numFmtId="0" fontId="4" fillId="0" borderId="17" xfId="0" applyFont="1" applyBorder="1" applyAlignment="1">
      <alignment horizontal="center"/>
    </xf>
    <xf numFmtId="0" fontId="7" fillId="0" borderId="17" xfId="0" applyFont="1" applyBorder="1" applyAlignment="1">
      <alignment horizontal="center"/>
    </xf>
    <xf numFmtId="0" fontId="4" fillId="0" borderId="17" xfId="0" applyFont="1" applyFill="1" applyBorder="1" applyAlignment="1">
      <alignment horizontal="center"/>
    </xf>
    <xf numFmtId="0" fontId="0" fillId="0" borderId="18" xfId="0" applyBorder="1"/>
    <xf numFmtId="0" fontId="8" fillId="0" borderId="8" xfId="0" applyFont="1" applyBorder="1"/>
    <xf numFmtId="0" fontId="4" fillId="0" borderId="0" xfId="0" applyFont="1" applyBorder="1" applyAlignment="1">
      <alignment horizontal="center"/>
    </xf>
    <xf numFmtId="0" fontId="7" fillId="0" borderId="0" xfId="0" applyFont="1" applyBorder="1" applyAlignment="1">
      <alignment horizontal="center"/>
    </xf>
    <xf numFmtId="0" fontId="4" fillId="0" borderId="0" xfId="0" applyFont="1" applyFill="1" applyBorder="1" applyAlignment="1">
      <alignment horizontal="center"/>
    </xf>
    <xf numFmtId="0" fontId="4" fillId="0" borderId="10" xfId="0" applyFont="1" applyBorder="1" applyAlignment="1">
      <alignment horizontal="center"/>
    </xf>
    <xf numFmtId="49" fontId="8" fillId="0" borderId="8" xfId="0" applyNumberFormat="1" applyFont="1" applyBorder="1"/>
    <xf numFmtId="0" fontId="8" fillId="0" borderId="0" xfId="0" applyFont="1" applyBorder="1"/>
    <xf numFmtId="49" fontId="0" fillId="0" borderId="0" xfId="0" applyNumberFormat="1" applyBorder="1" applyAlignment="1">
      <alignment horizontal="center"/>
    </xf>
    <xf numFmtId="0" fontId="0" fillId="0" borderId="10" xfId="0" applyBorder="1"/>
    <xf numFmtId="49" fontId="4" fillId="0" borderId="0" xfId="0" applyNumberFormat="1" applyFont="1" applyBorder="1" applyAlignment="1">
      <alignment horizontal="right"/>
    </xf>
    <xf numFmtId="42" fontId="4" fillId="0" borderId="10" xfId="0" applyNumberFormat="1" applyFont="1" applyBorder="1"/>
    <xf numFmtId="0" fontId="4" fillId="0" borderId="8" xfId="0" applyFont="1" applyBorder="1"/>
    <xf numFmtId="0" fontId="4" fillId="0" borderId="0" xfId="0" applyFont="1" applyBorder="1"/>
    <xf numFmtId="0" fontId="0" fillId="0" borderId="0" xfId="0" applyFont="1" applyBorder="1"/>
    <xf numFmtId="0" fontId="0" fillId="2" borderId="1" xfId="0" applyFill="1" applyBorder="1" applyAlignment="1">
      <alignment horizontal="center"/>
    </xf>
    <xf numFmtId="0" fontId="0" fillId="0" borderId="0" xfId="0" applyBorder="1" applyAlignment="1">
      <alignment horizontal="center"/>
    </xf>
    <xf numFmtId="42" fontId="0" fillId="0" borderId="0" xfId="0" applyNumberFormat="1" applyBorder="1"/>
    <xf numFmtId="44" fontId="0" fillId="0" borderId="0" xfId="0" applyNumberFormat="1" applyBorder="1" applyAlignment="1">
      <alignment horizontal="right"/>
    </xf>
    <xf numFmtId="44" fontId="0" fillId="0" borderId="10" xfId="0" applyNumberFormat="1" applyBorder="1"/>
    <xf numFmtId="0" fontId="4" fillId="0" borderId="8" xfId="0" applyFont="1" applyFill="1" applyBorder="1"/>
    <xf numFmtId="0" fontId="4" fillId="0" borderId="0" xfId="0" applyFont="1" applyFill="1" applyBorder="1"/>
    <xf numFmtId="0" fontId="0" fillId="0" borderId="0" xfId="0" applyFont="1" applyFill="1" applyBorder="1"/>
    <xf numFmtId="42" fontId="0" fillId="0" borderId="0" xfId="0" applyNumberFormat="1" applyFill="1" applyBorder="1"/>
    <xf numFmtId="44" fontId="4" fillId="0" borderId="0" xfId="0" applyNumberFormat="1" applyFont="1" applyBorder="1" applyAlignment="1">
      <alignment horizontal="right"/>
    </xf>
    <xf numFmtId="0" fontId="8" fillId="0" borderId="0" xfId="0" applyFont="1" applyFill="1" applyBorder="1"/>
    <xf numFmtId="0" fontId="0" fillId="0" borderId="0" xfId="0" applyFill="1" applyBorder="1" applyAlignment="1">
      <alignment horizontal="center"/>
    </xf>
    <xf numFmtId="44" fontId="0" fillId="0" borderId="0" xfId="0" applyNumberFormat="1" applyFill="1" applyBorder="1"/>
    <xf numFmtId="42" fontId="0" fillId="0" borderId="10" xfId="0" applyNumberFormat="1" applyBorder="1"/>
    <xf numFmtId="0" fontId="7" fillId="0" borderId="8" xfId="0" applyFont="1" applyFill="1" applyBorder="1"/>
    <xf numFmtId="0" fontId="7" fillId="0" borderId="0" xfId="0" applyFont="1" applyFill="1" applyBorder="1"/>
    <xf numFmtId="0" fontId="9" fillId="0" borderId="0" xfId="0" applyFont="1" applyFill="1" applyBorder="1"/>
    <xf numFmtId="0" fontId="9" fillId="0" borderId="0" xfId="0" applyFont="1" applyFill="1" applyBorder="1" applyAlignment="1">
      <alignment horizontal="center"/>
    </xf>
    <xf numFmtId="42" fontId="9" fillId="0" borderId="0" xfId="0" applyNumberFormat="1" applyFont="1" applyFill="1" applyBorder="1"/>
    <xf numFmtId="9" fontId="0" fillId="2" borderId="1" xfId="2" applyFont="1" applyFill="1" applyBorder="1" applyAlignment="1">
      <alignment horizontal="center"/>
    </xf>
    <xf numFmtId="0" fontId="0" fillId="0" borderId="8" xfId="0" applyFont="1" applyFill="1" applyBorder="1"/>
    <xf numFmtId="0" fontId="0" fillId="0" borderId="0" xfId="0" applyFont="1" applyFill="1" applyBorder="1" applyAlignment="1">
      <alignment horizontal="center"/>
    </xf>
    <xf numFmtId="42" fontId="0" fillId="0" borderId="0" xfId="0" applyNumberFormat="1" applyFont="1" applyFill="1" applyBorder="1"/>
    <xf numFmtId="0" fontId="0" fillId="0" borderId="8" xfId="0" applyFont="1" applyBorder="1"/>
    <xf numFmtId="0" fontId="0" fillId="2" borderId="1" xfId="0" applyFont="1" applyFill="1" applyBorder="1" applyAlignment="1">
      <alignment horizontal="center"/>
    </xf>
    <xf numFmtId="0" fontId="0" fillId="0" borderId="0" xfId="0" applyFont="1" applyBorder="1" applyAlignment="1">
      <alignment horizontal="center"/>
    </xf>
    <xf numFmtId="44" fontId="0" fillId="2" borderId="1" xfId="0" applyNumberFormat="1" applyFont="1" applyFill="1" applyBorder="1"/>
    <xf numFmtId="42" fontId="0" fillId="0" borderId="0" xfId="0" applyNumberFormat="1" applyFont="1" applyBorder="1"/>
    <xf numFmtId="44" fontId="0" fillId="0" borderId="0" xfId="0" applyNumberFormat="1" applyFont="1" applyBorder="1" applyAlignment="1">
      <alignment horizontal="right"/>
    </xf>
    <xf numFmtId="42" fontId="0" fillId="0" borderId="10" xfId="0" applyNumberFormat="1" applyFont="1" applyBorder="1"/>
    <xf numFmtId="0" fontId="10" fillId="0" borderId="19" xfId="0" applyFont="1" applyBorder="1"/>
    <xf numFmtId="0" fontId="11" fillId="0" borderId="20" xfId="0" applyFont="1" applyBorder="1"/>
    <xf numFmtId="42" fontId="0" fillId="0" borderId="20" xfId="0" applyNumberFormat="1" applyBorder="1"/>
    <xf numFmtId="44" fontId="12" fillId="0" borderId="20" xfId="0" applyNumberFormat="1" applyFont="1" applyBorder="1" applyAlignment="1">
      <alignment horizontal="right"/>
    </xf>
    <xf numFmtId="0" fontId="11" fillId="0" borderId="8" xfId="0" applyFont="1" applyBorder="1"/>
    <xf numFmtId="0" fontId="11" fillId="0" borderId="0" xfId="0" applyFont="1" applyBorder="1"/>
    <xf numFmtId="44" fontId="0" fillId="0" borderId="0" xfId="0" applyNumberFormat="1" applyBorder="1"/>
    <xf numFmtId="0" fontId="8" fillId="0" borderId="20" xfId="0" applyFont="1" applyBorder="1"/>
    <xf numFmtId="42" fontId="4" fillId="0" borderId="20" xfId="0" applyNumberFormat="1" applyFont="1" applyBorder="1"/>
    <xf numFmtId="0" fontId="10" fillId="0" borderId="20" xfId="0" applyFont="1" applyBorder="1"/>
    <xf numFmtId="44" fontId="4" fillId="0" borderId="20" xfId="0" applyNumberFormat="1" applyFont="1" applyBorder="1"/>
    <xf numFmtId="49" fontId="11" fillId="0" borderId="8" xfId="0" applyNumberFormat="1" applyFont="1" applyBorder="1"/>
    <xf numFmtId="44" fontId="0" fillId="0" borderId="10" xfId="0" applyNumberFormat="1" applyBorder="1" applyAlignment="1">
      <alignment horizontal="right"/>
    </xf>
    <xf numFmtId="0" fontId="4" fillId="0" borderId="20" xfId="0" applyFont="1" applyBorder="1"/>
    <xf numFmtId="0" fontId="4" fillId="0" borderId="20" xfId="0" applyFont="1" applyBorder="1" applyAlignment="1">
      <alignment horizontal="center"/>
    </xf>
    <xf numFmtId="44" fontId="0" fillId="0" borderId="0" xfId="0" applyNumberFormat="1" applyBorder="1" applyAlignment="1">
      <alignment horizontal="center"/>
    </xf>
    <xf numFmtId="9" fontId="0" fillId="2" borderId="1" xfId="2" applyFont="1" applyFill="1" applyBorder="1"/>
    <xf numFmtId="0" fontId="12" fillId="0" borderId="20" xfId="0" applyFont="1" applyBorder="1"/>
    <xf numFmtId="0" fontId="13" fillId="0" borderId="20" xfId="0" applyFont="1" applyBorder="1"/>
    <xf numFmtId="44" fontId="13" fillId="0" borderId="20" xfId="0" applyNumberFormat="1" applyFont="1" applyBorder="1"/>
    <xf numFmtId="0" fontId="14" fillId="0" borderId="22" xfId="0" applyFont="1" applyBorder="1"/>
    <xf numFmtId="0" fontId="15" fillId="0" borderId="23" xfId="0" applyFont="1" applyBorder="1"/>
    <xf numFmtId="0" fontId="14" fillId="0" borderId="23" xfId="0" applyFont="1" applyBorder="1"/>
    <xf numFmtId="44" fontId="15" fillId="0" borderId="23" xfId="0" applyNumberFormat="1" applyFont="1" applyBorder="1"/>
    <xf numFmtId="44" fontId="16" fillId="0" borderId="23" xfId="0" applyNumberFormat="1" applyFont="1" applyBorder="1"/>
    <xf numFmtId="44" fontId="12" fillId="0" borderId="23" xfId="0" applyNumberFormat="1" applyFont="1" applyBorder="1" applyAlignment="1">
      <alignment horizontal="right"/>
    </xf>
    <xf numFmtId="0" fontId="5" fillId="0" borderId="6" xfId="0" applyFont="1" applyBorder="1"/>
    <xf numFmtId="0" fontId="8" fillId="0" borderId="28" xfId="0" applyFont="1" applyBorder="1"/>
    <xf numFmtId="0" fontId="8" fillId="0" borderId="29" xfId="0" applyFont="1" applyBorder="1"/>
    <xf numFmtId="0" fontId="0" fillId="0" borderId="29" xfId="0" applyBorder="1"/>
    <xf numFmtId="0" fontId="4" fillId="0" borderId="29" xfId="0" applyFont="1" applyBorder="1" applyAlignment="1">
      <alignment horizontal="center"/>
    </xf>
    <xf numFmtId="0" fontId="7" fillId="0" borderId="29" xfId="0" applyFont="1" applyBorder="1" applyAlignment="1">
      <alignment horizontal="center"/>
    </xf>
    <xf numFmtId="0" fontId="4" fillId="0" borderId="29" xfId="0" applyFont="1" applyFill="1" applyBorder="1" applyAlignment="1">
      <alignment horizontal="center"/>
    </xf>
    <xf numFmtId="0" fontId="4" fillId="0" borderId="30" xfId="0" applyFont="1" applyBorder="1" applyAlignment="1">
      <alignment horizontal="center"/>
    </xf>
    <xf numFmtId="49" fontId="0" fillId="0" borderId="8" xfId="0" applyNumberFormat="1" applyBorder="1"/>
    <xf numFmtId="42" fontId="0" fillId="0" borderId="0" xfId="0" applyNumberFormat="1" applyBorder="1" applyAlignment="1">
      <alignment horizontal="right"/>
    </xf>
    <xf numFmtId="2" fontId="0" fillId="2" borderId="1" xfId="0" applyNumberFormat="1" applyFill="1" applyBorder="1" applyAlignment="1">
      <alignment horizontal="center"/>
    </xf>
    <xf numFmtId="0" fontId="0" fillId="0" borderId="0" xfId="0" applyFill="1" applyBorder="1"/>
    <xf numFmtId="0" fontId="0" fillId="0" borderId="8" xfId="0" applyBorder="1" applyAlignment="1">
      <alignment horizontal="left"/>
    </xf>
    <xf numFmtId="49" fontId="13" fillId="0" borderId="0" xfId="0" applyNumberFormat="1" applyFont="1" applyBorder="1"/>
    <xf numFmtId="164" fontId="0" fillId="0" borderId="0" xfId="0" applyNumberFormat="1" applyFill="1" applyBorder="1"/>
    <xf numFmtId="42" fontId="19" fillId="0" borderId="0" xfId="0" applyNumberFormat="1" applyFont="1" applyBorder="1"/>
    <xf numFmtId="49" fontId="13" fillId="0" borderId="19" xfId="0" applyNumberFormat="1" applyFont="1" applyBorder="1"/>
    <xf numFmtId="49" fontId="13" fillId="0" borderId="20" xfId="0" applyNumberFormat="1" applyFont="1" applyBorder="1"/>
    <xf numFmtId="0" fontId="0" fillId="0" borderId="20" xfId="0" applyBorder="1" applyAlignment="1">
      <alignment horizontal="left"/>
    </xf>
    <xf numFmtId="164" fontId="0" fillId="0" borderId="20" xfId="0" applyNumberFormat="1" applyBorder="1" applyAlignment="1">
      <alignment horizontal="center"/>
    </xf>
    <xf numFmtId="42" fontId="0" fillId="0" borderId="20" xfId="0" applyNumberFormat="1" applyBorder="1" applyAlignment="1">
      <alignment horizontal="right"/>
    </xf>
    <xf numFmtId="42" fontId="19" fillId="0" borderId="20" xfId="0" applyNumberFormat="1" applyFont="1" applyBorder="1"/>
    <xf numFmtId="42" fontId="13" fillId="0" borderId="20" xfId="0" applyNumberFormat="1" applyFont="1" applyBorder="1" applyAlignment="1">
      <alignment horizontal="right"/>
    </xf>
    <xf numFmtId="42" fontId="0" fillId="0" borderId="21" xfId="0" applyNumberFormat="1" applyBorder="1"/>
    <xf numFmtId="42" fontId="13" fillId="0" borderId="0" xfId="0" applyNumberFormat="1" applyFont="1" applyBorder="1" applyAlignment="1">
      <alignment horizontal="right"/>
    </xf>
    <xf numFmtId="0" fontId="0" fillId="0" borderId="10" xfId="0" applyFill="1" applyBorder="1" applyAlignment="1">
      <alignment horizontal="center"/>
    </xf>
    <xf numFmtId="0" fontId="20" fillId="0" borderId="0" xfId="0" applyFont="1"/>
    <xf numFmtId="42" fontId="13" fillId="0" borderId="0" xfId="0" applyNumberFormat="1" applyFont="1" applyBorder="1"/>
    <xf numFmtId="42" fontId="7" fillId="0" borderId="0" xfId="0" applyNumberFormat="1" applyFont="1" applyBorder="1" applyAlignment="1">
      <alignment horizontal="right"/>
    </xf>
    <xf numFmtId="0" fontId="19" fillId="0" borderId="20" xfId="0" applyFont="1" applyBorder="1"/>
    <xf numFmtId="0" fontId="19" fillId="0" borderId="20" xfId="0" applyFont="1" applyBorder="1" applyAlignment="1">
      <alignment horizontal="center"/>
    </xf>
    <xf numFmtId="42" fontId="0" fillId="0" borderId="20" xfId="0" applyNumberFormat="1" applyFill="1" applyBorder="1"/>
    <xf numFmtId="49" fontId="4" fillId="0" borderId="8" xfId="0" applyNumberFormat="1" applyFont="1" applyBorder="1"/>
    <xf numFmtId="49" fontId="4" fillId="0" borderId="0" xfId="0" applyNumberFormat="1" applyFont="1" applyBorder="1"/>
    <xf numFmtId="49" fontId="21" fillId="0" borderId="19" xfId="0" applyNumberFormat="1" applyFont="1" applyBorder="1"/>
    <xf numFmtId="49" fontId="21" fillId="0" borderId="20" xfId="0" applyNumberFormat="1" applyFont="1" applyBorder="1"/>
    <xf numFmtId="0" fontId="0" fillId="0" borderId="20" xfId="0" applyBorder="1"/>
    <xf numFmtId="42" fontId="13" fillId="0" borderId="20" xfId="0" applyNumberFormat="1" applyFont="1" applyBorder="1"/>
    <xf numFmtId="49" fontId="0" fillId="0" borderId="0" xfId="0" applyNumberFormat="1" applyBorder="1" applyAlignment="1">
      <alignment horizontal="right"/>
    </xf>
    <xf numFmtId="0" fontId="0" fillId="2" borderId="35" xfId="0" applyFill="1" applyBorder="1" applyAlignment="1">
      <alignment horizontal="center"/>
    </xf>
    <xf numFmtId="0" fontId="8" fillId="0" borderId="22" xfId="0" applyFont="1" applyBorder="1"/>
    <xf numFmtId="0" fontId="8" fillId="0" borderId="23" xfId="0" applyFont="1" applyBorder="1"/>
    <xf numFmtId="0" fontId="0" fillId="0" borderId="23" xfId="0" applyBorder="1"/>
    <xf numFmtId="0" fontId="12" fillId="0" borderId="23" xfId="0" applyFont="1" applyBorder="1"/>
    <xf numFmtId="49" fontId="13" fillId="0" borderId="23" xfId="0" applyNumberFormat="1" applyFont="1" applyBorder="1" applyAlignment="1">
      <alignment horizontal="right"/>
    </xf>
    <xf numFmtId="0" fontId="4" fillId="0" borderId="36" xfId="0" applyFont="1" applyBorder="1" applyAlignment="1">
      <alignment horizontal="left"/>
    </xf>
    <xf numFmtId="0" fontId="4" fillId="0" borderId="37" xfId="0" applyFont="1" applyBorder="1" applyAlignment="1">
      <alignment horizontal="center"/>
    </xf>
    <xf numFmtId="0" fontId="4" fillId="0" borderId="0" xfId="0" applyFont="1" applyAlignment="1">
      <alignment horizontal="center"/>
    </xf>
    <xf numFmtId="0" fontId="0" fillId="0" borderId="38" xfId="0" applyBorder="1"/>
    <xf numFmtId="0" fontId="0" fillId="0" borderId="39" xfId="0" applyBorder="1"/>
    <xf numFmtId="0" fontId="0" fillId="0" borderId="40" xfId="0" applyBorder="1"/>
    <xf numFmtId="0" fontId="0" fillId="2" borderId="2" xfId="0" applyFill="1" applyBorder="1" applyAlignment="1">
      <alignment horizontal="center"/>
    </xf>
    <xf numFmtId="0" fontId="0" fillId="0" borderId="41" xfId="0" applyBorder="1"/>
    <xf numFmtId="3" fontId="0" fillId="2" borderId="1" xfId="0" applyNumberFormat="1" applyFill="1" applyBorder="1" applyAlignment="1">
      <alignment horizontal="center"/>
    </xf>
    <xf numFmtId="44" fontId="0" fillId="0" borderId="0" xfId="0" applyNumberFormat="1" applyFont="1" applyFill="1" applyBorder="1"/>
    <xf numFmtId="10" fontId="0" fillId="2" borderId="1" xfId="0" applyNumberFormat="1" applyFont="1" applyFill="1" applyBorder="1" applyAlignment="1">
      <alignment horizontal="center"/>
    </xf>
    <xf numFmtId="0" fontId="0" fillId="0" borderId="20" xfId="0" applyBorder="1" applyAlignment="1"/>
    <xf numFmtId="41" fontId="4" fillId="0" borderId="21" xfId="0" applyNumberFormat="1" applyFont="1" applyBorder="1"/>
    <xf numFmtId="42" fontId="0" fillId="0" borderId="0" xfId="0" applyNumberFormat="1"/>
    <xf numFmtId="41" fontId="13" fillId="0" borderId="21" xfId="0" applyNumberFormat="1" applyFont="1" applyBorder="1"/>
    <xf numFmtId="41" fontId="14" fillId="0" borderId="24" xfId="0" applyNumberFormat="1" applyFont="1" applyBorder="1"/>
    <xf numFmtId="1" fontId="0" fillId="2" borderId="1" xfId="0" applyNumberFormat="1" applyFill="1" applyBorder="1" applyAlignment="1">
      <alignment horizontal="center"/>
    </xf>
    <xf numFmtId="2" fontId="0" fillId="0" borderId="0" xfId="0" applyNumberFormat="1" applyFill="1" applyBorder="1" applyAlignment="1">
      <alignment horizontal="center"/>
    </xf>
    <xf numFmtId="49" fontId="0" fillId="0" borderId="0" xfId="0" applyNumberFormat="1" applyBorder="1"/>
    <xf numFmtId="44" fontId="0" fillId="0" borderId="0" xfId="0" applyNumberFormat="1" applyBorder="1" applyAlignment="1"/>
    <xf numFmtId="9" fontId="0" fillId="0" borderId="0" xfId="2" applyFont="1" applyFill="1" applyBorder="1" applyAlignment="1">
      <alignment horizontal="center"/>
    </xf>
    <xf numFmtId="44" fontId="0" fillId="0" borderId="20" xfId="0" applyNumberFormat="1" applyBorder="1" applyAlignment="1">
      <alignment horizontal="right"/>
    </xf>
    <xf numFmtId="10" fontId="0" fillId="2" borderId="1" xfId="0" applyNumberFormat="1" applyFill="1" applyBorder="1" applyAlignment="1">
      <alignment horizontal="center"/>
    </xf>
    <xf numFmtId="44" fontId="0" fillId="0" borderId="0" xfId="0" applyNumberFormat="1"/>
    <xf numFmtId="165" fontId="0" fillId="0" borderId="0" xfId="0" applyNumberFormat="1"/>
    <xf numFmtId="43" fontId="0" fillId="2" borderId="1" xfId="1" applyFont="1" applyFill="1" applyBorder="1" applyAlignment="1">
      <alignment horizontal="center"/>
    </xf>
    <xf numFmtId="0" fontId="0" fillId="2" borderId="3" xfId="0" applyFill="1" applyBorder="1" applyAlignment="1">
      <alignment horizontal="center"/>
    </xf>
    <xf numFmtId="0" fontId="0" fillId="0" borderId="20" xfId="0" applyBorder="1" applyAlignment="1">
      <alignment horizontal="center"/>
    </xf>
    <xf numFmtId="0" fontId="4" fillId="0" borderId="20" xfId="0" applyFont="1" applyBorder="1" applyAlignment="1"/>
    <xf numFmtId="49" fontId="0" fillId="0" borderId="10" xfId="0" applyNumberFormat="1" applyBorder="1" applyAlignment="1">
      <alignment horizontal="right"/>
    </xf>
    <xf numFmtId="49" fontId="0" fillId="0" borderId="42" xfId="0" applyNumberFormat="1" applyBorder="1" applyAlignment="1">
      <alignment horizontal="right"/>
    </xf>
    <xf numFmtId="0" fontId="2" fillId="0" borderId="0" xfId="0" applyFont="1"/>
    <xf numFmtId="0" fontId="24" fillId="0" borderId="0" xfId="0" applyFont="1" applyAlignment="1">
      <alignment horizontal="center" vertical="center"/>
    </xf>
    <xf numFmtId="3" fontId="0" fillId="0" borderId="0" xfId="0" applyNumberFormat="1" applyFill="1" applyBorder="1" applyAlignment="1">
      <alignment horizontal="center"/>
    </xf>
    <xf numFmtId="0" fontId="2" fillId="0" borderId="0" xfId="0" applyFont="1" applyAlignment="1"/>
    <xf numFmtId="0" fontId="29" fillId="0" borderId="0" xfId="0" applyFont="1" applyAlignment="1"/>
    <xf numFmtId="0" fontId="29" fillId="0" borderId="0" xfId="0" applyFont="1" applyAlignment="1">
      <alignment horizontal="left" vertical="top"/>
    </xf>
    <xf numFmtId="0" fontId="29" fillId="0" borderId="0" xfId="0" applyFont="1" applyAlignment="1">
      <alignment horizontal="right" vertical="top"/>
    </xf>
    <xf numFmtId="0" fontId="24" fillId="0" borderId="0" xfId="0" applyFont="1" applyAlignment="1">
      <alignment horizontal="center" vertical="center"/>
    </xf>
    <xf numFmtId="0" fontId="5" fillId="3" borderId="14"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5" xfId="0" applyFont="1" applyFill="1" applyBorder="1" applyAlignment="1">
      <alignment horizontal="center" vertical="center"/>
    </xf>
    <xf numFmtId="0" fontId="0" fillId="2" borderId="3" xfId="0" applyFill="1" applyBorder="1" applyAlignment="1">
      <alignment horizontal="center"/>
    </xf>
    <xf numFmtId="0" fontId="0" fillId="0" borderId="20" xfId="0" applyBorder="1" applyAlignment="1">
      <alignment horizontal="center"/>
    </xf>
    <xf numFmtId="0" fontId="1" fillId="0" borderId="0" xfId="0" applyFont="1" applyBorder="1" applyAlignment="1">
      <alignment horizontal="left" vertical="top" wrapText="1"/>
    </xf>
    <xf numFmtId="0" fontId="8" fillId="3" borderId="8" xfId="0" applyFont="1" applyFill="1" applyBorder="1" applyAlignment="1">
      <alignment horizontal="center"/>
    </xf>
    <xf numFmtId="0" fontId="8" fillId="3" borderId="0" xfId="0" applyFont="1" applyFill="1" applyBorder="1" applyAlignment="1">
      <alignment horizontal="center"/>
    </xf>
    <xf numFmtId="0" fontId="8" fillId="3" borderId="10" xfId="0" applyFont="1" applyFill="1" applyBorder="1" applyAlignment="1">
      <alignment horizontal="center"/>
    </xf>
    <xf numFmtId="0" fontId="8" fillId="3" borderId="32" xfId="0" applyFont="1" applyFill="1" applyBorder="1" applyAlignment="1">
      <alignment horizontal="center"/>
    </xf>
    <xf numFmtId="0" fontId="8" fillId="3" borderId="33" xfId="0" applyFont="1" applyFill="1" applyBorder="1" applyAlignment="1">
      <alignment horizontal="center"/>
    </xf>
    <xf numFmtId="0" fontId="8" fillId="3" borderId="34" xfId="0" applyFont="1" applyFill="1" applyBorder="1" applyAlignment="1">
      <alignment horizontal="center"/>
    </xf>
    <xf numFmtId="0" fontId="0" fillId="2" borderId="25" xfId="0" applyFill="1" applyBorder="1" applyAlignment="1">
      <alignment horizontal="right"/>
    </xf>
    <xf numFmtId="0" fontId="0" fillId="2" borderId="26" xfId="0" applyFill="1" applyBorder="1" applyAlignment="1">
      <alignment horizontal="right"/>
    </xf>
    <xf numFmtId="0" fontId="0" fillId="2" borderId="27" xfId="0" applyFill="1" applyBorder="1" applyAlignment="1">
      <alignment horizontal="right"/>
    </xf>
    <xf numFmtId="0" fontId="0" fillId="0" borderId="0" xfId="0" applyBorder="1" applyAlignment="1">
      <alignment horizontal="left"/>
    </xf>
    <xf numFmtId="0" fontId="0" fillId="0" borderId="31" xfId="0" applyBorder="1" applyAlignment="1">
      <alignment horizontal="left"/>
    </xf>
    <xf numFmtId="44" fontId="0" fillId="0" borderId="24" xfId="0" applyNumberFormat="1" applyBorder="1"/>
  </cellXfs>
  <cellStyles count="7">
    <cellStyle name="Comma" xfId="1" builtinId="3"/>
    <cellStyle name="Normal" xfId="0" builtinId="0"/>
    <cellStyle name="Normal 12" xfId="3"/>
    <cellStyle name="Normal 18" xfId="5"/>
    <cellStyle name="Normal 2" xfId="4"/>
    <cellStyle name="Normal 3" xfId="6"/>
    <cellStyle name="Percent" xfId="2"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Medium9">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B1:M80"/>
  <sheetViews>
    <sheetView view="pageLayout" topLeftCell="A31" zoomScaleNormal="70" workbookViewId="0">
      <selection activeCell="D51" sqref="D51"/>
    </sheetView>
  </sheetViews>
  <sheetFormatPr defaultRowHeight="15" x14ac:dyDescent="0.25"/>
  <cols>
    <col min="1" max="1" width="2.28515625" customWidth="1"/>
    <col min="2" max="2" width="5.28515625" customWidth="1"/>
    <col min="3" max="3" width="6" customWidth="1"/>
    <col min="4" max="4" width="63.7109375" customWidth="1"/>
    <col min="6" max="6" width="19.28515625" customWidth="1"/>
    <col min="7" max="7" width="13" customWidth="1"/>
    <col min="8" max="8" width="24.140625" customWidth="1"/>
    <col min="9" max="9" width="20.42578125" customWidth="1"/>
    <col min="10" max="10" width="14.7109375" customWidth="1"/>
    <col min="11" max="11" width="17.28515625" customWidth="1"/>
    <col min="13" max="13" width="29.85546875" customWidth="1"/>
  </cols>
  <sheetData>
    <row r="1" spans="2:11" x14ac:dyDescent="0.25">
      <c r="B1" s="174" t="s">
        <v>174</v>
      </c>
      <c r="C1" s="174"/>
      <c r="D1" s="174"/>
      <c r="E1" s="174"/>
      <c r="F1" s="174"/>
      <c r="G1" s="174"/>
      <c r="H1" s="174"/>
      <c r="I1" s="174"/>
      <c r="J1" s="174"/>
      <c r="K1" s="174"/>
    </row>
    <row r="2" spans="2:11" x14ac:dyDescent="0.25">
      <c r="B2" s="168"/>
      <c r="C2" s="168"/>
      <c r="D2" s="168"/>
      <c r="E2" s="168"/>
      <c r="F2" s="168"/>
      <c r="G2" s="168"/>
      <c r="H2" s="168"/>
      <c r="I2" s="168"/>
      <c r="J2" s="168"/>
      <c r="K2" s="168"/>
    </row>
    <row r="3" spans="2:11" ht="15.75" thickBot="1" x14ac:dyDescent="0.3">
      <c r="J3" s="178" t="s">
        <v>0</v>
      </c>
      <c r="K3" s="178"/>
    </row>
    <row r="4" spans="2:11" ht="19.5" thickTop="1" x14ac:dyDescent="0.3">
      <c r="B4" s="1" t="s">
        <v>131</v>
      </c>
      <c r="C4" s="2"/>
      <c r="D4" s="2"/>
      <c r="E4" s="3"/>
      <c r="F4" s="3"/>
      <c r="G4" s="3"/>
      <c r="H4" s="3"/>
      <c r="I4" s="3"/>
      <c r="J4" s="4" t="s">
        <v>1</v>
      </c>
      <c r="K4" s="5"/>
    </row>
    <row r="5" spans="2:11" ht="18" x14ac:dyDescent="0.35">
      <c r="B5" s="6" t="s">
        <v>2</v>
      </c>
      <c r="C5" s="7"/>
      <c r="D5" s="8" t="s">
        <v>153</v>
      </c>
      <c r="E5" s="7"/>
      <c r="F5" s="7"/>
      <c r="G5" s="7"/>
      <c r="H5" s="7"/>
      <c r="I5" s="7"/>
      <c r="J5" s="9" t="s">
        <v>3</v>
      </c>
      <c r="K5" s="10"/>
    </row>
    <row r="6" spans="2:11" x14ac:dyDescent="0.25">
      <c r="B6" s="6"/>
      <c r="C6" s="7"/>
      <c r="D6" s="7"/>
      <c r="E6" s="7"/>
      <c r="F6" s="7"/>
      <c r="G6" s="7"/>
      <c r="H6" s="7"/>
      <c r="I6" s="7"/>
      <c r="J6" s="9" t="s">
        <v>4</v>
      </c>
      <c r="K6" s="10"/>
    </row>
    <row r="7" spans="2:11" ht="15.75" thickBot="1" x14ac:dyDescent="0.3">
      <c r="B7" s="11" t="s">
        <v>154</v>
      </c>
      <c r="C7" s="12"/>
      <c r="D7" s="12"/>
      <c r="E7" s="12"/>
      <c r="F7" s="12"/>
      <c r="G7" s="12"/>
      <c r="H7" s="12"/>
      <c r="I7" s="12"/>
      <c r="J7" s="13" t="s">
        <v>5</v>
      </c>
      <c r="K7" s="14"/>
    </row>
    <row r="8" spans="2:11" ht="36.75" customHeight="1" thickBot="1" x14ac:dyDescent="0.3">
      <c r="B8" s="175" t="s">
        <v>6</v>
      </c>
      <c r="C8" s="176"/>
      <c r="D8" s="176"/>
      <c r="E8" s="176"/>
      <c r="F8" s="176"/>
      <c r="G8" s="176"/>
      <c r="H8" s="176"/>
      <c r="I8" s="176"/>
      <c r="J8" s="176"/>
      <c r="K8" s="177"/>
    </row>
    <row r="9" spans="2:11" ht="19.5" thickTop="1" x14ac:dyDescent="0.3">
      <c r="B9" s="15" t="s">
        <v>7</v>
      </c>
      <c r="C9" s="16"/>
      <c r="D9" s="16"/>
      <c r="E9" s="17" t="s">
        <v>8</v>
      </c>
      <c r="F9" s="17" t="s">
        <v>9</v>
      </c>
      <c r="G9" s="18" t="s">
        <v>10</v>
      </c>
      <c r="H9" s="19" t="s">
        <v>11</v>
      </c>
      <c r="I9" s="19" t="s">
        <v>12</v>
      </c>
      <c r="J9" s="16"/>
      <c r="K9" s="20"/>
    </row>
    <row r="10" spans="2:11" ht="15.75" x14ac:dyDescent="0.25">
      <c r="B10" s="21"/>
      <c r="C10" s="7"/>
      <c r="D10" s="7"/>
      <c r="E10" s="22"/>
      <c r="F10" s="22"/>
      <c r="G10" s="23"/>
      <c r="H10" s="24"/>
      <c r="I10" s="24"/>
      <c r="J10" s="7"/>
      <c r="K10" s="25"/>
    </row>
    <row r="11" spans="2:11" ht="15.75" x14ac:dyDescent="0.25">
      <c r="B11" s="26" t="s">
        <v>13</v>
      </c>
      <c r="C11" s="27" t="s">
        <v>14</v>
      </c>
      <c r="D11" s="27"/>
      <c r="E11" s="7"/>
      <c r="F11" s="7"/>
      <c r="G11" s="7"/>
      <c r="H11" s="7"/>
      <c r="I11" s="7"/>
      <c r="J11" s="28"/>
      <c r="K11" s="29"/>
    </row>
    <row r="12" spans="2:11" ht="15.75" x14ac:dyDescent="0.25">
      <c r="B12" s="21"/>
      <c r="C12" s="27" t="s">
        <v>15</v>
      </c>
      <c r="D12" s="27" t="s">
        <v>16</v>
      </c>
      <c r="E12" s="7"/>
      <c r="F12" s="7"/>
      <c r="G12" s="7"/>
      <c r="H12" s="7"/>
      <c r="I12" s="7"/>
      <c r="J12" s="30"/>
      <c r="K12" s="31"/>
    </row>
    <row r="13" spans="2:11" ht="17.25" x14ac:dyDescent="0.25">
      <c r="B13" s="32"/>
      <c r="C13" s="33"/>
      <c r="D13" s="34" t="s">
        <v>156</v>
      </c>
      <c r="E13" s="35">
        <v>1</v>
      </c>
      <c r="F13" s="36" t="s">
        <v>17</v>
      </c>
      <c r="G13" s="144">
        <v>1250000</v>
      </c>
      <c r="H13" s="37">
        <f>E13*G13</f>
        <v>1250000</v>
      </c>
      <c r="I13" s="37"/>
      <c r="J13" s="38"/>
      <c r="K13" s="39"/>
    </row>
    <row r="14" spans="2:11" ht="17.25" x14ac:dyDescent="0.25">
      <c r="B14" s="40"/>
      <c r="C14" s="41"/>
      <c r="D14" s="42" t="s">
        <v>160</v>
      </c>
      <c r="E14" s="35">
        <v>1</v>
      </c>
      <c r="F14" s="36" t="s">
        <v>17</v>
      </c>
      <c r="G14" s="144">
        <v>3000000</v>
      </c>
      <c r="H14" s="37">
        <f>E14*G14</f>
        <v>3000000</v>
      </c>
      <c r="I14" s="43"/>
      <c r="K14" s="29"/>
    </row>
    <row r="15" spans="2:11" x14ac:dyDescent="0.25">
      <c r="B15" s="40"/>
      <c r="C15" s="41"/>
      <c r="D15" s="42" t="s">
        <v>164</v>
      </c>
      <c r="E15" s="35">
        <v>1</v>
      </c>
      <c r="F15" s="36" t="s">
        <v>17</v>
      </c>
      <c r="G15" s="144">
        <f>4387000/2</f>
        <v>2193500</v>
      </c>
      <c r="H15" s="37">
        <f>E15*G15</f>
        <v>2193500</v>
      </c>
      <c r="I15" s="43"/>
      <c r="J15" s="44" t="s">
        <v>18</v>
      </c>
      <c r="K15" s="31">
        <f>SUM(H13:H15)</f>
        <v>6443500</v>
      </c>
    </row>
    <row r="16" spans="2:11" x14ac:dyDescent="0.25">
      <c r="B16" s="40"/>
      <c r="C16" s="41"/>
      <c r="D16" s="42"/>
      <c r="E16" s="46"/>
      <c r="F16" s="46"/>
      <c r="G16" s="169"/>
      <c r="H16" s="37"/>
      <c r="I16" s="43"/>
      <c r="J16" s="44"/>
      <c r="K16" s="31"/>
    </row>
    <row r="17" spans="2:11" ht="15.75" x14ac:dyDescent="0.25">
      <c r="B17" s="40"/>
      <c r="C17" s="45" t="s">
        <v>19</v>
      </c>
      <c r="D17" s="45" t="s">
        <v>20</v>
      </c>
      <c r="E17" s="46"/>
      <c r="F17" s="46"/>
      <c r="G17" s="47"/>
      <c r="H17" s="43"/>
      <c r="I17" s="43"/>
      <c r="J17" s="44"/>
      <c r="K17" s="48"/>
    </row>
    <row r="18" spans="2:11" ht="17.25" x14ac:dyDescent="0.25">
      <c r="B18" s="40"/>
      <c r="C18" s="41"/>
      <c r="D18" s="42" t="s">
        <v>159</v>
      </c>
      <c r="E18" s="35"/>
      <c r="F18" s="46" t="s">
        <v>17</v>
      </c>
      <c r="G18" s="35"/>
      <c r="H18" s="37">
        <f>E18*G18</f>
        <v>0</v>
      </c>
      <c r="I18" s="43"/>
      <c r="J18" s="38"/>
      <c r="K18" s="48"/>
    </row>
    <row r="19" spans="2:11" x14ac:dyDescent="0.25">
      <c r="B19" s="49"/>
      <c r="C19" s="50"/>
      <c r="D19" s="51"/>
      <c r="E19" s="52"/>
      <c r="F19" s="52"/>
      <c r="G19" s="51"/>
      <c r="H19" s="53"/>
      <c r="I19" s="53"/>
      <c r="J19" s="44" t="s">
        <v>18</v>
      </c>
      <c r="K19" s="31">
        <f>SUM(H18:H18)</f>
        <v>0</v>
      </c>
    </row>
    <row r="20" spans="2:11" ht="15.75" x14ac:dyDescent="0.25">
      <c r="B20" s="32"/>
      <c r="C20" s="27" t="s">
        <v>21</v>
      </c>
      <c r="D20" s="27" t="s">
        <v>22</v>
      </c>
      <c r="E20" s="36"/>
      <c r="F20" s="36"/>
      <c r="G20" s="7"/>
      <c r="H20" s="37"/>
      <c r="I20" s="37"/>
      <c r="J20" s="38"/>
      <c r="K20" s="48"/>
    </row>
    <row r="21" spans="2:11" x14ac:dyDescent="0.25">
      <c r="B21" s="32"/>
      <c r="C21" s="33"/>
      <c r="D21" s="34" t="s">
        <v>132</v>
      </c>
      <c r="E21" s="35"/>
      <c r="F21" s="36" t="s">
        <v>23</v>
      </c>
      <c r="G21" s="54"/>
      <c r="H21" s="37"/>
      <c r="I21" s="37">
        <f>G21*H13</f>
        <v>0</v>
      </c>
      <c r="J21" s="38"/>
      <c r="K21" s="48"/>
    </row>
    <row r="22" spans="2:11" x14ac:dyDescent="0.25">
      <c r="B22" s="55"/>
      <c r="C22" s="42"/>
      <c r="D22" s="42"/>
      <c r="E22" s="56"/>
      <c r="F22" s="56"/>
      <c r="G22" s="42"/>
      <c r="H22" s="57"/>
      <c r="I22" s="57"/>
      <c r="J22" s="44" t="s">
        <v>18</v>
      </c>
      <c r="K22" s="31">
        <f>SUM(I21:I21)</f>
        <v>0</v>
      </c>
    </row>
    <row r="23" spans="2:11" ht="15.75" x14ac:dyDescent="0.25">
      <c r="B23" s="32"/>
      <c r="C23" s="27" t="s">
        <v>24</v>
      </c>
      <c r="D23" s="27" t="s">
        <v>25</v>
      </c>
      <c r="E23" s="36"/>
      <c r="F23" s="36"/>
      <c r="G23" s="7"/>
      <c r="H23" s="37"/>
      <c r="I23" s="37"/>
      <c r="J23" s="38"/>
      <c r="K23" s="48"/>
    </row>
    <row r="24" spans="2:11" x14ac:dyDescent="0.25">
      <c r="B24" s="58"/>
      <c r="C24" s="34"/>
      <c r="D24" s="42" t="s">
        <v>26</v>
      </c>
      <c r="E24" s="59"/>
      <c r="F24" s="60" t="s">
        <v>27</v>
      </c>
      <c r="G24" s="61"/>
      <c r="H24" s="62"/>
      <c r="I24" s="62">
        <f>E24*G24</f>
        <v>0</v>
      </c>
      <c r="J24" s="63"/>
      <c r="K24" s="64"/>
    </row>
    <row r="25" spans="2:11" x14ac:dyDescent="0.25">
      <c r="B25" s="58"/>
      <c r="C25" s="34"/>
      <c r="D25" s="42" t="s">
        <v>28</v>
      </c>
      <c r="E25" s="59"/>
      <c r="F25" s="60" t="s">
        <v>27</v>
      </c>
      <c r="G25" s="61"/>
      <c r="H25" s="62"/>
      <c r="I25" s="62">
        <f>E25*G25</f>
        <v>0</v>
      </c>
      <c r="J25" s="63"/>
      <c r="K25" s="64"/>
    </row>
    <row r="26" spans="2:11" x14ac:dyDescent="0.25">
      <c r="B26" s="58"/>
      <c r="C26" s="34"/>
      <c r="D26" s="42"/>
      <c r="E26" s="56"/>
      <c r="F26" s="60"/>
      <c r="G26" s="145"/>
      <c r="H26" s="62"/>
      <c r="I26" s="62"/>
      <c r="J26" s="63"/>
      <c r="K26" s="64"/>
    </row>
    <row r="27" spans="2:11" ht="15.75" x14ac:dyDescent="0.25">
      <c r="B27" s="58"/>
      <c r="C27" s="27" t="s">
        <v>90</v>
      </c>
      <c r="D27" s="27" t="s">
        <v>91</v>
      </c>
      <c r="E27" s="7"/>
      <c r="F27" s="7"/>
      <c r="G27" s="7"/>
      <c r="H27" s="37"/>
      <c r="I27" s="62"/>
      <c r="J27" s="63"/>
      <c r="K27" s="64"/>
    </row>
    <row r="28" spans="2:11" x14ac:dyDescent="0.25">
      <c r="B28" s="58"/>
      <c r="C28" s="34"/>
      <c r="D28" s="34" t="s">
        <v>92</v>
      </c>
      <c r="E28" s="146">
        <v>5.0000000000000001E-3</v>
      </c>
      <c r="F28" s="36" t="s">
        <v>29</v>
      </c>
      <c r="G28" s="35"/>
      <c r="H28" s="62">
        <f>E28*G14</f>
        <v>15000</v>
      </c>
      <c r="I28" s="62"/>
      <c r="J28" s="63"/>
      <c r="K28" s="64"/>
    </row>
    <row r="29" spans="2:11" x14ac:dyDescent="0.25">
      <c r="B29" s="55"/>
      <c r="C29" s="42"/>
      <c r="D29" s="42"/>
      <c r="E29" s="56"/>
      <c r="F29" s="56"/>
      <c r="G29" s="42"/>
      <c r="H29" s="57"/>
      <c r="I29" s="57"/>
      <c r="J29" s="44" t="s">
        <v>18</v>
      </c>
      <c r="K29" s="31">
        <f>H28</f>
        <v>15000</v>
      </c>
    </row>
    <row r="30" spans="2:11" ht="15.75" x14ac:dyDescent="0.25">
      <c r="B30" s="32"/>
      <c r="C30" s="27" t="s">
        <v>93</v>
      </c>
      <c r="D30" s="27" t="s">
        <v>30</v>
      </c>
      <c r="E30" s="36"/>
      <c r="F30" s="36"/>
      <c r="G30" s="7"/>
      <c r="H30" s="37"/>
      <c r="I30" s="37"/>
      <c r="J30" s="38"/>
      <c r="K30" s="48"/>
    </row>
    <row r="31" spans="2:11" x14ac:dyDescent="0.25">
      <c r="B31" s="32"/>
      <c r="C31" s="33"/>
      <c r="D31" s="34" t="s">
        <v>31</v>
      </c>
      <c r="E31" s="59">
        <v>10</v>
      </c>
      <c r="F31" s="60" t="s">
        <v>32</v>
      </c>
      <c r="G31" s="59">
        <v>1800</v>
      </c>
      <c r="H31" s="62"/>
      <c r="I31" s="62">
        <f>G31*E31</f>
        <v>18000</v>
      </c>
      <c r="J31" s="38"/>
      <c r="K31" s="48"/>
    </row>
    <row r="32" spans="2:11" x14ac:dyDescent="0.25">
      <c r="B32" s="32"/>
      <c r="C32" s="33"/>
      <c r="D32" s="34" t="s">
        <v>33</v>
      </c>
      <c r="E32" s="59">
        <v>8</v>
      </c>
      <c r="F32" s="60" t="s">
        <v>32</v>
      </c>
      <c r="G32" s="59">
        <v>2500</v>
      </c>
      <c r="H32" s="62"/>
      <c r="I32" s="62">
        <f>G32*E32</f>
        <v>20000</v>
      </c>
      <c r="J32" s="38"/>
      <c r="K32" s="48"/>
    </row>
    <row r="33" spans="2:13" x14ac:dyDescent="0.25">
      <c r="B33" s="32"/>
      <c r="C33" s="33"/>
      <c r="D33" s="33"/>
      <c r="E33" s="60"/>
      <c r="F33" s="60"/>
      <c r="G33" s="34"/>
      <c r="H33" s="62"/>
      <c r="I33" s="62"/>
      <c r="J33" s="44" t="s">
        <v>18</v>
      </c>
      <c r="K33" s="31">
        <f>SUM(I31:I32)</f>
        <v>38000</v>
      </c>
    </row>
    <row r="34" spans="2:13" ht="15.75" x14ac:dyDescent="0.25">
      <c r="B34" s="65" t="s">
        <v>34</v>
      </c>
      <c r="C34" s="66"/>
      <c r="D34" s="66"/>
      <c r="E34" s="164" t="s">
        <v>94</v>
      </c>
      <c r="F34" s="147"/>
      <c r="G34" s="147"/>
      <c r="H34" s="147"/>
      <c r="I34" s="67"/>
      <c r="J34" s="68" t="s">
        <v>35</v>
      </c>
      <c r="K34" s="148">
        <f>SUM(K15:K33)</f>
        <v>6496500</v>
      </c>
    </row>
    <row r="35" spans="2:13" ht="15.75" x14ac:dyDescent="0.25">
      <c r="B35" s="69"/>
      <c r="C35" s="70"/>
      <c r="D35" s="70"/>
      <c r="E35" s="36"/>
      <c r="F35" s="36"/>
      <c r="G35" s="7"/>
      <c r="H35" s="37"/>
      <c r="I35" s="37"/>
      <c r="J35" s="71"/>
      <c r="K35" s="48"/>
    </row>
    <row r="36" spans="2:13" ht="18" x14ac:dyDescent="0.25">
      <c r="B36" s="26" t="s">
        <v>36</v>
      </c>
      <c r="C36" s="27" t="s">
        <v>158</v>
      </c>
      <c r="D36" s="27"/>
      <c r="E36" s="36"/>
      <c r="F36" s="36"/>
      <c r="G36" s="7"/>
      <c r="H36" s="37"/>
      <c r="I36" s="37"/>
      <c r="J36" s="71"/>
      <c r="K36" s="48"/>
    </row>
    <row r="37" spans="2:13" ht="15.75" x14ac:dyDescent="0.25">
      <c r="B37" s="21"/>
      <c r="C37" s="27" t="s">
        <v>15</v>
      </c>
      <c r="D37" s="27" t="s">
        <v>95</v>
      </c>
      <c r="E37" s="59"/>
      <c r="F37" s="36" t="s">
        <v>96</v>
      </c>
      <c r="G37" s="59"/>
      <c r="H37" s="37">
        <f t="shared" ref="H37:H43" si="0">E37*G37</f>
        <v>0</v>
      </c>
      <c r="I37" s="37"/>
      <c r="J37" s="38"/>
      <c r="K37" s="48">
        <f t="shared" ref="K37:K43" si="1">H37+I37</f>
        <v>0</v>
      </c>
      <c r="M37" s="149"/>
    </row>
    <row r="38" spans="2:13" ht="15.75" x14ac:dyDescent="0.25">
      <c r="B38" s="21"/>
      <c r="C38" s="27" t="s">
        <v>19</v>
      </c>
      <c r="D38" s="27" t="s">
        <v>97</v>
      </c>
      <c r="E38" s="59"/>
      <c r="F38" s="36" t="s">
        <v>98</v>
      </c>
      <c r="G38" s="59"/>
      <c r="H38" s="37">
        <f t="shared" si="0"/>
        <v>0</v>
      </c>
      <c r="I38" s="37"/>
      <c r="J38" s="38"/>
      <c r="K38" s="48">
        <f t="shared" si="1"/>
        <v>0</v>
      </c>
      <c r="M38" s="159"/>
    </row>
    <row r="39" spans="2:13" ht="15.75" x14ac:dyDescent="0.25">
      <c r="B39" s="21"/>
      <c r="C39" s="27" t="s">
        <v>21</v>
      </c>
      <c r="D39" s="27" t="s">
        <v>99</v>
      </c>
      <c r="E39" s="59"/>
      <c r="F39" s="36" t="s">
        <v>98</v>
      </c>
      <c r="G39" s="59"/>
      <c r="H39" s="37">
        <f t="shared" si="0"/>
        <v>0</v>
      </c>
      <c r="I39" s="37"/>
      <c r="J39" s="38"/>
      <c r="K39" s="48">
        <f t="shared" si="1"/>
        <v>0</v>
      </c>
      <c r="M39" s="149"/>
    </row>
    <row r="40" spans="2:13" ht="15.75" x14ac:dyDescent="0.25">
      <c r="B40" s="21"/>
      <c r="C40" s="27" t="s">
        <v>24</v>
      </c>
      <c r="D40" s="27" t="s">
        <v>100</v>
      </c>
      <c r="E40" s="59"/>
      <c r="F40" s="36" t="s">
        <v>37</v>
      </c>
      <c r="G40" s="59"/>
      <c r="H40" s="37">
        <f t="shared" si="0"/>
        <v>0</v>
      </c>
      <c r="I40" s="37"/>
      <c r="J40" s="38"/>
      <c r="K40" s="48">
        <f t="shared" si="1"/>
        <v>0</v>
      </c>
      <c r="M40" s="149"/>
    </row>
    <row r="41" spans="2:13" ht="15.75" x14ac:dyDescent="0.25">
      <c r="B41" s="21"/>
      <c r="C41" s="27" t="s">
        <v>90</v>
      </c>
      <c r="D41" s="27" t="s">
        <v>101</v>
      </c>
      <c r="E41" s="59"/>
      <c r="F41" s="36" t="s">
        <v>102</v>
      </c>
      <c r="G41" s="59"/>
      <c r="H41" s="37">
        <f t="shared" si="0"/>
        <v>0</v>
      </c>
      <c r="I41" s="37"/>
      <c r="J41" s="38"/>
      <c r="K41" s="48">
        <f t="shared" si="1"/>
        <v>0</v>
      </c>
      <c r="M41" s="149"/>
    </row>
    <row r="42" spans="2:13" ht="15.75" x14ac:dyDescent="0.25">
      <c r="B42" s="21"/>
      <c r="C42" s="27" t="s">
        <v>93</v>
      </c>
      <c r="D42" s="27" t="s">
        <v>103</v>
      </c>
      <c r="E42" s="59"/>
      <c r="F42" s="36" t="s">
        <v>37</v>
      </c>
      <c r="G42" s="59"/>
      <c r="H42" s="37">
        <f t="shared" si="0"/>
        <v>0</v>
      </c>
      <c r="I42" s="37"/>
      <c r="J42" s="38"/>
      <c r="K42" s="48">
        <f t="shared" si="1"/>
        <v>0</v>
      </c>
      <c r="M42" s="149"/>
    </row>
    <row r="43" spans="2:13" ht="15.75" x14ac:dyDescent="0.25">
      <c r="B43" s="21"/>
      <c r="C43" s="27" t="s">
        <v>104</v>
      </c>
      <c r="D43" s="27" t="s">
        <v>105</v>
      </c>
      <c r="E43" s="59"/>
      <c r="F43" s="36" t="s">
        <v>106</v>
      </c>
      <c r="G43" s="59"/>
      <c r="H43" s="37">
        <f t="shared" si="0"/>
        <v>0</v>
      </c>
      <c r="I43" s="37"/>
      <c r="J43" s="38"/>
      <c r="K43" s="48">
        <f t="shared" si="1"/>
        <v>0</v>
      </c>
      <c r="M43" s="159"/>
    </row>
    <row r="44" spans="2:13" ht="15.75" x14ac:dyDescent="0.25">
      <c r="B44" s="21"/>
      <c r="C44" s="27" t="s">
        <v>107</v>
      </c>
      <c r="D44" s="27" t="s">
        <v>108</v>
      </c>
      <c r="E44" s="36"/>
      <c r="F44" s="36"/>
      <c r="G44" s="71"/>
      <c r="H44" s="37"/>
      <c r="I44" s="37"/>
      <c r="J44" s="38"/>
      <c r="K44" s="48"/>
      <c r="M44" s="160"/>
    </row>
    <row r="45" spans="2:13" ht="15.75" x14ac:dyDescent="0.25">
      <c r="B45" s="21"/>
      <c r="C45" s="27"/>
      <c r="D45" s="70" t="s">
        <v>109</v>
      </c>
      <c r="F45" s="9" t="s">
        <v>110</v>
      </c>
      <c r="G45" s="54"/>
      <c r="H45" s="149"/>
      <c r="I45" s="37">
        <f>G45*I24</f>
        <v>0</v>
      </c>
      <c r="J45" s="38"/>
      <c r="K45" s="48">
        <f>H45+I45</f>
        <v>0</v>
      </c>
      <c r="M45" s="160"/>
    </row>
    <row r="46" spans="2:13" ht="15.75" x14ac:dyDescent="0.25">
      <c r="B46" s="21"/>
      <c r="C46" s="27"/>
      <c r="D46" s="70" t="s">
        <v>155</v>
      </c>
      <c r="F46" s="9" t="s">
        <v>111</v>
      </c>
      <c r="G46" s="54"/>
      <c r="H46" s="149"/>
      <c r="I46" s="37">
        <f>G46*I25</f>
        <v>0</v>
      </c>
      <c r="J46" s="38"/>
      <c r="K46" s="48">
        <f>H46+I46</f>
        <v>0</v>
      </c>
      <c r="M46" s="160"/>
    </row>
    <row r="47" spans="2:13" ht="15.75" x14ac:dyDescent="0.25">
      <c r="B47" s="21"/>
      <c r="C47" s="27"/>
      <c r="D47" s="70" t="s">
        <v>112</v>
      </c>
      <c r="F47" s="9" t="s">
        <v>113</v>
      </c>
      <c r="G47" s="54"/>
      <c r="H47" s="37"/>
      <c r="I47" s="37">
        <f>G47*K15</f>
        <v>0</v>
      </c>
      <c r="J47" s="38"/>
      <c r="K47" s="48">
        <f>H47+I47</f>
        <v>0</v>
      </c>
    </row>
    <row r="48" spans="2:13" ht="15.75" x14ac:dyDescent="0.25">
      <c r="B48" s="65" t="s">
        <v>38</v>
      </c>
      <c r="C48" s="72"/>
      <c r="D48" s="72"/>
      <c r="E48" s="179"/>
      <c r="F48" s="179"/>
      <c r="G48" s="179"/>
      <c r="H48" s="179"/>
      <c r="I48" s="73"/>
      <c r="J48" s="68" t="s">
        <v>39</v>
      </c>
      <c r="K48" s="148">
        <f>H13+(H14*2)</f>
        <v>7250000</v>
      </c>
    </row>
    <row r="49" spans="2:11" ht="15.75" x14ac:dyDescent="0.25">
      <c r="B49" s="69"/>
      <c r="C49" s="70"/>
      <c r="D49" s="70"/>
      <c r="E49" s="7"/>
      <c r="F49" s="7"/>
      <c r="G49" s="7"/>
      <c r="H49" s="71"/>
      <c r="I49" s="71"/>
      <c r="J49" s="71"/>
      <c r="K49" s="48"/>
    </row>
    <row r="50" spans="2:11" ht="15.75" x14ac:dyDescent="0.25">
      <c r="B50" s="69"/>
      <c r="C50" s="70"/>
      <c r="D50" s="70"/>
      <c r="E50" s="7"/>
      <c r="F50" s="7"/>
      <c r="G50" s="7"/>
      <c r="H50" s="71"/>
      <c r="I50" s="71"/>
      <c r="J50" s="71"/>
      <c r="K50" s="48"/>
    </row>
    <row r="51" spans="2:11" ht="15.75" x14ac:dyDescent="0.25">
      <c r="B51" s="65" t="s">
        <v>40</v>
      </c>
      <c r="C51" s="74"/>
      <c r="D51" s="74"/>
      <c r="E51" s="179"/>
      <c r="F51" s="179"/>
      <c r="G51" s="179"/>
      <c r="H51" s="179"/>
      <c r="I51" s="75"/>
      <c r="J51" s="68" t="s">
        <v>41</v>
      </c>
      <c r="K51" s="148">
        <f>K34+K48</f>
        <v>13746500</v>
      </c>
    </row>
    <row r="52" spans="2:11" ht="15.75" x14ac:dyDescent="0.25">
      <c r="B52" s="21"/>
      <c r="C52" s="70"/>
      <c r="D52" s="70"/>
      <c r="E52" s="7"/>
      <c r="F52" s="7"/>
      <c r="G52" s="33"/>
      <c r="H52" s="71"/>
      <c r="I52" s="71"/>
      <c r="J52" s="71"/>
      <c r="K52" s="39"/>
    </row>
    <row r="53" spans="2:11" ht="15.75" x14ac:dyDescent="0.25">
      <c r="B53" s="69"/>
      <c r="C53" s="70"/>
      <c r="D53" s="70"/>
      <c r="E53" s="7"/>
      <c r="F53" s="7"/>
      <c r="G53" s="7"/>
      <c r="H53" s="71"/>
      <c r="I53" s="71"/>
      <c r="J53" s="71"/>
      <c r="K53" s="39"/>
    </row>
    <row r="54" spans="2:11" ht="15.75" x14ac:dyDescent="0.25">
      <c r="B54" s="21" t="s">
        <v>42</v>
      </c>
      <c r="C54" s="70"/>
      <c r="D54" s="70"/>
      <c r="E54" s="7"/>
      <c r="F54" s="7"/>
      <c r="G54" s="7"/>
      <c r="H54" s="71"/>
      <c r="I54" s="71"/>
      <c r="J54" s="71"/>
      <c r="K54" s="39"/>
    </row>
    <row r="55" spans="2:11" ht="15.75" x14ac:dyDescent="0.25">
      <c r="B55" s="76" t="s">
        <v>43</v>
      </c>
      <c r="C55" s="70" t="s">
        <v>44</v>
      </c>
      <c r="D55" s="70"/>
      <c r="E55" s="54">
        <v>0.22</v>
      </c>
      <c r="F55" s="36" t="s">
        <v>45</v>
      </c>
      <c r="G55" s="59"/>
      <c r="H55" s="71"/>
      <c r="I55" s="37">
        <f>E55*K51</f>
        <v>3024230</v>
      </c>
      <c r="J55" s="38"/>
      <c r="K55" s="77"/>
    </row>
    <row r="56" spans="2:11" ht="15.75" x14ac:dyDescent="0.25">
      <c r="B56" s="76" t="s">
        <v>46</v>
      </c>
      <c r="C56" s="70" t="s">
        <v>47</v>
      </c>
      <c r="D56" s="70"/>
      <c r="E56" s="59">
        <v>1</v>
      </c>
      <c r="F56" s="36" t="s">
        <v>17</v>
      </c>
      <c r="G56" s="59">
        <v>10000</v>
      </c>
      <c r="H56" s="71"/>
      <c r="I56" s="37">
        <f>E56*G56</f>
        <v>10000</v>
      </c>
      <c r="J56" s="38"/>
      <c r="K56" s="77"/>
    </row>
    <row r="57" spans="2:11" ht="15.75" x14ac:dyDescent="0.25">
      <c r="B57" s="65" t="s">
        <v>49</v>
      </c>
      <c r="C57" s="74"/>
      <c r="D57" s="74"/>
      <c r="E57" s="78"/>
      <c r="F57" s="79"/>
      <c r="G57" s="78"/>
      <c r="H57" s="75"/>
      <c r="I57" s="73"/>
      <c r="J57" s="68" t="s">
        <v>50</v>
      </c>
      <c r="K57" s="148">
        <f>SUM(I55:I56)</f>
        <v>3034230</v>
      </c>
    </row>
    <row r="58" spans="2:11" ht="15.75" x14ac:dyDescent="0.25">
      <c r="B58" s="21"/>
      <c r="C58" s="70"/>
      <c r="D58" s="70"/>
      <c r="E58" s="7"/>
      <c r="F58" s="36"/>
      <c r="G58" s="7"/>
      <c r="H58" s="71"/>
      <c r="I58" s="37"/>
      <c r="J58" s="80"/>
      <c r="K58" s="39"/>
    </row>
    <row r="59" spans="2:11" ht="15.75" x14ac:dyDescent="0.25">
      <c r="B59" s="69"/>
      <c r="C59" s="70"/>
      <c r="D59" s="70"/>
      <c r="E59" s="7"/>
      <c r="F59" s="36"/>
      <c r="G59" s="7"/>
      <c r="H59" s="71"/>
      <c r="I59" s="37"/>
      <c r="J59" s="71"/>
      <c r="K59" s="39"/>
    </row>
    <row r="60" spans="2:11" ht="15.75" x14ac:dyDescent="0.25">
      <c r="B60" s="21" t="s">
        <v>51</v>
      </c>
      <c r="C60" s="70"/>
      <c r="D60" s="70"/>
      <c r="E60" s="7"/>
      <c r="F60" s="36"/>
      <c r="G60" s="7"/>
      <c r="H60" s="71"/>
      <c r="I60" s="37"/>
      <c r="J60" s="71"/>
      <c r="K60" s="39"/>
    </row>
    <row r="61" spans="2:11" ht="18" x14ac:dyDescent="0.25">
      <c r="B61" s="76" t="s">
        <v>52</v>
      </c>
      <c r="C61" s="70" t="s">
        <v>157</v>
      </c>
      <c r="D61" s="70"/>
      <c r="E61" s="59"/>
      <c r="F61" s="36" t="s">
        <v>45</v>
      </c>
      <c r="G61" s="59"/>
      <c r="H61" s="71"/>
      <c r="I61" s="37"/>
      <c r="J61" s="38"/>
      <c r="K61" s="165" t="s">
        <v>48</v>
      </c>
    </row>
    <row r="62" spans="2:11" ht="15.75" x14ac:dyDescent="0.25">
      <c r="B62" s="76" t="s">
        <v>53</v>
      </c>
      <c r="C62" s="70" t="s">
        <v>54</v>
      </c>
      <c r="D62" s="70"/>
      <c r="E62" s="81">
        <v>0.3</v>
      </c>
      <c r="F62" s="36" t="s">
        <v>114</v>
      </c>
      <c r="G62" s="59"/>
      <c r="H62" s="71"/>
      <c r="I62" s="37">
        <f>E62*K34</f>
        <v>1948950</v>
      </c>
      <c r="J62" s="38"/>
      <c r="K62" s="77"/>
    </row>
    <row r="63" spans="2:11" ht="15.75" x14ac:dyDescent="0.25">
      <c r="B63" s="65" t="s">
        <v>55</v>
      </c>
      <c r="C63" s="82"/>
      <c r="D63" s="82"/>
      <c r="E63" s="83"/>
      <c r="F63" s="83"/>
      <c r="G63" s="83"/>
      <c r="H63" s="84"/>
      <c r="I63" s="84"/>
      <c r="J63" s="68" t="s">
        <v>56</v>
      </c>
      <c r="K63" s="150">
        <f>SUM(I61:I62)</f>
        <v>1948950</v>
      </c>
    </row>
    <row r="64" spans="2:11" ht="15.75" x14ac:dyDescent="0.25">
      <c r="B64" s="21"/>
      <c r="C64" s="70"/>
      <c r="D64" s="70"/>
      <c r="E64" s="7"/>
      <c r="F64" s="7"/>
      <c r="G64" s="7"/>
      <c r="H64" s="71"/>
      <c r="I64" s="71"/>
      <c r="J64" s="80"/>
      <c r="K64" s="39"/>
    </row>
    <row r="65" spans="2:11" ht="15.75" x14ac:dyDescent="0.25">
      <c r="B65" s="69"/>
      <c r="C65" s="70"/>
      <c r="D65" s="70"/>
      <c r="E65" s="7"/>
      <c r="F65" s="7"/>
      <c r="G65" s="7"/>
      <c r="H65" s="71"/>
      <c r="I65" s="71"/>
      <c r="J65" s="71"/>
      <c r="K65" s="39"/>
    </row>
    <row r="66" spans="2:11" ht="34.5" customHeight="1" thickBot="1" x14ac:dyDescent="0.35">
      <c r="B66" s="85" t="s">
        <v>57</v>
      </c>
      <c r="C66" s="86"/>
      <c r="D66" s="86"/>
      <c r="E66" s="86"/>
      <c r="F66" s="86"/>
      <c r="G66" s="87"/>
      <c r="H66" s="88"/>
      <c r="I66" s="89"/>
      <c r="J66" s="90" t="s">
        <v>58</v>
      </c>
      <c r="K66" s="151">
        <f>K51+K57+K63</f>
        <v>18729680</v>
      </c>
    </row>
    <row r="67" spans="2:11" ht="15.75" thickTop="1" x14ac:dyDescent="0.25"/>
    <row r="68" spans="2:11" x14ac:dyDescent="0.25">
      <c r="B68" s="167" t="s">
        <v>163</v>
      </c>
      <c r="C68" s="167"/>
      <c r="D68" s="167"/>
      <c r="E68" s="167"/>
      <c r="F68" s="167"/>
      <c r="G68" s="167"/>
      <c r="H68" s="167"/>
      <c r="I68" s="167"/>
      <c r="J68" s="167"/>
      <c r="K68" s="167"/>
    </row>
    <row r="69" spans="2:11" ht="49.5" customHeight="1" x14ac:dyDescent="0.25">
      <c r="B69" s="173">
        <v>1</v>
      </c>
      <c r="C69" s="180" t="s">
        <v>172</v>
      </c>
      <c r="D69" s="180"/>
      <c r="E69" s="180"/>
      <c r="F69" s="180"/>
      <c r="G69" s="180"/>
      <c r="H69" s="180"/>
      <c r="I69" s="180"/>
      <c r="J69" s="180"/>
      <c r="K69" s="180"/>
    </row>
    <row r="70" spans="2:11" ht="15" customHeight="1" x14ac:dyDescent="0.25">
      <c r="B70" s="173">
        <v>2</v>
      </c>
      <c r="C70" s="180" t="s">
        <v>171</v>
      </c>
      <c r="D70" s="180"/>
      <c r="E70" s="180"/>
      <c r="F70" s="180"/>
      <c r="G70" s="180"/>
      <c r="H70" s="180"/>
      <c r="I70" s="180"/>
      <c r="J70" s="180"/>
      <c r="K70" s="180"/>
    </row>
    <row r="71" spans="2:11" ht="15" customHeight="1" x14ac:dyDescent="0.25">
      <c r="B71" s="173">
        <v>3</v>
      </c>
      <c r="C71" s="180" t="s">
        <v>165</v>
      </c>
      <c r="D71" s="180"/>
      <c r="E71" s="180"/>
      <c r="F71" s="180"/>
      <c r="G71" s="180"/>
      <c r="H71" s="180"/>
      <c r="I71" s="180"/>
      <c r="J71" s="180"/>
      <c r="K71" s="180"/>
    </row>
    <row r="72" spans="2:11" ht="16.5" x14ac:dyDescent="0.25">
      <c r="B72" s="173">
        <v>4</v>
      </c>
      <c r="C72" s="180" t="s">
        <v>166</v>
      </c>
      <c r="D72" s="180"/>
      <c r="E72" s="180"/>
      <c r="F72" s="180"/>
      <c r="G72" s="180"/>
      <c r="H72" s="180"/>
      <c r="I72" s="180"/>
      <c r="J72" s="180"/>
      <c r="K72" s="180"/>
    </row>
    <row r="73" spans="2:11" ht="34.5" customHeight="1" x14ac:dyDescent="0.25">
      <c r="B73" s="173">
        <v>5</v>
      </c>
      <c r="C73" s="180" t="s">
        <v>167</v>
      </c>
      <c r="D73" s="180"/>
      <c r="E73" s="180"/>
      <c r="F73" s="180"/>
      <c r="G73" s="180"/>
      <c r="H73" s="180"/>
      <c r="I73" s="180"/>
      <c r="J73" s="180"/>
      <c r="K73" s="180"/>
    </row>
    <row r="74" spans="2:11" ht="34.5" customHeight="1" x14ac:dyDescent="0.25">
      <c r="B74" s="173">
        <v>6</v>
      </c>
      <c r="C74" s="180" t="s">
        <v>168</v>
      </c>
      <c r="D74" s="180"/>
      <c r="E74" s="180"/>
      <c r="F74" s="180"/>
      <c r="G74" s="180"/>
      <c r="H74" s="180"/>
      <c r="I74" s="180"/>
      <c r="J74" s="180"/>
      <c r="K74" s="180"/>
    </row>
    <row r="75" spans="2:11" ht="17.25" customHeight="1" x14ac:dyDescent="0.25">
      <c r="B75" s="173">
        <v>7</v>
      </c>
      <c r="C75" s="180" t="s">
        <v>169</v>
      </c>
      <c r="D75" s="180"/>
      <c r="E75" s="180"/>
      <c r="F75" s="180"/>
      <c r="G75" s="180"/>
      <c r="H75" s="180"/>
      <c r="I75" s="180"/>
      <c r="J75" s="180"/>
      <c r="K75" s="180"/>
    </row>
    <row r="76" spans="2:11" ht="34.5" customHeight="1" x14ac:dyDescent="0.25">
      <c r="B76" s="173">
        <v>8</v>
      </c>
      <c r="C76" s="180" t="s">
        <v>170</v>
      </c>
      <c r="D76" s="180"/>
      <c r="E76" s="180"/>
      <c r="F76" s="180"/>
      <c r="G76" s="180"/>
      <c r="H76" s="180"/>
      <c r="I76" s="180"/>
      <c r="J76" s="180"/>
      <c r="K76" s="180"/>
    </row>
    <row r="77" spans="2:11" ht="15" customHeight="1" x14ac:dyDescent="0.25">
      <c r="B77" s="172"/>
      <c r="C77" s="172"/>
      <c r="D77" s="172"/>
      <c r="E77" s="172"/>
      <c r="F77" s="172"/>
      <c r="G77" s="172"/>
      <c r="H77" s="172"/>
      <c r="I77" s="172"/>
      <c r="J77" s="172"/>
      <c r="K77" s="172"/>
    </row>
    <row r="78" spans="2:11" ht="15" customHeight="1" x14ac:dyDescent="0.25">
      <c r="B78" s="172"/>
      <c r="C78" s="172"/>
      <c r="D78" s="172"/>
      <c r="E78" s="172"/>
      <c r="F78" s="172"/>
      <c r="G78" s="172"/>
      <c r="H78" s="172"/>
      <c r="I78" s="172"/>
      <c r="J78" s="172"/>
      <c r="K78" s="172"/>
    </row>
    <row r="79" spans="2:11" ht="17.25" x14ac:dyDescent="0.25">
      <c r="B79" s="171"/>
      <c r="C79" s="170"/>
      <c r="D79" s="170"/>
      <c r="E79" s="170"/>
      <c r="F79" s="170"/>
      <c r="G79" s="170"/>
      <c r="H79" s="170"/>
      <c r="I79" s="170"/>
      <c r="J79" s="170"/>
      <c r="K79" s="170"/>
    </row>
    <row r="80" spans="2:11" ht="17.25" x14ac:dyDescent="0.25">
      <c r="B80" s="171"/>
      <c r="C80" s="170"/>
      <c r="D80" s="170"/>
      <c r="E80" s="170"/>
      <c r="F80" s="170"/>
      <c r="G80" s="170"/>
      <c r="H80" s="170"/>
      <c r="I80" s="170"/>
      <c r="J80" s="170"/>
      <c r="K80" s="170"/>
    </row>
  </sheetData>
  <mergeCells count="13">
    <mergeCell ref="C74:K74"/>
    <mergeCell ref="C75:K75"/>
    <mergeCell ref="C76:K76"/>
    <mergeCell ref="C69:K69"/>
    <mergeCell ref="C70:K70"/>
    <mergeCell ref="C71:K71"/>
    <mergeCell ref="C72:K72"/>
    <mergeCell ref="C73:K73"/>
    <mergeCell ref="B1:K1"/>
    <mergeCell ref="B8:K8"/>
    <mergeCell ref="J3:K3"/>
    <mergeCell ref="E48:H48"/>
    <mergeCell ref="E51:H51"/>
  </mergeCells>
  <printOptions horizontalCentered="1"/>
  <pageMargins left="0.38" right="0.4" top="0.48" bottom="0.75" header="0.3" footer="0.3"/>
  <pageSetup scale="50" orientation="portrait" r:id="rId1"/>
  <headerFooter>
    <oddFooter>&amp;LGVEA - Zehnder Facility
PM2.5 Serious NAA BACT Analysis&amp;CPage 41&amp;RAugust 2017</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L69"/>
  <sheetViews>
    <sheetView tabSelected="1" view="pageLayout" topLeftCell="A11" zoomScale="80" zoomScaleNormal="85" zoomScalePageLayoutView="80" workbookViewId="0">
      <selection activeCell="K49" sqref="K49"/>
    </sheetView>
  </sheetViews>
  <sheetFormatPr defaultRowHeight="15" x14ac:dyDescent="0.25"/>
  <cols>
    <col min="1" max="1" width="3" customWidth="1"/>
    <col min="2" max="2" width="6" customWidth="1"/>
    <col min="3" max="3" width="4.42578125" customWidth="1"/>
    <col min="4" max="4" width="55.7109375" customWidth="1"/>
    <col min="5" max="5" width="16.28515625" customWidth="1"/>
    <col min="6" max="6" width="14.28515625" customWidth="1"/>
    <col min="7" max="7" width="15.42578125" customWidth="1"/>
    <col min="8" max="8" width="24" customWidth="1"/>
    <col min="9" max="9" width="18.7109375" customWidth="1"/>
    <col min="10" max="10" width="15" customWidth="1"/>
    <col min="11" max="11" width="13.28515625" customWidth="1"/>
  </cols>
  <sheetData>
    <row r="1" spans="2:11" x14ac:dyDescent="0.25">
      <c r="B1" s="174" t="s">
        <v>173</v>
      </c>
      <c r="C1" s="174"/>
      <c r="D1" s="174"/>
      <c r="E1" s="174"/>
      <c r="F1" s="174"/>
      <c r="G1" s="174"/>
      <c r="H1" s="174"/>
      <c r="I1" s="174"/>
      <c r="J1" s="174"/>
      <c r="K1" s="174"/>
    </row>
    <row r="2" spans="2:11" x14ac:dyDescent="0.25">
      <c r="B2" s="168"/>
      <c r="C2" s="168"/>
      <c r="D2" s="168"/>
      <c r="E2" s="168"/>
      <c r="F2" s="168"/>
      <c r="G2" s="168"/>
      <c r="H2" s="168"/>
      <c r="I2" s="168"/>
      <c r="J2" s="168"/>
      <c r="K2" s="168"/>
    </row>
    <row r="3" spans="2:11" ht="15.75" thickBot="1" x14ac:dyDescent="0.3">
      <c r="I3" s="187" t="s">
        <v>59</v>
      </c>
      <c r="J3" s="188"/>
      <c r="K3" s="189"/>
    </row>
    <row r="4" spans="2:11" ht="19.5" thickTop="1" x14ac:dyDescent="0.3">
      <c r="B4" s="1" t="s">
        <v>133</v>
      </c>
      <c r="C4" s="91"/>
      <c r="D4" s="3"/>
      <c r="E4" s="3"/>
      <c r="F4" s="3"/>
      <c r="G4" s="3"/>
      <c r="H4" s="3"/>
      <c r="I4" s="3"/>
      <c r="J4" s="4" t="s">
        <v>1</v>
      </c>
      <c r="K4" s="5"/>
    </row>
    <row r="5" spans="2:11" ht="18" x14ac:dyDescent="0.35">
      <c r="B5" s="6" t="s">
        <v>60</v>
      </c>
      <c r="C5" s="7"/>
      <c r="D5" s="8" t="s">
        <v>153</v>
      </c>
      <c r="E5" s="7"/>
      <c r="F5" s="7"/>
      <c r="G5" s="7"/>
      <c r="H5" s="7"/>
      <c r="I5" s="7"/>
      <c r="J5" s="9" t="s">
        <v>3</v>
      </c>
      <c r="K5" s="10"/>
    </row>
    <row r="6" spans="2:11" x14ac:dyDescent="0.25">
      <c r="B6" s="6"/>
      <c r="C6" s="7"/>
      <c r="D6" s="7"/>
      <c r="E6" s="7"/>
      <c r="F6" s="7"/>
      <c r="G6" s="7"/>
      <c r="H6" s="7"/>
      <c r="I6" s="7"/>
      <c r="J6" s="9" t="s">
        <v>4</v>
      </c>
      <c r="K6" s="10"/>
    </row>
    <row r="7" spans="2:11" ht="15.75" thickBot="1" x14ac:dyDescent="0.3">
      <c r="B7" s="11" t="s">
        <v>154</v>
      </c>
      <c r="C7" s="12"/>
      <c r="D7" s="12"/>
      <c r="E7" s="12"/>
      <c r="F7" s="12"/>
      <c r="G7" s="12"/>
      <c r="H7" s="12"/>
      <c r="I7" s="12"/>
      <c r="J7" s="13" t="s">
        <v>5</v>
      </c>
      <c r="K7" s="14"/>
    </row>
    <row r="8" spans="2:11" ht="16.5" thickBot="1" x14ac:dyDescent="0.3">
      <c r="B8" s="181" t="s">
        <v>61</v>
      </c>
      <c r="C8" s="182"/>
      <c r="D8" s="182"/>
      <c r="E8" s="182"/>
      <c r="F8" s="182"/>
      <c r="G8" s="182"/>
      <c r="H8" s="182"/>
      <c r="I8" s="182"/>
      <c r="J8" s="182"/>
      <c r="K8" s="183"/>
    </row>
    <row r="9" spans="2:11" ht="15.75" x14ac:dyDescent="0.25">
      <c r="B9" s="92" t="s">
        <v>62</v>
      </c>
      <c r="C9" s="93"/>
      <c r="D9" s="94"/>
      <c r="E9" s="95" t="s">
        <v>8</v>
      </c>
      <c r="F9" s="95" t="s">
        <v>9</v>
      </c>
      <c r="G9" s="96" t="s">
        <v>10</v>
      </c>
      <c r="H9" s="97" t="s">
        <v>11</v>
      </c>
      <c r="I9" s="97" t="s">
        <v>12</v>
      </c>
      <c r="J9" s="94"/>
      <c r="K9" s="98" t="s">
        <v>63</v>
      </c>
    </row>
    <row r="10" spans="2:11" x14ac:dyDescent="0.25">
      <c r="B10" s="99" t="s">
        <v>13</v>
      </c>
      <c r="C10" s="7" t="s">
        <v>64</v>
      </c>
      <c r="D10" s="7"/>
      <c r="E10" s="152">
        <f>E13*2</f>
        <v>730</v>
      </c>
      <c r="F10" s="36" t="s">
        <v>27</v>
      </c>
      <c r="G10" s="35">
        <v>105</v>
      </c>
      <c r="H10" s="38"/>
      <c r="I10" s="37">
        <f>E10*G10</f>
        <v>76650</v>
      </c>
      <c r="J10" s="100"/>
      <c r="K10" s="48">
        <f>I10</f>
        <v>76650</v>
      </c>
    </row>
    <row r="11" spans="2:11" x14ac:dyDescent="0.25">
      <c r="B11" s="99" t="s">
        <v>36</v>
      </c>
      <c r="C11" s="7" t="s">
        <v>65</v>
      </c>
      <c r="D11" s="7"/>
      <c r="E11" s="35">
        <v>183</v>
      </c>
      <c r="F11" s="36" t="s">
        <v>27</v>
      </c>
      <c r="G11" s="35">
        <v>125</v>
      </c>
      <c r="H11" s="38"/>
      <c r="I11" s="37">
        <f>E11*G11</f>
        <v>22875</v>
      </c>
      <c r="J11" s="100"/>
      <c r="K11" s="48">
        <f>I11</f>
        <v>22875</v>
      </c>
    </row>
    <row r="12" spans="2:11" x14ac:dyDescent="0.25">
      <c r="B12" s="99" t="s">
        <v>43</v>
      </c>
      <c r="C12" s="7" t="s">
        <v>134</v>
      </c>
      <c r="D12" s="7"/>
      <c r="E12" s="161">
        <f>E16*1.29</f>
        <v>13950.832279367751</v>
      </c>
      <c r="F12" s="46" t="s">
        <v>135</v>
      </c>
      <c r="G12" s="101">
        <f>0.7*(1.05^25)</f>
        <v>2.37044845862957</v>
      </c>
      <c r="H12" s="37"/>
      <c r="I12" s="37">
        <f>E12*G12</f>
        <v>33069.728873226937</v>
      </c>
      <c r="J12" s="100"/>
      <c r="K12" s="48">
        <f>I12</f>
        <v>33069.728873226937</v>
      </c>
    </row>
    <row r="13" spans="2:11" x14ac:dyDescent="0.25">
      <c r="B13" s="99" t="s">
        <v>46</v>
      </c>
      <c r="C13" s="190" t="s">
        <v>115</v>
      </c>
      <c r="D13" s="191"/>
      <c r="E13" s="152">
        <f>365*E55/100</f>
        <v>365</v>
      </c>
      <c r="F13" s="46" t="s">
        <v>27</v>
      </c>
      <c r="G13" s="35">
        <v>105</v>
      </c>
      <c r="H13" s="37"/>
      <c r="I13" s="37">
        <f>E13*G13</f>
        <v>38325</v>
      </c>
      <c r="J13" s="100"/>
      <c r="K13" s="48">
        <f>I13</f>
        <v>38325</v>
      </c>
    </row>
    <row r="14" spans="2:11" x14ac:dyDescent="0.25">
      <c r="B14" s="99" t="s">
        <v>52</v>
      </c>
      <c r="C14" s="7" t="s">
        <v>66</v>
      </c>
      <c r="D14" s="7"/>
      <c r="E14" s="35"/>
      <c r="F14" s="46" t="s">
        <v>37</v>
      </c>
      <c r="G14" s="35"/>
      <c r="H14" s="37">
        <f>E14*G14</f>
        <v>0</v>
      </c>
      <c r="I14" s="37" t="s">
        <v>136</v>
      </c>
      <c r="J14" s="100"/>
      <c r="K14" s="48">
        <f>H14</f>
        <v>0</v>
      </c>
    </row>
    <row r="15" spans="2:11" x14ac:dyDescent="0.25">
      <c r="B15" s="99" t="s">
        <v>53</v>
      </c>
      <c r="C15" s="7" t="s">
        <v>116</v>
      </c>
      <c r="D15" s="7"/>
      <c r="E15" s="36"/>
      <c r="F15" s="36"/>
      <c r="G15" s="37"/>
      <c r="H15" s="37"/>
      <c r="I15" s="37"/>
      <c r="J15" s="100"/>
      <c r="K15" s="48"/>
    </row>
    <row r="16" spans="2:11" x14ac:dyDescent="0.25">
      <c r="B16" s="6"/>
      <c r="C16" s="102" t="s">
        <v>117</v>
      </c>
      <c r="D16" s="7" t="s">
        <v>137</v>
      </c>
      <c r="E16" s="161">
        <f>E18*0.73*7.21/(8.34*1000)</f>
        <v>10814.598666176551</v>
      </c>
      <c r="F16" s="36" t="s">
        <v>135</v>
      </c>
      <c r="G16" s="101">
        <f>0.384*(1.05^25)</f>
        <v>1.3003602973053643</v>
      </c>
      <c r="H16" s="37">
        <f>E16*G16</f>
        <v>14062.874736787537</v>
      </c>
      <c r="I16" s="37"/>
      <c r="J16" s="100"/>
      <c r="K16" s="48">
        <f>H16</f>
        <v>14062.874736787537</v>
      </c>
    </row>
    <row r="17" spans="2:11" x14ac:dyDescent="0.25">
      <c r="B17" s="6"/>
      <c r="C17" s="102" t="s">
        <v>138</v>
      </c>
      <c r="D17" s="7" t="s">
        <v>139</v>
      </c>
      <c r="E17" s="161">
        <f>23.8*0.161*8760</f>
        <v>33566.567999999999</v>
      </c>
      <c r="F17" s="36" t="s">
        <v>140</v>
      </c>
      <c r="G17" s="35">
        <v>0.18</v>
      </c>
      <c r="H17" s="37">
        <f>E17*G17</f>
        <v>6041.9822399999994</v>
      </c>
      <c r="I17" s="37"/>
      <c r="J17" s="100"/>
      <c r="K17" s="48">
        <f>H17</f>
        <v>6041.9822399999994</v>
      </c>
    </row>
    <row r="18" spans="2:11" x14ac:dyDescent="0.25">
      <c r="B18" s="6"/>
      <c r="C18" s="102" t="s">
        <v>141</v>
      </c>
      <c r="D18" s="7" t="s">
        <v>142</v>
      </c>
      <c r="E18" s="161">
        <f>268/137*1000*8760</f>
        <v>17136350.364963505</v>
      </c>
      <c r="F18" s="36" t="s">
        <v>143</v>
      </c>
      <c r="G18" s="37"/>
      <c r="H18" s="37"/>
      <c r="I18" s="37"/>
      <c r="J18" s="100"/>
      <c r="K18" s="48"/>
    </row>
    <row r="19" spans="2:11" x14ac:dyDescent="0.25">
      <c r="B19" s="6"/>
      <c r="C19" s="102" t="s">
        <v>144</v>
      </c>
      <c r="D19" s="7" t="s">
        <v>145</v>
      </c>
      <c r="E19" s="161">
        <f>E18*0.035*0.73</f>
        <v>437833.75182481762</v>
      </c>
      <c r="F19" s="36" t="s">
        <v>143</v>
      </c>
      <c r="G19" s="35">
        <v>1.7</v>
      </c>
      <c r="H19" s="37">
        <f>E19*G19</f>
        <v>744317.37810218998</v>
      </c>
      <c r="I19" s="37"/>
      <c r="J19" s="100"/>
      <c r="K19" s="48">
        <f>H19</f>
        <v>744317.37810218998</v>
      </c>
    </row>
    <row r="20" spans="2:11" x14ac:dyDescent="0.25">
      <c r="B20" s="6"/>
      <c r="C20" s="102" t="s">
        <v>146</v>
      </c>
      <c r="D20" s="102" t="s">
        <v>147</v>
      </c>
      <c r="E20" s="161">
        <f>E16*1.3*1.29</f>
        <v>18136.081963178076</v>
      </c>
      <c r="F20" s="36" t="s">
        <v>135</v>
      </c>
      <c r="G20" s="101">
        <f>1.97*(1.05^25)</f>
        <v>6.6711192335717904</v>
      </c>
      <c r="H20" s="37">
        <f>E20*G20</f>
        <v>120987.9652061917</v>
      </c>
      <c r="I20" s="37"/>
      <c r="J20" s="100"/>
      <c r="K20" s="48">
        <f>H20</f>
        <v>120987.9652061917</v>
      </c>
    </row>
    <row r="21" spans="2:11" x14ac:dyDescent="0.25">
      <c r="B21" s="6"/>
      <c r="C21" s="102" t="s">
        <v>148</v>
      </c>
      <c r="D21" s="102" t="s">
        <v>149</v>
      </c>
      <c r="E21" s="161">
        <f>E20*0.29</f>
        <v>5259.4637693216418</v>
      </c>
      <c r="F21" s="36" t="s">
        <v>135</v>
      </c>
      <c r="G21" s="101">
        <f>3.82*(1.05^25)</f>
        <v>12.935875874235654</v>
      </c>
      <c r="H21" s="37">
        <f>E21*G21</f>
        <v>68035.770484984343</v>
      </c>
      <c r="I21" s="37"/>
      <c r="J21" s="100"/>
      <c r="K21" s="48">
        <f>H21</f>
        <v>68035.770484984343</v>
      </c>
    </row>
    <row r="22" spans="2:11" x14ac:dyDescent="0.25">
      <c r="B22" s="6"/>
      <c r="C22" s="102" t="s">
        <v>150</v>
      </c>
      <c r="D22" s="102" t="s">
        <v>118</v>
      </c>
      <c r="E22" s="101">
        <f>(929.7-795.4)*(60)*2*2.2/2000</f>
        <v>17.72760000000001</v>
      </c>
      <c r="F22" s="36" t="s">
        <v>98</v>
      </c>
      <c r="G22" s="35">
        <v>356</v>
      </c>
      <c r="H22" s="37">
        <f>E22*G22</f>
        <v>6311.0256000000036</v>
      </c>
      <c r="I22" s="37"/>
      <c r="J22" s="100"/>
      <c r="K22" s="48">
        <f>H22</f>
        <v>6311.0256000000036</v>
      </c>
    </row>
    <row r="23" spans="2:11" ht="17.25" x14ac:dyDescent="0.25">
      <c r="B23" s="6"/>
      <c r="C23" s="102" t="s">
        <v>162</v>
      </c>
      <c r="D23" s="102" t="s">
        <v>161</v>
      </c>
      <c r="E23" s="101"/>
      <c r="F23" s="36" t="s">
        <v>140</v>
      </c>
      <c r="G23" s="35">
        <v>0.18</v>
      </c>
      <c r="H23" s="166" t="s">
        <v>48</v>
      </c>
      <c r="I23" s="37"/>
      <c r="J23" s="100"/>
      <c r="K23" s="48">
        <f>G23*E23</f>
        <v>0</v>
      </c>
    </row>
    <row r="24" spans="2:11" x14ac:dyDescent="0.25">
      <c r="B24" s="99" t="s">
        <v>67</v>
      </c>
      <c r="C24" s="102" t="s">
        <v>119</v>
      </c>
      <c r="D24" s="7"/>
      <c r="E24" s="36"/>
      <c r="F24" s="36"/>
      <c r="G24" s="37"/>
      <c r="H24" s="37"/>
      <c r="I24" s="37"/>
      <c r="J24" s="100"/>
      <c r="K24" s="48"/>
    </row>
    <row r="25" spans="2:11" x14ac:dyDescent="0.25">
      <c r="B25" s="6"/>
      <c r="C25" s="154" t="s">
        <v>15</v>
      </c>
      <c r="D25" s="102" t="s">
        <v>120</v>
      </c>
      <c r="E25" s="54">
        <v>0.3</v>
      </c>
      <c r="F25" s="36" t="s">
        <v>121</v>
      </c>
      <c r="G25" s="37">
        <f>'SCR+Water Injection TCI'!G14</f>
        <v>3000000</v>
      </c>
      <c r="H25" s="71">
        <f>G25*E25</f>
        <v>900000</v>
      </c>
      <c r="I25" s="37"/>
      <c r="J25" s="100"/>
      <c r="K25" s="48">
        <f>H25*E30</f>
        <v>285487.7081681203</v>
      </c>
    </row>
    <row r="26" spans="2:11" x14ac:dyDescent="0.25">
      <c r="B26" s="6"/>
      <c r="C26" s="154" t="s">
        <v>19</v>
      </c>
      <c r="D26" s="102" t="s">
        <v>122</v>
      </c>
      <c r="E26" s="35">
        <v>180</v>
      </c>
      <c r="F26" s="36" t="s">
        <v>27</v>
      </c>
      <c r="G26" s="35">
        <v>105</v>
      </c>
      <c r="H26" s="155"/>
      <c r="I26" s="37">
        <f>E26*G26</f>
        <v>18900</v>
      </c>
      <c r="J26" s="100"/>
      <c r="K26" s="48">
        <f>I26*E30</f>
        <v>5995.2418715305266</v>
      </c>
    </row>
    <row r="27" spans="2:11" x14ac:dyDescent="0.25">
      <c r="B27" s="6"/>
      <c r="C27" s="154" t="s">
        <v>21</v>
      </c>
      <c r="D27" s="102" t="s">
        <v>123</v>
      </c>
      <c r="E27" s="54">
        <v>0.13</v>
      </c>
      <c r="F27" s="36" t="s">
        <v>124</v>
      </c>
      <c r="G27" s="37"/>
      <c r="H27" s="155"/>
      <c r="I27" s="71">
        <f>E27*(H25)</f>
        <v>117000</v>
      </c>
      <c r="J27" s="100"/>
      <c r="K27" s="48">
        <f>I27*E30</f>
        <v>37113.402061855639</v>
      </c>
    </row>
    <row r="28" spans="2:11" x14ac:dyDescent="0.25">
      <c r="B28" s="6"/>
      <c r="C28" s="154" t="s">
        <v>24</v>
      </c>
      <c r="D28" s="102" t="s">
        <v>125</v>
      </c>
      <c r="E28" s="54">
        <v>0.13</v>
      </c>
      <c r="F28" s="36" t="s">
        <v>124</v>
      </c>
      <c r="G28" s="37"/>
      <c r="H28" s="155"/>
      <c r="I28" s="37">
        <f>E28*H25</f>
        <v>117000</v>
      </c>
      <c r="J28" s="100"/>
      <c r="K28" s="48">
        <f>I28*E30</f>
        <v>37113.402061855639</v>
      </c>
    </row>
    <row r="29" spans="2:11" x14ac:dyDescent="0.25">
      <c r="B29" s="6"/>
      <c r="C29" s="154"/>
      <c r="D29" s="102"/>
      <c r="E29" s="156"/>
      <c r="F29" s="36"/>
      <c r="G29" s="37"/>
      <c r="H29" s="155"/>
      <c r="I29" s="37"/>
      <c r="J29" s="100"/>
      <c r="K29" s="48"/>
    </row>
    <row r="30" spans="2:11" x14ac:dyDescent="0.25">
      <c r="B30" s="103" t="s">
        <v>126</v>
      </c>
      <c r="C30" s="104"/>
      <c r="D30" s="7"/>
      <c r="E30" s="105">
        <f>($E$52/100)/(POWER(1+($E$52/100),($E$54)/($E$55/100))-1)</f>
        <v>0.3172085646312448</v>
      </c>
      <c r="F30" s="9"/>
      <c r="G30" s="100"/>
      <c r="H30" s="37"/>
      <c r="I30" s="106"/>
      <c r="J30" s="37"/>
      <c r="K30" s="48"/>
    </row>
    <row r="31" spans="2:11" x14ac:dyDescent="0.25">
      <c r="B31" s="6"/>
      <c r="C31" s="102"/>
      <c r="D31" s="102"/>
      <c r="E31" s="153"/>
      <c r="F31" s="46"/>
      <c r="G31" s="153"/>
      <c r="H31" s="37"/>
      <c r="I31" s="37"/>
      <c r="J31" s="100"/>
      <c r="K31" s="48"/>
    </row>
    <row r="32" spans="2:11" x14ac:dyDescent="0.25">
      <c r="B32" s="107" t="s">
        <v>68</v>
      </c>
      <c r="C32" s="108"/>
      <c r="D32" s="109"/>
      <c r="E32" s="110"/>
      <c r="F32" s="157"/>
      <c r="G32" s="111"/>
      <c r="H32" s="67"/>
      <c r="I32" s="112"/>
      <c r="J32" s="113" t="s">
        <v>69</v>
      </c>
      <c r="K32" s="114">
        <f>SUM(K10:K31)</f>
        <v>1496386.4794067426</v>
      </c>
    </row>
    <row r="33" spans="2:12" x14ac:dyDescent="0.25">
      <c r="B33" s="6"/>
      <c r="C33" s="104"/>
      <c r="D33" s="7"/>
      <c r="E33" s="36"/>
      <c r="F33" s="7"/>
      <c r="G33" s="37"/>
      <c r="H33" s="37"/>
      <c r="I33" s="106"/>
      <c r="J33" s="115"/>
      <c r="K33" s="48"/>
    </row>
    <row r="34" spans="2:12" ht="15.75" x14ac:dyDescent="0.25">
      <c r="B34" s="21" t="s">
        <v>70</v>
      </c>
      <c r="C34" s="27"/>
      <c r="D34" s="7"/>
      <c r="E34" s="36"/>
      <c r="F34" s="36"/>
      <c r="G34" s="37"/>
      <c r="H34" s="37"/>
      <c r="I34" s="37"/>
      <c r="J34" s="37"/>
      <c r="K34" s="48"/>
    </row>
    <row r="35" spans="2:12" x14ac:dyDescent="0.25">
      <c r="B35" s="99" t="s">
        <v>71</v>
      </c>
      <c r="C35" s="7" t="s">
        <v>72</v>
      </c>
      <c r="D35" s="7"/>
      <c r="E35" s="158">
        <v>0.3</v>
      </c>
      <c r="F35" s="36" t="s">
        <v>151</v>
      </c>
      <c r="G35" s="37"/>
      <c r="H35" s="38"/>
      <c r="I35" s="37">
        <f>E35*I12</f>
        <v>9920.9186619680804</v>
      </c>
      <c r="J35" s="100"/>
      <c r="K35" s="48">
        <f>I35</f>
        <v>9920.9186619680804</v>
      </c>
    </row>
    <row r="36" spans="2:12" x14ac:dyDescent="0.25">
      <c r="B36" s="99" t="s">
        <v>73</v>
      </c>
      <c r="C36" s="7" t="s">
        <v>127</v>
      </c>
      <c r="D36" s="7"/>
      <c r="E36" s="158">
        <v>0.04</v>
      </c>
      <c r="F36" s="36" t="s">
        <v>128</v>
      </c>
      <c r="G36" s="37"/>
      <c r="H36" s="38"/>
      <c r="I36" s="37">
        <f>E36*'SCR+Water Injection TCI'!K66</f>
        <v>749187.20000000007</v>
      </c>
      <c r="J36" s="100"/>
      <c r="K36" s="48">
        <f>I36</f>
        <v>749187.20000000007</v>
      </c>
    </row>
    <row r="37" spans="2:12" x14ac:dyDescent="0.25">
      <c r="B37" s="99"/>
      <c r="C37" s="102" t="s">
        <v>74</v>
      </c>
      <c r="D37" s="7"/>
      <c r="E37" s="105">
        <f>($E$52/100*POWER((1+($E$52/100)),$E$53))/((POWER(((1+$E$52/100)),$E$53))-1)</f>
        <v>8.0242587190691314E-2</v>
      </c>
      <c r="F37" s="46"/>
      <c r="G37" s="37"/>
      <c r="H37" s="37"/>
      <c r="I37" s="37"/>
      <c r="J37" s="100"/>
      <c r="K37" s="116"/>
      <c r="L37" s="117"/>
    </row>
    <row r="38" spans="2:12" x14ac:dyDescent="0.25">
      <c r="B38" s="99" t="s">
        <v>152</v>
      </c>
      <c r="C38" s="7" t="s">
        <v>75</v>
      </c>
      <c r="D38" s="7"/>
      <c r="E38" s="7"/>
      <c r="F38" s="7"/>
      <c r="G38" s="37"/>
      <c r="H38" s="118"/>
      <c r="I38" s="37"/>
      <c r="J38" s="119" t="s">
        <v>76</v>
      </c>
      <c r="K38" s="48">
        <f>E37*'SCR+Water Injection TCI'!K66</f>
        <v>1502917.9804537473</v>
      </c>
      <c r="L38" s="117"/>
    </row>
    <row r="39" spans="2:12" x14ac:dyDescent="0.25">
      <c r="B39" s="6"/>
      <c r="C39" s="7"/>
      <c r="D39" s="7"/>
      <c r="E39" s="36"/>
      <c r="F39" s="7"/>
      <c r="G39" s="37"/>
      <c r="H39" s="37"/>
      <c r="I39" s="37"/>
      <c r="J39" s="37"/>
      <c r="K39" s="48"/>
    </row>
    <row r="40" spans="2:12" x14ac:dyDescent="0.25">
      <c r="B40" s="107" t="s">
        <v>77</v>
      </c>
      <c r="C40" s="108"/>
      <c r="D40" s="120"/>
      <c r="E40" s="121"/>
      <c r="F40" s="157"/>
      <c r="G40" s="112"/>
      <c r="H40" s="122"/>
      <c r="I40" s="112"/>
      <c r="J40" s="113" t="s">
        <v>78</v>
      </c>
      <c r="K40" s="114">
        <f>SUM(K33:K38)</f>
        <v>2262026.0991157154</v>
      </c>
    </row>
    <row r="41" spans="2:12" x14ac:dyDescent="0.25">
      <c r="B41" s="123"/>
      <c r="C41" s="124"/>
      <c r="D41" s="7"/>
      <c r="E41" s="36"/>
      <c r="F41" s="7"/>
      <c r="G41" s="37"/>
      <c r="H41" s="37"/>
      <c r="I41" s="37"/>
      <c r="J41" s="37"/>
      <c r="K41" s="48"/>
    </row>
    <row r="42" spans="2:12" ht="15.75" x14ac:dyDescent="0.25">
      <c r="B42" s="125" t="s">
        <v>79</v>
      </c>
      <c r="C42" s="126"/>
      <c r="D42" s="127"/>
      <c r="E42" s="163"/>
      <c r="F42" s="127"/>
      <c r="G42" s="67"/>
      <c r="H42" s="128"/>
      <c r="I42" s="67"/>
      <c r="J42" s="113" t="s">
        <v>80</v>
      </c>
      <c r="K42" s="114">
        <f>K32+K40</f>
        <v>3758412.5785224577</v>
      </c>
    </row>
    <row r="43" spans="2:12" ht="15.75" thickBot="1" x14ac:dyDescent="0.3">
      <c r="B43" s="6"/>
      <c r="C43" s="7"/>
      <c r="D43" s="7"/>
      <c r="E43" s="36"/>
      <c r="F43" s="7"/>
      <c r="G43" s="7"/>
      <c r="H43" s="7"/>
      <c r="I43" s="7"/>
      <c r="J43" s="7"/>
      <c r="K43" s="29"/>
    </row>
    <row r="44" spans="2:12" ht="16.5" thickBot="1" x14ac:dyDescent="0.3">
      <c r="B44" s="184" t="s">
        <v>81</v>
      </c>
      <c r="C44" s="185"/>
      <c r="D44" s="185"/>
      <c r="E44" s="185"/>
      <c r="F44" s="185"/>
      <c r="G44" s="185"/>
      <c r="H44" s="185"/>
      <c r="I44" s="185"/>
      <c r="J44" s="185"/>
      <c r="K44" s="186"/>
    </row>
    <row r="45" spans="2:12" x14ac:dyDescent="0.25">
      <c r="B45" s="6"/>
      <c r="C45" s="7"/>
      <c r="D45" s="7"/>
      <c r="E45" s="7"/>
      <c r="F45" s="7"/>
      <c r="G45" s="7"/>
      <c r="H45" s="7"/>
      <c r="I45" s="7"/>
      <c r="J45" s="7"/>
      <c r="K45" s="29"/>
    </row>
    <row r="46" spans="2:12" ht="15.75" x14ac:dyDescent="0.25">
      <c r="B46" s="21" t="s">
        <v>129</v>
      </c>
      <c r="C46" s="27"/>
      <c r="D46" s="7"/>
      <c r="E46" s="7"/>
      <c r="F46" s="7"/>
      <c r="G46" s="7"/>
      <c r="H46" s="7"/>
      <c r="I46" s="7"/>
      <c r="J46" s="129" t="s">
        <v>82</v>
      </c>
      <c r="K46" s="130">
        <f>1033*0.95</f>
        <v>981.34999999999991</v>
      </c>
    </row>
    <row r="47" spans="2:12" x14ac:dyDescent="0.25">
      <c r="B47" s="6"/>
      <c r="C47" s="7"/>
      <c r="D47" s="7"/>
      <c r="E47" s="7"/>
      <c r="F47" s="7"/>
      <c r="G47" s="7"/>
      <c r="H47" s="7"/>
      <c r="I47" s="7"/>
      <c r="J47" s="7"/>
      <c r="K47" s="29"/>
    </row>
    <row r="48" spans="2:12" ht="16.5" thickBot="1" x14ac:dyDescent="0.3">
      <c r="B48" s="131" t="s">
        <v>83</v>
      </c>
      <c r="C48" s="132"/>
      <c r="D48" s="133"/>
      <c r="E48" s="133"/>
      <c r="F48" s="133"/>
      <c r="G48" s="133"/>
      <c r="H48" s="134"/>
      <c r="I48" s="133"/>
      <c r="J48" s="135" t="s">
        <v>84</v>
      </c>
      <c r="K48" s="192">
        <f>K42/K46</f>
        <v>3829.839077314371</v>
      </c>
    </row>
    <row r="49" spans="2:11" ht="15.75" thickTop="1" x14ac:dyDescent="0.25"/>
    <row r="50" spans="2:11" ht="15.75" thickBot="1" x14ac:dyDescent="0.3"/>
    <row r="51" spans="2:11" x14ac:dyDescent="0.25">
      <c r="D51" s="136" t="s">
        <v>89</v>
      </c>
      <c r="E51" s="94"/>
      <c r="F51" s="137"/>
      <c r="G51" s="138"/>
    </row>
    <row r="52" spans="2:11" x14ac:dyDescent="0.25">
      <c r="D52" s="139" t="s">
        <v>85</v>
      </c>
      <c r="E52" s="101">
        <v>5</v>
      </c>
      <c r="F52" s="140" t="s">
        <v>29</v>
      </c>
    </row>
    <row r="53" spans="2:11" x14ac:dyDescent="0.25">
      <c r="D53" s="139" t="s">
        <v>86</v>
      </c>
      <c r="E53" s="162">
        <v>20</v>
      </c>
      <c r="F53" s="140" t="s">
        <v>87</v>
      </c>
    </row>
    <row r="54" spans="2:11" x14ac:dyDescent="0.25">
      <c r="D54" s="139" t="s">
        <v>88</v>
      </c>
      <c r="E54" s="35">
        <v>3</v>
      </c>
      <c r="F54" s="140" t="s">
        <v>87</v>
      </c>
    </row>
    <row r="55" spans="2:11" ht="15.75" thickBot="1" x14ac:dyDescent="0.3">
      <c r="D55" s="141" t="s">
        <v>130</v>
      </c>
      <c r="E55" s="142">
        <v>100</v>
      </c>
      <c r="F55" s="143" t="s">
        <v>29</v>
      </c>
    </row>
    <row r="57" spans="2:11" x14ac:dyDescent="0.25">
      <c r="B57" s="167" t="s">
        <v>163</v>
      </c>
      <c r="C57" s="167"/>
      <c r="D57" s="167"/>
      <c r="E57" s="167"/>
      <c r="F57" s="167"/>
      <c r="G57" s="167"/>
      <c r="H57" s="167"/>
      <c r="I57" s="167"/>
      <c r="J57" s="167"/>
      <c r="K57" s="167"/>
    </row>
    <row r="58" spans="2:11" ht="49.5" customHeight="1" x14ac:dyDescent="0.25">
      <c r="B58" s="173">
        <v>1</v>
      </c>
      <c r="C58" s="180" t="s">
        <v>172</v>
      </c>
      <c r="D58" s="180"/>
      <c r="E58" s="180"/>
      <c r="F58" s="180"/>
      <c r="G58" s="180"/>
      <c r="H58" s="180"/>
      <c r="I58" s="180"/>
      <c r="J58" s="180"/>
      <c r="K58" s="180"/>
    </row>
    <row r="59" spans="2:11" ht="15" customHeight="1" x14ac:dyDescent="0.25">
      <c r="B59" s="173">
        <v>2</v>
      </c>
      <c r="C59" s="180" t="s">
        <v>171</v>
      </c>
      <c r="D59" s="180"/>
      <c r="E59" s="180"/>
      <c r="F59" s="180"/>
      <c r="G59" s="180"/>
      <c r="H59" s="180"/>
      <c r="I59" s="180"/>
      <c r="J59" s="180"/>
      <c r="K59" s="180"/>
    </row>
    <row r="60" spans="2:11" ht="15" customHeight="1" x14ac:dyDescent="0.25">
      <c r="B60" s="173">
        <v>3</v>
      </c>
      <c r="C60" s="180" t="s">
        <v>165</v>
      </c>
      <c r="D60" s="180"/>
      <c r="E60" s="180"/>
      <c r="F60" s="180"/>
      <c r="G60" s="180"/>
      <c r="H60" s="180"/>
      <c r="I60" s="180"/>
      <c r="J60" s="180"/>
      <c r="K60" s="180"/>
    </row>
    <row r="61" spans="2:11" ht="17.25" customHeight="1" x14ac:dyDescent="0.25">
      <c r="B61" s="173">
        <v>4</v>
      </c>
      <c r="C61" s="180" t="s">
        <v>166</v>
      </c>
      <c r="D61" s="180"/>
      <c r="E61" s="180"/>
      <c r="F61" s="180"/>
      <c r="G61" s="180"/>
      <c r="H61" s="180"/>
      <c r="I61" s="180"/>
      <c r="J61" s="180"/>
      <c r="K61" s="180"/>
    </row>
    <row r="62" spans="2:11" ht="34.5" customHeight="1" x14ac:dyDescent="0.25">
      <c r="B62" s="173">
        <v>5</v>
      </c>
      <c r="C62" s="180" t="s">
        <v>167</v>
      </c>
      <c r="D62" s="180"/>
      <c r="E62" s="180"/>
      <c r="F62" s="180"/>
      <c r="G62" s="180"/>
      <c r="H62" s="180"/>
      <c r="I62" s="180"/>
      <c r="J62" s="180"/>
      <c r="K62" s="180"/>
    </row>
    <row r="63" spans="2:11" ht="34.5" customHeight="1" x14ac:dyDescent="0.25">
      <c r="B63" s="173">
        <v>6</v>
      </c>
      <c r="C63" s="180" t="s">
        <v>168</v>
      </c>
      <c r="D63" s="180"/>
      <c r="E63" s="180"/>
      <c r="F63" s="180"/>
      <c r="G63" s="180"/>
      <c r="H63" s="180"/>
      <c r="I63" s="180"/>
      <c r="J63" s="180"/>
      <c r="K63" s="180"/>
    </row>
    <row r="64" spans="2:11" ht="16.5" x14ac:dyDescent="0.25">
      <c r="B64" s="173">
        <v>7</v>
      </c>
      <c r="C64" s="180" t="s">
        <v>169</v>
      </c>
      <c r="D64" s="180"/>
      <c r="E64" s="180"/>
      <c r="F64" s="180"/>
      <c r="G64" s="180"/>
      <c r="H64" s="180"/>
      <c r="I64" s="180"/>
      <c r="J64" s="180"/>
      <c r="K64" s="180"/>
    </row>
    <row r="65" spans="2:11" ht="34.5" customHeight="1" x14ac:dyDescent="0.25">
      <c r="B65" s="173">
        <v>8</v>
      </c>
      <c r="C65" s="180" t="s">
        <v>170</v>
      </c>
      <c r="D65" s="180"/>
      <c r="E65" s="180"/>
      <c r="F65" s="180"/>
      <c r="G65" s="180"/>
      <c r="H65" s="180"/>
      <c r="I65" s="180"/>
      <c r="J65" s="180"/>
      <c r="K65" s="180"/>
    </row>
    <row r="66" spans="2:11" ht="15" customHeight="1" x14ac:dyDescent="0.25">
      <c r="B66" s="172"/>
      <c r="C66" s="172"/>
      <c r="D66" s="172"/>
      <c r="E66" s="172"/>
      <c r="F66" s="172"/>
      <c r="G66" s="172"/>
      <c r="H66" s="172"/>
      <c r="I66" s="172"/>
      <c r="J66" s="172"/>
      <c r="K66" s="172"/>
    </row>
    <row r="67" spans="2:11" ht="15" customHeight="1" x14ac:dyDescent="0.25">
      <c r="B67" s="172"/>
      <c r="C67" s="172"/>
      <c r="D67" s="172"/>
      <c r="E67" s="172"/>
      <c r="F67" s="172"/>
      <c r="G67" s="172"/>
      <c r="H67" s="172"/>
      <c r="I67" s="172"/>
      <c r="J67" s="172"/>
      <c r="K67" s="172"/>
    </row>
    <row r="68" spans="2:11" ht="17.25" x14ac:dyDescent="0.25">
      <c r="B68" s="171"/>
      <c r="C68" s="170"/>
      <c r="D68" s="170"/>
      <c r="E68" s="170"/>
      <c r="F68" s="170"/>
      <c r="G68" s="170"/>
      <c r="H68" s="170"/>
      <c r="I68" s="170"/>
      <c r="J68" s="170"/>
      <c r="K68" s="170"/>
    </row>
    <row r="69" spans="2:11" ht="17.25" x14ac:dyDescent="0.25">
      <c r="B69" s="171"/>
      <c r="C69" s="170"/>
      <c r="D69" s="170"/>
      <c r="E69" s="170"/>
      <c r="F69" s="170"/>
      <c r="G69" s="170"/>
      <c r="H69" s="170"/>
      <c r="I69" s="170"/>
      <c r="J69" s="170"/>
      <c r="K69" s="170"/>
    </row>
  </sheetData>
  <mergeCells count="13">
    <mergeCell ref="C63:K63"/>
    <mergeCell ref="C64:K64"/>
    <mergeCell ref="C65:K65"/>
    <mergeCell ref="C58:K58"/>
    <mergeCell ref="C59:K59"/>
    <mergeCell ref="C60:K60"/>
    <mergeCell ref="C61:K61"/>
    <mergeCell ref="C62:K62"/>
    <mergeCell ref="B1:K1"/>
    <mergeCell ref="B8:K8"/>
    <mergeCell ref="B44:K44"/>
    <mergeCell ref="I3:K3"/>
    <mergeCell ref="C13:D13"/>
  </mergeCells>
  <printOptions horizontalCentered="1"/>
  <pageMargins left="0.42" right="0.3" top="0.44" bottom="0.52" header="0.3" footer="0.3"/>
  <pageSetup scale="53" orientation="portrait" r:id="rId1"/>
  <headerFooter>
    <oddFooter>&amp;LGVEA - Zehnder Facility
PM2.5 Serious NAA BACT Analysis&amp;CPage 42&amp;RAugust 2017</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8DFFD117A687F4BBEEF3206719FB718" ma:contentTypeVersion="0" ma:contentTypeDescription="Create a new document." ma:contentTypeScope="" ma:versionID="950c161123550eef76ac92b61c93b34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FBE93A-2ADB-4254-923D-99CAA4363ECC}">
  <ds:schemaRefs>
    <ds:schemaRef ds:uri="http://schemas.microsoft.com/sharepoint/v3/contenttype/forms"/>
  </ds:schemaRefs>
</ds:datastoreItem>
</file>

<file path=customXml/itemProps2.xml><?xml version="1.0" encoding="utf-8"?>
<ds:datastoreItem xmlns:ds="http://schemas.openxmlformats.org/officeDocument/2006/customXml" ds:itemID="{61843D12-93C4-4AFC-8A98-E2119431BDD1}">
  <ds:schemaRef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6C428BF-0CD2-479C-A184-A8B3C24CA0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SCR+Water Injection TCI</vt:lpstr>
      <vt:lpstr>SCR+Water Injection CE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2019-09-23T21:19:57Z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4de09b72-1616-4138-b246-485011415953</vt:lpwstr>
  </property>
  <property fmtid="{D5CDD505-2E9C-101B-9397-08002B2CF9AE}" pid="3" name="ContentTypeId">
    <vt:lpwstr>0x010100C8DFFD117A687F4BBEEF3206719FB718</vt:lpwstr>
  </property>
  <property fmtid="{D5CDD505-2E9C-101B-9397-08002B2CF9AE}" pid="4" name="ESRI_WORKBOOK_ID">
    <vt:lpwstr>e53a4248cd5f4e70ad62020ae4ce5449</vt:lpwstr>
  </property>
</Properties>
</file>