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Jn-svrfile\groups\AQ\General\SIP_BACT_2017\UAF BACT\"/>
    </mc:Choice>
  </mc:AlternateContent>
  <bookViews>
    <workbookView xWindow="12120" yWindow="140" windowWidth="15570" windowHeight="9750" tabRatio="971" firstSheet="11" activeTab="16"/>
  </bookViews>
  <sheets>
    <sheet name="3-1" sheetId="6" r:id="rId1"/>
    <sheet name="3-2" sheetId="7" r:id="rId2"/>
    <sheet name="3-3" sheetId="8" r:id="rId3"/>
    <sheet name="3-4 - EU 113 - SCR TCI" sheetId="58" r:id="rId4"/>
    <sheet name="3-5 - EU 113 - SCR CE" sheetId="59" r:id="rId5"/>
    <sheet name="3-6 - EU 113 - SNCR TCI" sheetId="54" r:id="rId6"/>
    <sheet name="3-7 - EU 113 - SNCR CE" sheetId="55" r:id="rId7"/>
    <sheet name="3-8 - EU 3 - SCR TCI" sheetId="56" r:id="rId8"/>
    <sheet name="3-9 - EU 3 - SCR CE" sheetId="57" r:id="rId9"/>
    <sheet name="3-10 - EU ID 3 LNB-FGR TCI" sheetId="71" r:id="rId10"/>
    <sheet name="3-11 - EU ID 3 LNB-FGR CE" sheetId="72" r:id="rId11"/>
    <sheet name="3-12 - EU ID 4 - LNB-FGR TCI" sheetId="69" r:id="rId12"/>
    <sheet name="3-13 EU ID 4 - LNB-FGR CE" sheetId="70" r:id="rId13"/>
    <sheet name="3-14 EU8 SCR TCI" sheetId="73" r:id="rId14"/>
    <sheet name="3-15 EU8 SCR CE" sheetId="74" r:id="rId15"/>
    <sheet name="3-16 - EU 27 - SCR TCI" sheetId="46" r:id="rId16"/>
    <sheet name="3-17 - EU 27 - SCR CE" sheetId="47" r:id="rId17"/>
    <sheet name="3-18" sheetId="9" r:id="rId18"/>
    <sheet name="3-19" sheetId="45" r:id="rId19"/>
    <sheet name="5-22" sheetId="24" state="hidden" r:id="rId20"/>
  </sheets>
  <externalReferences>
    <externalReference r:id="rId21"/>
    <externalReference r:id="rId22"/>
  </externalReferences>
  <definedNames>
    <definedName name="_xlnm.Print_Area" localSheetId="0">'3-1'!$A$1:$C$31</definedName>
    <definedName name="_xlnm.Print_Area" localSheetId="17">'3-18'!$A$1:$E$31</definedName>
    <definedName name="_xlnm.Print_Area" localSheetId="18">'3-19'!$A$1:$E$19</definedName>
    <definedName name="_xlnm.Print_Area" localSheetId="2">'3-3'!$A$1:$F$22</definedName>
  </definedNames>
  <calcPr calcId="152511"/>
</workbook>
</file>

<file path=xl/calcChain.xml><?xml version="1.0" encoding="utf-8"?>
<calcChain xmlns="http://schemas.openxmlformats.org/spreadsheetml/2006/main">
  <c r="F17" i="8" l="1"/>
  <c r="E16" i="8"/>
  <c r="F16" i="8" s="1"/>
  <c r="E33" i="74"/>
  <c r="K34" i="74" s="1"/>
  <c r="I32" i="74"/>
  <c r="K32" i="74" s="1"/>
  <c r="I31" i="74"/>
  <c r="K31" i="74" s="1"/>
  <c r="E26" i="74"/>
  <c r="I22" i="74"/>
  <c r="H21" i="74"/>
  <c r="G21" i="74"/>
  <c r="H18" i="74"/>
  <c r="K18" i="74" s="1"/>
  <c r="E16" i="74"/>
  <c r="H16" i="74" s="1"/>
  <c r="K16" i="74" s="1"/>
  <c r="G15" i="74"/>
  <c r="E15" i="74"/>
  <c r="H15" i="74" s="1"/>
  <c r="K15" i="74" s="1"/>
  <c r="E12" i="74"/>
  <c r="E10" i="74" s="1"/>
  <c r="I10" i="74" s="1"/>
  <c r="K10" i="74" s="1"/>
  <c r="I55" i="73"/>
  <c r="K45" i="73"/>
  <c r="K44" i="73"/>
  <c r="H42" i="73"/>
  <c r="K42" i="73" s="1"/>
  <c r="H41" i="73"/>
  <c r="K41" i="73" s="1"/>
  <c r="H40" i="73"/>
  <c r="K40" i="73" s="1"/>
  <c r="H39" i="73"/>
  <c r="K39" i="73" s="1"/>
  <c r="H38" i="73"/>
  <c r="K38" i="73" s="1"/>
  <c r="H37" i="73"/>
  <c r="K37" i="73" s="1"/>
  <c r="H36" i="73"/>
  <c r="K36" i="73" s="1"/>
  <c r="K32" i="73"/>
  <c r="K25" i="73"/>
  <c r="K21" i="73"/>
  <c r="K18" i="73"/>
  <c r="H17" i="73"/>
  <c r="H16" i="73"/>
  <c r="G13" i="73"/>
  <c r="H27" i="73" s="1"/>
  <c r="K28" i="73" s="1"/>
  <c r="K21" i="74" l="1"/>
  <c r="I12" i="74"/>
  <c r="K12" i="74" s="1"/>
  <c r="K22" i="74"/>
  <c r="E11" i="74"/>
  <c r="I11" i="74" s="1"/>
  <c r="K11" i="74" s="1"/>
  <c r="I24" i="74"/>
  <c r="K24" i="74" s="1"/>
  <c r="H13" i="73"/>
  <c r="K14" i="73" s="1"/>
  <c r="K33" i="73" s="1"/>
  <c r="K36" i="74"/>
  <c r="I23" i="74"/>
  <c r="K23" i="74" s="1"/>
  <c r="K28" i="74" l="1"/>
  <c r="K47" i="73"/>
  <c r="K50" i="73" s="1"/>
  <c r="I46" i="73"/>
  <c r="K46" i="73" s="1"/>
  <c r="K38" i="74" l="1"/>
  <c r="D21" i="9"/>
  <c r="I61" i="73"/>
  <c r="K62" i="73" s="1"/>
  <c r="I54" i="73"/>
  <c r="K56" i="73" s="1"/>
  <c r="K65" i="73" s="1"/>
  <c r="B21" i="9" s="1"/>
  <c r="K44" i="74" l="1"/>
  <c r="E21" i="9" s="1"/>
  <c r="C21" i="9"/>
  <c r="C15" i="7"/>
  <c r="K29" i="72" l="1"/>
  <c r="E20" i="72"/>
  <c r="I18" i="72"/>
  <c r="K18" i="72" s="1"/>
  <c r="I13" i="72"/>
  <c r="H13" i="72"/>
  <c r="K13" i="72" s="1"/>
  <c r="I12" i="72"/>
  <c r="K12" i="72" s="1"/>
  <c r="I11" i="72"/>
  <c r="K11" i="72" s="1"/>
  <c r="I10" i="72"/>
  <c r="K10" i="72" s="1"/>
  <c r="I41" i="71"/>
  <c r="K33" i="71"/>
  <c r="G29" i="71"/>
  <c r="H29" i="71" s="1"/>
  <c r="I28" i="71"/>
  <c r="I27" i="71"/>
  <c r="I24" i="71"/>
  <c r="I23" i="71"/>
  <c r="K25" i="71" s="1"/>
  <c r="H17" i="71"/>
  <c r="K18" i="71" s="1"/>
  <c r="H14" i="71"/>
  <c r="H13" i="71"/>
  <c r="K14" i="71" s="1"/>
  <c r="I20" i="71" s="1"/>
  <c r="K21" i="71" s="1"/>
  <c r="K15" i="72" l="1"/>
  <c r="K30" i="71"/>
  <c r="K31" i="71" s="1"/>
  <c r="K36" i="71" s="1"/>
  <c r="I47" i="71" l="1"/>
  <c r="K48" i="71" s="1"/>
  <c r="I40" i="71"/>
  <c r="K42" i="71" s="1"/>
  <c r="K51" i="71" s="1"/>
  <c r="B13" i="9" s="1"/>
  <c r="I19" i="72" l="1"/>
  <c r="K19" i="72" s="1"/>
  <c r="K21" i="72"/>
  <c r="K23" i="72" l="1"/>
  <c r="K25" i="72" s="1"/>
  <c r="K31" i="72"/>
  <c r="E13" i="9" s="1"/>
  <c r="C13" i="9"/>
  <c r="D12" i="8"/>
  <c r="E12" i="8"/>
  <c r="F12" i="8" s="1"/>
  <c r="E10" i="8"/>
  <c r="D10" i="8" s="1"/>
  <c r="C20" i="7" l="1"/>
  <c r="K29" i="70" l="1"/>
  <c r="E20" i="70"/>
  <c r="I18" i="70"/>
  <c r="K18" i="70" s="1"/>
  <c r="I13" i="70"/>
  <c r="H13" i="70"/>
  <c r="K13" i="70" s="1"/>
  <c r="I12" i="70"/>
  <c r="K12" i="70" s="1"/>
  <c r="I11" i="70"/>
  <c r="K11" i="70" s="1"/>
  <c r="I10" i="70"/>
  <c r="K10" i="70" s="1"/>
  <c r="I40" i="69"/>
  <c r="K32" i="69"/>
  <c r="I28" i="69"/>
  <c r="I27" i="69"/>
  <c r="I24" i="69"/>
  <c r="I23" i="69"/>
  <c r="K25" i="69" s="1"/>
  <c r="H17" i="69"/>
  <c r="K18" i="69" s="1"/>
  <c r="H14" i="69"/>
  <c r="H13" i="69"/>
  <c r="K15" i="70" l="1"/>
  <c r="K29" i="69"/>
  <c r="K14" i="69"/>
  <c r="I20" i="69"/>
  <c r="K21" i="69" s="1"/>
  <c r="C13" i="7"/>
  <c r="K30" i="69" l="1"/>
  <c r="K35" i="69" s="1"/>
  <c r="D7" i="45"/>
  <c r="A7" i="9"/>
  <c r="I46" i="69" l="1"/>
  <c r="K47" i="69" s="1"/>
  <c r="I39" i="69"/>
  <c r="K41" i="69" s="1"/>
  <c r="K39" i="59"/>
  <c r="E30" i="59"/>
  <c r="I28" i="59"/>
  <c r="K28" i="59" s="1"/>
  <c r="E23" i="59"/>
  <c r="I19" i="59"/>
  <c r="E16" i="59"/>
  <c r="H16" i="59" s="1"/>
  <c r="K16" i="59" s="1"/>
  <c r="G15" i="59"/>
  <c r="E15" i="59"/>
  <c r="I12" i="59"/>
  <c r="K12" i="59" s="1"/>
  <c r="I11" i="59"/>
  <c r="K11" i="59" s="1"/>
  <c r="I10" i="59"/>
  <c r="K10" i="59" s="1"/>
  <c r="I54" i="58"/>
  <c r="H41" i="58"/>
  <c r="K41" i="58" s="1"/>
  <c r="K40" i="58"/>
  <c r="H40" i="58"/>
  <c r="H39" i="58"/>
  <c r="K39" i="58" s="1"/>
  <c r="H38" i="58"/>
  <c r="K38" i="58" s="1"/>
  <c r="H37" i="58"/>
  <c r="K37" i="58" s="1"/>
  <c r="H36" i="58"/>
  <c r="K36" i="58" s="1"/>
  <c r="H35" i="58"/>
  <c r="K35" i="58" s="1"/>
  <c r="I30" i="58"/>
  <c r="I29" i="58"/>
  <c r="H26" i="58"/>
  <c r="K27" i="58" s="1"/>
  <c r="I23" i="58"/>
  <c r="I44" i="58" s="1"/>
  <c r="K44" i="58" s="1"/>
  <c r="I22" i="58"/>
  <c r="G19" i="58"/>
  <c r="I19" i="58" s="1"/>
  <c r="K20" i="58" s="1"/>
  <c r="H16" i="58"/>
  <c r="K17" i="58" s="1"/>
  <c r="H13" i="58"/>
  <c r="K14" i="58" s="1"/>
  <c r="K46" i="58" s="1"/>
  <c r="K45" i="57"/>
  <c r="E36" i="57"/>
  <c r="I34" i="57"/>
  <c r="K34" i="57" s="1"/>
  <c r="E29" i="57"/>
  <c r="I25" i="57"/>
  <c r="H19" i="57"/>
  <c r="K19" i="57" s="1"/>
  <c r="E17" i="57"/>
  <c r="H17" i="57" s="1"/>
  <c r="K17" i="57" s="1"/>
  <c r="E15" i="57"/>
  <c r="H15" i="57" s="1"/>
  <c r="K15" i="57" s="1"/>
  <c r="E12" i="57"/>
  <c r="I12" i="57" s="1"/>
  <c r="K12" i="57" s="1"/>
  <c r="I55" i="56"/>
  <c r="K45" i="56"/>
  <c r="K44" i="56"/>
  <c r="H42" i="56"/>
  <c r="K42" i="56" s="1"/>
  <c r="H41" i="56"/>
  <c r="K41" i="56" s="1"/>
  <c r="H40" i="56"/>
  <c r="K40" i="56" s="1"/>
  <c r="H39" i="56"/>
  <c r="K39" i="56" s="1"/>
  <c r="H38" i="56"/>
  <c r="K38" i="56" s="1"/>
  <c r="H37" i="56"/>
  <c r="K37" i="56" s="1"/>
  <c r="H36" i="56"/>
  <c r="K36" i="56" s="1"/>
  <c r="K32" i="56"/>
  <c r="H27" i="56"/>
  <c r="K28" i="56" s="1"/>
  <c r="K25" i="56"/>
  <c r="K21" i="56"/>
  <c r="H17" i="56"/>
  <c r="H16" i="56"/>
  <c r="H13" i="56"/>
  <c r="K14" i="56" s="1"/>
  <c r="H15" i="59" l="1"/>
  <c r="K15" i="59" s="1"/>
  <c r="K24" i="58"/>
  <c r="K31" i="58"/>
  <c r="K19" i="59"/>
  <c r="K47" i="56"/>
  <c r="I46" i="56"/>
  <c r="K46" i="56" s="1"/>
  <c r="K50" i="69"/>
  <c r="K18" i="56"/>
  <c r="K33" i="56" s="1"/>
  <c r="G23" i="57" s="1"/>
  <c r="H23" i="57" s="1"/>
  <c r="K25" i="57"/>
  <c r="I45" i="58"/>
  <c r="K45" i="58" s="1"/>
  <c r="K32" i="58"/>
  <c r="I43" i="58"/>
  <c r="K43" i="58" s="1"/>
  <c r="E10" i="57"/>
  <c r="I10" i="57" s="1"/>
  <c r="K10" i="57" s="1"/>
  <c r="E11" i="57"/>
  <c r="I11" i="57" s="1"/>
  <c r="K11" i="57" s="1"/>
  <c r="K33" i="55"/>
  <c r="E24" i="55"/>
  <c r="I22" i="55"/>
  <c r="K22" i="55" s="1"/>
  <c r="H16" i="55"/>
  <c r="K16" i="55" s="1"/>
  <c r="G15" i="55"/>
  <c r="E15" i="55"/>
  <c r="K13" i="55"/>
  <c r="K12" i="55"/>
  <c r="K11" i="55"/>
  <c r="K10" i="55"/>
  <c r="I51" i="54"/>
  <c r="H38" i="54"/>
  <c r="K38" i="54" s="1"/>
  <c r="H37" i="54"/>
  <c r="K37" i="54" s="1"/>
  <c r="H36" i="54"/>
  <c r="K36" i="54" s="1"/>
  <c r="H35" i="54"/>
  <c r="K35" i="54" s="1"/>
  <c r="H34" i="54"/>
  <c r="K34" i="54" s="1"/>
  <c r="H33" i="54"/>
  <c r="K33" i="54" s="1"/>
  <c r="H32" i="54"/>
  <c r="K32" i="54" s="1"/>
  <c r="I27" i="54"/>
  <c r="I26" i="54"/>
  <c r="I23" i="54"/>
  <c r="I41" i="54" s="1"/>
  <c r="K41" i="54" s="1"/>
  <c r="I22" i="54"/>
  <c r="I40" i="54" s="1"/>
  <c r="K40" i="54" s="1"/>
  <c r="I19" i="54"/>
  <c r="K20" i="54" s="1"/>
  <c r="H16" i="54"/>
  <c r="K17" i="54" s="1"/>
  <c r="H13" i="54"/>
  <c r="K14" i="54" s="1"/>
  <c r="K50" i="56" l="1"/>
  <c r="I54" i="56" s="1"/>
  <c r="K56" i="56" s="1"/>
  <c r="K24" i="54"/>
  <c r="K28" i="54"/>
  <c r="H15" i="55"/>
  <c r="K15" i="55" s="1"/>
  <c r="K19" i="55" s="1"/>
  <c r="D8" i="9" s="1"/>
  <c r="B17" i="9"/>
  <c r="I19" i="70"/>
  <c r="K19" i="70" s="1"/>
  <c r="K21" i="70"/>
  <c r="G18" i="59"/>
  <c r="H18" i="59" s="1"/>
  <c r="K49" i="58"/>
  <c r="I61" i="56"/>
  <c r="K62" i="56" s="1"/>
  <c r="K23" i="57"/>
  <c r="I27" i="57"/>
  <c r="K27" i="57" s="1"/>
  <c r="I26" i="57"/>
  <c r="K26" i="57" s="1"/>
  <c r="I42" i="54"/>
  <c r="K42" i="54" s="1"/>
  <c r="K29" i="54" l="1"/>
  <c r="K65" i="56"/>
  <c r="B12" i="9" s="1"/>
  <c r="K23" i="70"/>
  <c r="K25" i="70" s="1"/>
  <c r="I20" i="59"/>
  <c r="K20" i="59" s="1"/>
  <c r="K18" i="59"/>
  <c r="I21" i="59"/>
  <c r="K21" i="59" s="1"/>
  <c r="I60" i="58"/>
  <c r="K61" i="58" s="1"/>
  <c r="I53" i="58"/>
  <c r="K55" i="58" s="1"/>
  <c r="K31" i="57"/>
  <c r="D12" i="9" s="1"/>
  <c r="I35" i="57"/>
  <c r="K35" i="57" s="1"/>
  <c r="K37" i="57"/>
  <c r="K43" i="54"/>
  <c r="K46" i="54" s="1"/>
  <c r="K31" i="70" l="1"/>
  <c r="E17" i="9" s="1"/>
  <c r="C17" i="9"/>
  <c r="K64" i="58"/>
  <c r="K25" i="59"/>
  <c r="D7" i="9" s="1"/>
  <c r="K39" i="57"/>
  <c r="K41" i="57" s="1"/>
  <c r="I57" i="54"/>
  <c r="K58" i="54" s="1"/>
  <c r="I50" i="54"/>
  <c r="K52" i="54" s="1"/>
  <c r="K61" i="54" s="1"/>
  <c r="B8" i="9" s="1"/>
  <c r="K31" i="59" l="1"/>
  <c r="B7" i="9"/>
  <c r="K47" i="57"/>
  <c r="E12" i="9" s="1"/>
  <c r="C12" i="9"/>
  <c r="I29" i="59"/>
  <c r="K29" i="59" s="1"/>
  <c r="K33" i="59" s="1"/>
  <c r="K35" i="59" s="1"/>
  <c r="I23" i="55"/>
  <c r="K23" i="55" s="1"/>
  <c r="K25" i="55"/>
  <c r="K41" i="59" l="1"/>
  <c r="E7" i="9" s="1"/>
  <c r="C7" i="9"/>
  <c r="K27" i="55"/>
  <c r="K29" i="55" s="1"/>
  <c r="A8" i="9"/>
  <c r="K35" i="55" l="1"/>
  <c r="E8" i="9" s="1"/>
  <c r="C8" i="9"/>
  <c r="C14" i="7"/>
  <c r="C12" i="8"/>
  <c r="E12" i="47"/>
  <c r="E10" i="47" s="1"/>
  <c r="I10" i="47" s="1"/>
  <c r="K10" i="47" s="1"/>
  <c r="E15" i="47"/>
  <c r="H15" i="47" s="1"/>
  <c r="K15" i="47" s="1"/>
  <c r="I20" i="47"/>
  <c r="E24" i="47"/>
  <c r="K20" i="47" s="1"/>
  <c r="I29" i="47"/>
  <c r="K29" i="47" s="1"/>
  <c r="I30" i="47"/>
  <c r="K30" i="47" s="1"/>
  <c r="E33" i="47"/>
  <c r="K42" i="47"/>
  <c r="H13" i="46"/>
  <c r="K14" i="46" s="1"/>
  <c r="H16" i="46"/>
  <c r="K17" i="46" s="1"/>
  <c r="I19" i="46"/>
  <c r="K20" i="46" s="1"/>
  <c r="I22" i="46"/>
  <c r="I43" i="46" s="1"/>
  <c r="K43" i="46" s="1"/>
  <c r="I23" i="46"/>
  <c r="H26" i="46"/>
  <c r="K27" i="46"/>
  <c r="I29" i="46"/>
  <c r="I30" i="46"/>
  <c r="H35" i="46"/>
  <c r="K35" i="46" s="1"/>
  <c r="H36" i="46"/>
  <c r="K36" i="46" s="1"/>
  <c r="H37" i="46"/>
  <c r="K37" i="46" s="1"/>
  <c r="H38" i="46"/>
  <c r="K38" i="46"/>
  <c r="H39" i="46"/>
  <c r="K39" i="46" s="1"/>
  <c r="H40" i="46"/>
  <c r="K40" i="46" s="1"/>
  <c r="H41" i="46"/>
  <c r="K41" i="46" s="1"/>
  <c r="I44" i="46"/>
  <c r="K44" i="46" s="1"/>
  <c r="I54" i="46"/>
  <c r="E11" i="47" l="1"/>
  <c r="I11" i="47" s="1"/>
  <c r="K11" i="47" s="1"/>
  <c r="K31" i="46"/>
  <c r="I12" i="47"/>
  <c r="K12" i="47" s="1"/>
  <c r="I45" i="46"/>
  <c r="K45" i="46" s="1"/>
  <c r="K24" i="46"/>
  <c r="K32" i="46" s="1"/>
  <c r="E18" i="8"/>
  <c r="F18" i="8" s="1"/>
  <c r="F19" i="8"/>
  <c r="K46" i="46" l="1"/>
  <c r="K49" i="46" s="1"/>
  <c r="G18" i="47"/>
  <c r="H18" i="47" s="1"/>
  <c r="F15" i="8"/>
  <c r="E6" i="8"/>
  <c r="F6" i="8" s="1"/>
  <c r="E7" i="8"/>
  <c r="F7" i="8" s="1"/>
  <c r="F8" i="8"/>
  <c r="E9" i="8"/>
  <c r="F9" i="8" s="1"/>
  <c r="F10" i="8"/>
  <c r="C10" i="7"/>
  <c r="C9" i="8" s="1"/>
  <c r="C11" i="7"/>
  <c r="C12" i="7"/>
  <c r="C16" i="7"/>
  <c r="F13" i="8"/>
  <c r="F11" i="8"/>
  <c r="C22" i="7"/>
  <c r="B10" i="7"/>
  <c r="C9" i="7"/>
  <c r="C8" i="7"/>
  <c r="C7" i="7"/>
  <c r="C6" i="7"/>
  <c r="B6" i="7"/>
  <c r="A6" i="7"/>
  <c r="I53" i="46" l="1"/>
  <c r="K55" i="46" s="1"/>
  <c r="I60" i="46"/>
  <c r="K61" i="46" s="1"/>
  <c r="I22" i="47"/>
  <c r="K22" i="47" s="1"/>
  <c r="K18" i="47"/>
  <c r="C11" i="8"/>
  <c r="C10" i="8"/>
  <c r="K64" i="46" l="1"/>
  <c r="B25" i="9" s="1"/>
  <c r="K34" i="47"/>
  <c r="K36" i="47" s="1"/>
  <c r="I21" i="47"/>
  <c r="K21" i="47" s="1"/>
  <c r="K26" i="47" s="1"/>
  <c r="B7" i="24"/>
  <c r="K38" i="47" l="1"/>
  <c r="D25" i="9"/>
  <c r="K44" i="47" l="1"/>
  <c r="E25" i="9" s="1"/>
  <c r="C25" i="9"/>
</calcChain>
</file>

<file path=xl/comments1.xml><?xml version="1.0" encoding="utf-8"?>
<comments xmlns="http://schemas.openxmlformats.org/spreadsheetml/2006/main">
  <authors>
    <author>Pacini, Lain</author>
    <author>Courtney Kimball</author>
  </authors>
  <commentList>
    <comment ref="G13" authorId="0" shapeId="0">
      <text>
        <r>
          <rPr>
            <b/>
            <sz val="9"/>
            <color indexed="81"/>
            <rFont val="Tahoma"/>
            <family val="2"/>
          </rPr>
          <t>Pacini, Lain:</t>
        </r>
        <r>
          <rPr>
            <sz val="9"/>
            <color indexed="81"/>
            <rFont val="Tahoma"/>
            <family val="2"/>
          </rPr>
          <t xml:space="preserve">
Babcock proposal figure</t>
        </r>
      </text>
    </comment>
    <comment ref="E26" authorId="1" shapeId="0">
      <text>
        <r>
          <rPr>
            <b/>
            <sz val="9"/>
            <color indexed="81"/>
            <rFont val="Tahoma"/>
            <family val="2"/>
          </rPr>
          <t>Courtney Kimball:</t>
        </r>
        <r>
          <rPr>
            <sz val="9"/>
            <color indexed="81"/>
            <rFont val="Tahoma"/>
            <family val="2"/>
          </rPr>
          <t xml:space="preserve">
Cost of startup spares indicated as a percentage of equipment cost per similar project.</t>
        </r>
      </text>
    </comment>
    <comment ref="E29" authorId="1" shapeId="0">
      <text>
        <r>
          <rPr>
            <b/>
            <sz val="9"/>
            <color indexed="81"/>
            <rFont val="Tahoma"/>
            <family val="2"/>
          </rPr>
          <t>Courtney Kimball:</t>
        </r>
        <r>
          <rPr>
            <sz val="9"/>
            <color indexed="81"/>
            <rFont val="Tahoma"/>
            <family val="2"/>
          </rPr>
          <t xml:space="preserve">
days based on similar project</t>
        </r>
      </text>
    </comment>
    <comment ref="E30" authorId="1" shapeId="0">
      <text>
        <r>
          <rPr>
            <b/>
            <sz val="9"/>
            <color indexed="81"/>
            <rFont val="Tahoma"/>
            <family val="2"/>
          </rPr>
          <t>Courtney Kimball:</t>
        </r>
        <r>
          <rPr>
            <sz val="9"/>
            <color indexed="81"/>
            <rFont val="Tahoma"/>
            <family val="2"/>
          </rPr>
          <t xml:space="preserve">
days based on similar project</t>
        </r>
      </text>
    </comment>
    <comment ref="K46" authorId="0" shapeId="0">
      <text>
        <r>
          <rPr>
            <b/>
            <sz val="9"/>
            <color indexed="81"/>
            <rFont val="Tahoma"/>
            <family val="2"/>
          </rPr>
          <t>Pacini, Lain:</t>
        </r>
        <r>
          <rPr>
            <sz val="9"/>
            <color indexed="81"/>
            <rFont val="Tahoma"/>
            <family val="2"/>
          </rPr>
          <t xml:space="preserve">
Assume installation of SCR requires 2 x the SCR equipment capital based on FTEK proposal for Zurn unit</t>
        </r>
      </text>
    </comment>
    <comment ref="E53" authorId="1" shapeId="0">
      <text>
        <r>
          <rPr>
            <b/>
            <sz val="9"/>
            <color indexed="81"/>
            <rFont val="Tahoma"/>
            <family val="2"/>
          </rPr>
          <t>Courtney Kimball:</t>
        </r>
        <r>
          <rPr>
            <sz val="9"/>
            <color indexed="81"/>
            <rFont val="Tahoma"/>
            <family val="2"/>
          </rPr>
          <t xml:space="preserve">
18% was used in similar SCR BACT analysis for smaller CTs.</t>
        </r>
      </text>
    </comment>
    <comment ref="E60" authorId="0" shapeId="0">
      <text>
        <r>
          <rPr>
            <b/>
            <sz val="9"/>
            <color indexed="81"/>
            <rFont val="Tahoma"/>
            <family val="2"/>
          </rPr>
          <t>Pacini, Lain:</t>
        </r>
        <r>
          <rPr>
            <sz val="9"/>
            <color indexed="81"/>
            <rFont val="Tahoma"/>
            <family val="2"/>
          </rPr>
          <t xml:space="preserve">
+/- 30% based on FTEK quote for SCR on another unit.</t>
        </r>
      </text>
    </comment>
  </commentList>
</comments>
</file>

<file path=xl/comments10.xml><?xml version="1.0" encoding="utf-8"?>
<comments xmlns="http://schemas.openxmlformats.org/spreadsheetml/2006/main">
  <authors>
    <author>Pacini, Lain</author>
    <author>Stevenson, Cindy</author>
  </authors>
  <commentList>
    <comment ref="E19" authorId="0" shapeId="0">
      <text>
        <r>
          <rPr>
            <b/>
            <sz val="9"/>
            <color indexed="81"/>
            <rFont val="Tahoma"/>
            <family val="2"/>
          </rPr>
          <t>Pacini, Lain:</t>
        </r>
        <r>
          <rPr>
            <sz val="9"/>
            <color indexed="81"/>
            <rFont val="Tahoma"/>
            <family val="2"/>
          </rPr>
          <t xml:space="preserve">
Percentage of total capital investment</t>
        </r>
      </text>
    </comment>
    <comment ref="K29" authorId="1" shapeId="0">
      <text>
        <r>
          <rPr>
            <b/>
            <sz val="9"/>
            <color indexed="81"/>
            <rFont val="Tahoma"/>
            <family val="2"/>
          </rPr>
          <t>Pacini, Lain:</t>
        </r>
        <r>
          <rPr>
            <sz val="9"/>
            <color indexed="81"/>
            <rFont val="Tahoma"/>
            <family val="2"/>
          </rPr>
          <t xml:space="preserve">
Indeck quote indicates LNB + FGR can reduce emissions to 0.16 lbs/MMBtu and 12.7 TPY based on 10% capacity factor. Uncontrolled PTE is based on 10% capacity factor limit is 13.9 TPY.
</t>
        </r>
      </text>
    </comment>
  </commentList>
</comments>
</file>

<file path=xl/comments11.xml><?xml version="1.0" encoding="utf-8"?>
<comments xmlns="http://schemas.openxmlformats.org/spreadsheetml/2006/main">
  <authors>
    <author>Pacini, Lain</author>
  </authors>
  <commentList>
    <comment ref="G13" authorId="0" shapeId="0">
      <text>
        <r>
          <rPr>
            <b/>
            <sz val="9"/>
            <color indexed="81"/>
            <rFont val="Tahoma"/>
            <family val="2"/>
          </rPr>
          <t>Pacini, Lain:</t>
        </r>
        <r>
          <rPr>
            <sz val="9"/>
            <color indexed="81"/>
            <rFont val="Tahoma"/>
            <family val="2"/>
          </rPr>
          <t xml:space="preserve">
Used the capital cost for SCR on the 500 HP ACEP engine and ratioed up the cost based on the 13,266 HP DEG (EU ID8).  </t>
        </r>
      </text>
    </comment>
  </commentList>
</comments>
</file>

<file path=xl/comments12.xml><?xml version="1.0" encoding="utf-8"?>
<comments xmlns="http://schemas.openxmlformats.org/spreadsheetml/2006/main">
  <authors>
    <author>Pacini, Lain</author>
    <author>Courtney Kimball</author>
  </authors>
  <commentList>
    <comment ref="E10" authorId="0" shapeId="0">
      <text>
        <r>
          <rPr>
            <b/>
            <sz val="9"/>
            <color indexed="81"/>
            <rFont val="Tahoma"/>
            <family val="2"/>
          </rPr>
          <t>Pacini, Lain:</t>
        </r>
        <r>
          <rPr>
            <sz val="9"/>
            <color indexed="81"/>
            <rFont val="Tahoma"/>
            <family val="2"/>
          </rPr>
          <t xml:space="preserve">
Have historically used 2 hours per day for operating.</t>
        </r>
      </text>
    </comment>
    <comment ref="G10" authorId="1" shapeId="0">
      <text>
        <r>
          <rPr>
            <b/>
            <sz val="9"/>
            <color indexed="81"/>
            <rFont val="Tahoma"/>
            <family val="2"/>
          </rPr>
          <t>Courtney Kimball:</t>
        </r>
        <r>
          <rPr>
            <sz val="9"/>
            <color indexed="81"/>
            <rFont val="Tahoma"/>
            <family val="2"/>
          </rPr>
          <t xml:space="preserve">
Based on similar project.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>Pacini, Lain:</t>
        </r>
        <r>
          <rPr>
            <sz val="9"/>
            <color indexed="81"/>
            <rFont val="Tahoma"/>
            <family val="2"/>
          </rPr>
          <t xml:space="preserve">
Assumed to be half of maintenance labor.</t>
        </r>
      </text>
    </comment>
    <comment ref="G11" authorId="1" shapeId="0">
      <text>
        <r>
          <rPr>
            <b/>
            <sz val="9"/>
            <color indexed="81"/>
            <rFont val="Tahoma"/>
            <family val="2"/>
          </rPr>
          <t>Courtney Kimball:</t>
        </r>
        <r>
          <rPr>
            <sz val="9"/>
            <color indexed="81"/>
            <rFont val="Tahoma"/>
            <family val="2"/>
          </rPr>
          <t xml:space="preserve">
Based on similar project.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>Pacini, Lain:</t>
        </r>
        <r>
          <rPr>
            <sz val="9"/>
            <color indexed="81"/>
            <rFont val="Tahoma"/>
            <family val="2"/>
          </rPr>
          <t xml:space="preserve">
Have historically used 1 hours per day for maintenance</t>
        </r>
      </text>
    </comment>
    <comment ref="G12" authorId="1" shapeId="0">
      <text>
        <r>
          <rPr>
            <b/>
            <sz val="9"/>
            <color indexed="81"/>
            <rFont val="Tahoma"/>
            <family val="2"/>
          </rPr>
          <t>Courtney Kimball:</t>
        </r>
        <r>
          <rPr>
            <sz val="9"/>
            <color indexed="81"/>
            <rFont val="Tahoma"/>
            <family val="2"/>
          </rPr>
          <t xml:space="preserve">
Based on similar project.</t>
        </r>
      </text>
    </comment>
    <comment ref="E15" authorId="0" shapeId="0">
      <text>
        <r>
          <rPr>
            <b/>
            <sz val="9"/>
            <color indexed="81"/>
            <rFont val="Tahoma"/>
            <family val="2"/>
          </rPr>
          <t>Pacini, Lain:</t>
        </r>
        <r>
          <rPr>
            <sz val="9"/>
            <color indexed="81"/>
            <rFont val="Tahoma"/>
            <family val="2"/>
          </rPr>
          <t xml:space="preserve">
6.84 lbs/hr reagent consumption based on 60 lbs/hr required for the 295.6 MMBtu/hr CFB boiler. Assuming that the ratio of the 
 33.75 MMBtu/hr generator to the 295.6 MMBtu/hr boiler would proportionally decrease the reagent consumption required by the SCR. Assume 8760 hours/yr.</t>
        </r>
      </text>
    </comment>
    <comment ref="G15" authorId="1" shapeId="0">
      <text>
        <r>
          <rPr>
            <b/>
            <sz val="9"/>
            <color indexed="81"/>
            <rFont val="Tahoma"/>
            <family val="2"/>
          </rPr>
          <t>Courtney Kimball:</t>
        </r>
        <r>
          <rPr>
            <sz val="9"/>
            <color indexed="81"/>
            <rFont val="Tahoma"/>
            <family val="2"/>
          </rPr>
          <t xml:space="preserve">
Based on ammonia solution cost from similar BACT analysis - $0.75/gal and specific gravity of 0.9.</t>
        </r>
      </text>
    </comment>
    <comment ref="E16" authorId="0" shapeId="0">
      <text>
        <r>
          <rPr>
            <b/>
            <sz val="9"/>
            <color indexed="81"/>
            <rFont val="Tahoma"/>
            <family val="2"/>
          </rPr>
          <t>Pacini, Lain:</t>
        </r>
        <r>
          <rPr>
            <sz val="9"/>
            <color indexed="81"/>
            <rFont val="Tahoma"/>
            <family val="2"/>
          </rPr>
          <t xml:space="preserve">
7.98 kW energy consumption based on 70 kW required for the 295.6 MMBtu/hr CFB boiler. Assuming that the ratio of the 
 33.75 MMBtu/hr generator to the 295.6 MMBtu/hr boiler would proportionally decrease the power consumption required by the SCR. Assume 8760 hours/yr.</t>
        </r>
      </text>
    </comment>
    <comment ref="G16" authorId="0" shapeId="0">
      <text>
        <r>
          <rPr>
            <b/>
            <sz val="9"/>
            <color indexed="81"/>
            <rFont val="Tahoma"/>
            <family val="2"/>
          </rPr>
          <t>Pacini, Lain:</t>
        </r>
        <r>
          <rPr>
            <sz val="9"/>
            <color indexed="81"/>
            <rFont val="Tahoma"/>
            <family val="2"/>
          </rPr>
          <t xml:space="preserve">
Current Per kW price based on GVEA data.</t>
        </r>
      </text>
    </comment>
    <comment ref="E21" authorId="0" shapeId="0">
      <text>
        <r>
          <rPr>
            <b/>
            <sz val="9"/>
            <color indexed="81"/>
            <rFont val="Tahoma"/>
            <family val="2"/>
          </rPr>
          <t>Pacini, Lain:</t>
        </r>
        <r>
          <rPr>
            <sz val="9"/>
            <color indexed="81"/>
            <rFont val="Tahoma"/>
            <family val="2"/>
          </rPr>
          <t xml:space="preserve">
Miratech indicated that catalyst makes up 30% of the SCR system cost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Courtney Kimball:</t>
        </r>
        <r>
          <rPr>
            <sz val="9"/>
            <color indexed="81"/>
            <rFont val="Tahoma"/>
            <family val="2"/>
          </rPr>
          <t xml:space="preserve">
Based on similar project.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Courtney Kimball:</t>
        </r>
        <r>
          <rPr>
            <sz val="9"/>
            <color indexed="81"/>
            <rFont val="Tahoma"/>
            <family val="2"/>
          </rPr>
          <t xml:space="preserve">
Based on similar project.</t>
        </r>
      </text>
    </comment>
    <comment ref="E23" authorId="1" shapeId="0">
      <text>
        <r>
          <rPr>
            <b/>
            <sz val="9"/>
            <color indexed="81"/>
            <rFont val="Tahoma"/>
            <family val="2"/>
          </rPr>
          <t>Courtney Kimball:</t>
        </r>
        <r>
          <rPr>
            <sz val="9"/>
            <color indexed="81"/>
            <rFont val="Tahoma"/>
            <family val="2"/>
          </rPr>
          <t xml:space="preserve">
Based on similar project.</t>
        </r>
      </text>
    </comment>
    <comment ref="E24" authorId="1" shapeId="0">
      <text>
        <r>
          <rPr>
            <b/>
            <sz val="9"/>
            <color indexed="81"/>
            <rFont val="Tahoma"/>
            <family val="2"/>
          </rPr>
          <t>Courtney Kimball:</t>
        </r>
        <r>
          <rPr>
            <sz val="9"/>
            <color indexed="81"/>
            <rFont val="Tahoma"/>
            <family val="2"/>
          </rPr>
          <t xml:space="preserve">
Based on similar project.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</rPr>
          <t>Pacini, Lain:</t>
        </r>
        <r>
          <rPr>
            <sz val="9"/>
            <color indexed="81"/>
            <rFont val="Tahoma"/>
            <family val="2"/>
          </rPr>
          <t xml:space="preserve">
Percentage of total capital investment</t>
        </r>
      </text>
    </comment>
    <comment ref="K42" authorId="0" shapeId="0">
      <text>
        <r>
          <rPr>
            <b/>
            <sz val="9"/>
            <color indexed="81"/>
            <rFont val="Tahoma"/>
            <family val="2"/>
          </rPr>
          <t>Pacini, Lain:</t>
        </r>
        <r>
          <rPr>
            <sz val="9"/>
            <color indexed="81"/>
            <rFont val="Tahoma"/>
            <family val="2"/>
          </rPr>
          <t xml:space="preserve">
 Based on 90% control. </t>
        </r>
      </text>
    </comment>
  </commentList>
</comments>
</file>

<file path=xl/comments13.xml><?xml version="1.0" encoding="utf-8"?>
<comments xmlns="http://schemas.openxmlformats.org/spreadsheetml/2006/main">
  <authors>
    <author>Courtney Kimball</author>
  </authors>
  <commentList>
    <comment ref="E26" authorId="0" shapeId="0">
      <text>
        <r>
          <rPr>
            <b/>
            <sz val="9"/>
            <color indexed="81"/>
            <rFont val="Tahoma"/>
            <family val="2"/>
          </rPr>
          <t>Courtney Kimball:</t>
        </r>
        <r>
          <rPr>
            <sz val="9"/>
            <color indexed="81"/>
            <rFont val="Tahoma"/>
            <family val="2"/>
          </rPr>
          <t xml:space="preserve">
Cost of startup spares indicated as a percentage of equipment cost per similar BACT analysis.</t>
        </r>
      </text>
    </comment>
  </commentList>
</comments>
</file>

<file path=xl/comments14.xml><?xml version="1.0" encoding="utf-8"?>
<comments xmlns="http://schemas.openxmlformats.org/spreadsheetml/2006/main">
  <authors>
    <author>Pacini, Lain</author>
  </authors>
  <commentList>
    <comment ref="G15" authorId="0" shapeId="0">
      <text>
        <r>
          <rPr>
            <b/>
            <sz val="9"/>
            <color indexed="81"/>
            <rFont val="Tahoma"/>
            <family val="2"/>
          </rPr>
          <t>Pacini, Lain:</t>
        </r>
        <r>
          <rPr>
            <sz val="9"/>
            <color indexed="81"/>
            <rFont val="Tahoma"/>
            <family val="2"/>
          </rPr>
          <t xml:space="preserve">
Current DEF price at pump $2.79/gal and density of 9.50 lbs/gal; 50% urea solution</t>
        </r>
      </text>
    </comment>
  </commentList>
</comments>
</file>

<file path=xl/comments2.xml><?xml version="1.0" encoding="utf-8"?>
<comments xmlns="http://schemas.openxmlformats.org/spreadsheetml/2006/main">
  <authors>
    <author>Pacini, Lain</author>
    <author>Courtney Kimball</author>
  </authors>
  <commentList>
    <comment ref="E15" authorId="0" shapeId="0">
      <text>
        <r>
          <rPr>
            <b/>
            <sz val="9"/>
            <color indexed="81"/>
            <rFont val="Tahoma"/>
            <family val="2"/>
          </rPr>
          <t>Pacini, Lain:</t>
        </r>
        <r>
          <rPr>
            <sz val="9"/>
            <color indexed="81"/>
            <rFont val="Tahoma"/>
            <family val="2"/>
          </rPr>
          <t xml:space="preserve">
Based on Babcock proposal indicating consumption rate of 60 lbs/hr.</t>
        </r>
      </text>
    </comment>
    <comment ref="G15" authorId="1" shapeId="0">
      <text>
        <r>
          <rPr>
            <b/>
            <sz val="9"/>
            <color indexed="81"/>
            <rFont val="Tahoma"/>
            <family val="2"/>
          </rPr>
          <t>Courtney Kimball:</t>
        </r>
        <r>
          <rPr>
            <sz val="9"/>
            <color indexed="81"/>
            <rFont val="Tahoma"/>
            <family val="2"/>
          </rPr>
          <t xml:space="preserve">
Based on ammonia solution cost from similar BACT analysis - $0.75/gal and specific gravity of 0.9.</t>
        </r>
      </text>
    </comment>
    <comment ref="E16" authorId="0" shapeId="0">
      <text>
        <r>
          <rPr>
            <b/>
            <sz val="9"/>
            <color indexed="81"/>
            <rFont val="Tahoma"/>
            <family val="2"/>
          </rPr>
          <t>Pacini, Lain:</t>
        </r>
        <r>
          <rPr>
            <sz val="9"/>
            <color indexed="81"/>
            <rFont val="Tahoma"/>
            <family val="2"/>
          </rPr>
          <t xml:space="preserve">
70 kW energy requirement from vendor and assume 8760 hours/yr.</t>
        </r>
      </text>
    </comment>
    <comment ref="G16" authorId="0" shapeId="0">
      <text>
        <r>
          <rPr>
            <b/>
            <sz val="9"/>
            <color indexed="81"/>
            <rFont val="Tahoma"/>
            <family val="2"/>
          </rPr>
          <t>Pacini, Lain:</t>
        </r>
        <r>
          <rPr>
            <sz val="9"/>
            <color indexed="81"/>
            <rFont val="Tahoma"/>
            <family val="2"/>
          </rPr>
          <t xml:space="preserve">
Current Per kW price based on GVEA data.</t>
        </r>
      </text>
    </comment>
    <comment ref="E19" authorId="1" shapeId="0">
      <text>
        <r>
          <rPr>
            <b/>
            <sz val="9"/>
            <color indexed="81"/>
            <rFont val="Tahoma"/>
            <family val="2"/>
          </rPr>
          <t>Courtney Kimball:</t>
        </r>
        <r>
          <rPr>
            <sz val="9"/>
            <color indexed="81"/>
            <rFont val="Tahoma"/>
            <family val="2"/>
          </rPr>
          <t xml:space="preserve">
Replacement labor based on similar project.</t>
        </r>
      </text>
    </comment>
    <comment ref="G19" authorId="1" shapeId="0">
      <text>
        <r>
          <rPr>
            <b/>
            <sz val="9"/>
            <color indexed="81"/>
            <rFont val="Tahoma"/>
            <family val="2"/>
          </rPr>
          <t>Courtney Kimball:</t>
        </r>
        <r>
          <rPr>
            <sz val="9"/>
            <color indexed="81"/>
            <rFont val="Tahoma"/>
            <family val="2"/>
          </rPr>
          <t xml:space="preserve">
Labor cost based on similar project.</t>
        </r>
      </text>
    </comment>
    <comment ref="E29" authorId="0" shapeId="0">
      <text>
        <r>
          <rPr>
            <b/>
            <sz val="9"/>
            <color indexed="81"/>
            <rFont val="Tahoma"/>
            <family val="2"/>
          </rPr>
          <t>Pacini, Lain:</t>
        </r>
        <r>
          <rPr>
            <sz val="9"/>
            <color indexed="81"/>
            <rFont val="Tahoma"/>
            <family val="2"/>
          </rPr>
          <t xml:space="preserve">
Percentage of total capital investment</t>
        </r>
      </text>
    </comment>
    <comment ref="K39" authorId="0" shapeId="0">
      <text>
        <r>
          <rPr>
            <b/>
            <sz val="9"/>
            <color indexed="81"/>
            <rFont val="Tahoma"/>
            <family val="2"/>
          </rPr>
          <t xml:space="preserve">Pacini, Lain:
</t>
        </r>
        <r>
          <rPr>
            <sz val="9"/>
            <color indexed="81"/>
            <rFont val="Tahoma"/>
            <family val="2"/>
          </rPr>
          <t>based on 80% control as indicated by vendor.</t>
        </r>
      </text>
    </comment>
    <comment ref="E47" authorId="0" shapeId="0">
      <text>
        <r>
          <rPr>
            <b/>
            <sz val="9"/>
            <color indexed="81"/>
            <rFont val="Tahoma"/>
            <family val="2"/>
          </rPr>
          <t>Pacini, Lain:</t>
        </r>
        <r>
          <rPr>
            <sz val="9"/>
            <color indexed="81"/>
            <rFont val="Tahoma"/>
            <family val="2"/>
          </rPr>
          <t xml:space="preserve">
Based on FTEK SCR life expectations on other unit</t>
        </r>
      </text>
    </comment>
  </commentList>
</comments>
</file>

<file path=xl/comments3.xml><?xml version="1.0" encoding="utf-8"?>
<comments xmlns="http://schemas.openxmlformats.org/spreadsheetml/2006/main">
  <authors>
    <author>Pacini, Lain</author>
    <author>Courtney Kimball</author>
  </authors>
  <commentList>
    <comment ref="G13" authorId="0" shapeId="0">
      <text>
        <r>
          <rPr>
            <b/>
            <sz val="9"/>
            <color indexed="81"/>
            <rFont val="Tahoma"/>
            <family val="2"/>
          </rPr>
          <t>Pacini, Lain:</t>
        </r>
        <r>
          <rPr>
            <sz val="9"/>
            <color indexed="81"/>
            <rFont val="Tahoma"/>
            <family val="2"/>
          </rPr>
          <t xml:space="preserve">
Based on Babcock proposal.</t>
        </r>
      </text>
    </comment>
    <comment ref="K43" authorId="0" shapeId="0">
      <text>
        <r>
          <rPr>
            <b/>
            <sz val="9"/>
            <color indexed="81"/>
            <rFont val="Tahoma"/>
            <family val="2"/>
          </rPr>
          <t>Pacini, Lain:</t>
        </r>
        <r>
          <rPr>
            <sz val="9"/>
            <color indexed="81"/>
            <rFont val="Tahoma"/>
            <family val="2"/>
          </rPr>
          <t xml:space="preserve">
Assume SNCR installation cost are 1 x the capital required for equipment purchases. Assumption is based on the FTEK proposal indicating an SCR is 2 x capital costs for installation and that SNCR will involve less equipment (only need reagent injection system).</t>
        </r>
      </text>
    </comment>
    <comment ref="E50" authorId="1" shapeId="0">
      <text>
        <r>
          <rPr>
            <b/>
            <sz val="9"/>
            <color indexed="81"/>
            <rFont val="Tahoma"/>
            <family val="2"/>
          </rPr>
          <t>Courtney Kimball:</t>
        </r>
        <r>
          <rPr>
            <sz val="9"/>
            <color indexed="81"/>
            <rFont val="Tahoma"/>
            <family val="2"/>
          </rPr>
          <t xml:space="preserve">
18% was used in similar SCR BACT analysis. Assume same amount for SNCR.</t>
        </r>
      </text>
    </comment>
    <comment ref="E57" authorId="0" shapeId="0">
      <text>
        <r>
          <rPr>
            <b/>
            <sz val="9"/>
            <color indexed="81"/>
            <rFont val="Tahoma"/>
            <family val="2"/>
          </rPr>
          <t>Pacini, Lain:</t>
        </r>
        <r>
          <rPr>
            <sz val="9"/>
            <color indexed="81"/>
            <rFont val="Tahoma"/>
            <family val="2"/>
          </rPr>
          <t xml:space="preserve">
+/- 30% for SCR, assume same for SNCR based on FTEK proposal. </t>
        </r>
      </text>
    </comment>
  </commentList>
</comments>
</file>

<file path=xl/comments4.xml><?xml version="1.0" encoding="utf-8"?>
<comments xmlns="http://schemas.openxmlformats.org/spreadsheetml/2006/main">
  <authors>
    <author>Pacini, Lain</author>
    <author>Courtney Kimball</author>
  </authors>
  <commentList>
    <comment ref="E15" authorId="0" shapeId="0">
      <text>
        <r>
          <rPr>
            <b/>
            <sz val="9"/>
            <color indexed="81"/>
            <rFont val="Tahoma"/>
            <family val="2"/>
          </rPr>
          <t>Pacini, Lain:</t>
        </r>
        <r>
          <rPr>
            <sz val="9"/>
            <color indexed="81"/>
            <rFont val="Tahoma"/>
            <family val="2"/>
          </rPr>
          <t xml:space="preserve">
Based on Babcock proposal indicating consumption rate of 20 lbs/hr.</t>
        </r>
      </text>
    </comment>
    <comment ref="G15" authorId="1" shapeId="0">
      <text>
        <r>
          <rPr>
            <b/>
            <sz val="9"/>
            <color indexed="81"/>
            <rFont val="Tahoma"/>
            <family val="2"/>
          </rPr>
          <t>Courtney Kimball:</t>
        </r>
        <r>
          <rPr>
            <sz val="9"/>
            <color indexed="81"/>
            <rFont val="Tahoma"/>
            <family val="2"/>
          </rPr>
          <t xml:space="preserve">
Based on ammonia solution cost from similar BACT analysis - $0.75/gal and specific gravity of 0.9</t>
        </r>
      </text>
    </comment>
    <comment ref="E16" authorId="0" shapeId="0">
      <text>
        <r>
          <rPr>
            <b/>
            <sz val="9"/>
            <color indexed="81"/>
            <rFont val="Tahoma"/>
            <family val="2"/>
          </rPr>
          <t>Pacini, Lain:</t>
        </r>
        <r>
          <rPr>
            <sz val="9"/>
            <color indexed="81"/>
            <rFont val="Tahoma"/>
            <family val="2"/>
          </rPr>
          <t xml:space="preserve">
Babcock characterized this energy use as minimal in their proposal, so a firm estimate was not included.</t>
        </r>
      </text>
    </comment>
    <comment ref="G16" authorId="0" shapeId="0">
      <text>
        <r>
          <rPr>
            <b/>
            <sz val="9"/>
            <color indexed="81"/>
            <rFont val="Tahoma"/>
            <family val="2"/>
          </rPr>
          <t>Pacini, Lain:</t>
        </r>
        <r>
          <rPr>
            <sz val="9"/>
            <color indexed="81"/>
            <rFont val="Tahoma"/>
            <family val="2"/>
          </rPr>
          <t xml:space="preserve">
Current Per kW price based on GVEA data.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</rPr>
          <t>Pacini, Lain:</t>
        </r>
        <r>
          <rPr>
            <sz val="9"/>
            <color indexed="81"/>
            <rFont val="Tahoma"/>
            <family val="2"/>
          </rPr>
          <t xml:space="preserve">
Percentage of total capital investment</t>
        </r>
      </text>
    </comment>
    <comment ref="K33" authorId="0" shapeId="0">
      <text>
        <r>
          <rPr>
            <b/>
            <sz val="9"/>
            <color indexed="81"/>
            <rFont val="Tahoma"/>
            <family val="2"/>
          </rPr>
          <t>Pacini, Lain:</t>
        </r>
        <r>
          <rPr>
            <sz val="9"/>
            <color indexed="81"/>
            <rFont val="Tahoma"/>
            <family val="2"/>
          </rPr>
          <t xml:space="preserve">
Babcock proposal indicates SNCR NOX control in the range of 10%-20%. 20% was used here as a worst-case estimate.</t>
        </r>
      </text>
    </comment>
  </commentList>
</comments>
</file>

<file path=xl/comments5.xml><?xml version="1.0" encoding="utf-8"?>
<comments xmlns="http://schemas.openxmlformats.org/spreadsheetml/2006/main">
  <authors>
    <author>Pacini, Lain</author>
  </authors>
  <commentList>
    <comment ref="G13" authorId="0" shapeId="0">
      <text>
        <r>
          <rPr>
            <b/>
            <sz val="9"/>
            <color indexed="81"/>
            <rFont val="Tahoma"/>
            <family val="2"/>
          </rPr>
          <t>Pacini, Lain:</t>
        </r>
        <r>
          <rPr>
            <sz val="9"/>
            <color indexed="81"/>
            <rFont val="Tahoma"/>
            <family val="2"/>
          </rPr>
          <t xml:space="preserve">
Fuel Tech (FTEK) proposal</t>
        </r>
      </text>
    </comment>
    <comment ref="G16" authorId="0" shapeId="0">
      <text>
        <r>
          <rPr>
            <b/>
            <sz val="9"/>
            <color indexed="81"/>
            <rFont val="Tahoma"/>
            <family val="2"/>
          </rPr>
          <t>Pacini, Lain:</t>
        </r>
        <r>
          <rPr>
            <sz val="9"/>
            <color indexed="81"/>
            <rFont val="Tahoma"/>
            <family val="2"/>
          </rPr>
          <t xml:space="preserve">
Based on engineering estimates/experience.</t>
        </r>
      </text>
    </comment>
    <comment ref="G17" authorId="0" shapeId="0">
      <text>
        <r>
          <rPr>
            <b/>
            <sz val="9"/>
            <color indexed="81"/>
            <rFont val="Tahoma"/>
            <family val="2"/>
          </rPr>
          <t>Pacini, Lain:</t>
        </r>
        <r>
          <rPr>
            <sz val="9"/>
            <color indexed="81"/>
            <rFont val="Tahoma"/>
            <family val="2"/>
          </rPr>
          <t xml:space="preserve">
Based on engineering estimates/experience.</t>
        </r>
      </text>
    </comment>
    <comment ref="K47" authorId="0" shapeId="0">
      <text>
        <r>
          <rPr>
            <b/>
            <sz val="9"/>
            <color indexed="81"/>
            <rFont val="Tahoma"/>
            <family val="2"/>
          </rPr>
          <t>Pacini, Lain:</t>
        </r>
        <r>
          <rPr>
            <sz val="9"/>
            <color indexed="81"/>
            <rFont val="Tahoma"/>
            <family val="2"/>
          </rPr>
          <t xml:space="preserve">
Assume installation of SCR requires 2 x the SCR equipment capital.</t>
        </r>
      </text>
    </comment>
    <comment ref="E61" authorId="0" shapeId="0">
      <text>
        <r>
          <rPr>
            <b/>
            <sz val="9"/>
            <color indexed="81"/>
            <rFont val="Tahoma"/>
            <family val="2"/>
          </rPr>
          <t>Pacini, Lain:</t>
        </r>
        <r>
          <rPr>
            <sz val="9"/>
            <color indexed="81"/>
            <rFont val="Tahoma"/>
            <family val="2"/>
          </rPr>
          <t xml:space="preserve">
Based on +/- 30% contingency included in FTEK proposal.</t>
        </r>
      </text>
    </comment>
  </commentList>
</comments>
</file>

<file path=xl/comments6.xml><?xml version="1.0" encoding="utf-8"?>
<comments xmlns="http://schemas.openxmlformats.org/spreadsheetml/2006/main">
  <authors>
    <author>Pacini, Lain</author>
    <author>Courtney Kimball</author>
  </authors>
  <commentList>
    <comment ref="E10" authorId="0" shapeId="0">
      <text>
        <r>
          <rPr>
            <b/>
            <sz val="9"/>
            <color indexed="81"/>
            <rFont val="Tahoma"/>
            <family val="2"/>
          </rPr>
          <t>Pacini, Lain:</t>
        </r>
        <r>
          <rPr>
            <sz val="9"/>
            <color indexed="81"/>
            <rFont val="Tahoma"/>
            <family val="2"/>
          </rPr>
          <t xml:space="preserve">
Have historically used 2 hours per day for operating.</t>
        </r>
      </text>
    </comment>
    <comment ref="G10" authorId="1" shapeId="0">
      <text>
        <r>
          <rPr>
            <b/>
            <sz val="9"/>
            <color indexed="81"/>
            <rFont val="Tahoma"/>
            <family val="2"/>
          </rPr>
          <t>Courtney Kimball:</t>
        </r>
        <r>
          <rPr>
            <sz val="9"/>
            <color indexed="81"/>
            <rFont val="Tahoma"/>
            <family val="2"/>
          </rPr>
          <t xml:space="preserve">
Based on similar project.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>Pacini, Lain:</t>
        </r>
        <r>
          <rPr>
            <sz val="9"/>
            <color indexed="81"/>
            <rFont val="Tahoma"/>
            <family val="2"/>
          </rPr>
          <t xml:space="preserve">
Assumed to be half of maintenance labor.</t>
        </r>
      </text>
    </comment>
    <comment ref="G11" authorId="1" shapeId="0">
      <text>
        <r>
          <rPr>
            <b/>
            <sz val="9"/>
            <color indexed="81"/>
            <rFont val="Tahoma"/>
            <family val="2"/>
          </rPr>
          <t>Courtney Kimball:</t>
        </r>
        <r>
          <rPr>
            <sz val="9"/>
            <color indexed="81"/>
            <rFont val="Tahoma"/>
            <family val="2"/>
          </rPr>
          <t xml:space="preserve">
Based on similar project.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>Pacini, Lain:</t>
        </r>
        <r>
          <rPr>
            <sz val="9"/>
            <color indexed="81"/>
            <rFont val="Tahoma"/>
            <family val="2"/>
          </rPr>
          <t xml:space="preserve">
Have historically used 1 hours per day for maintenance</t>
        </r>
      </text>
    </comment>
    <comment ref="G12" authorId="1" shapeId="0">
      <text>
        <r>
          <rPr>
            <b/>
            <sz val="9"/>
            <color indexed="81"/>
            <rFont val="Tahoma"/>
            <family val="2"/>
          </rPr>
          <t>Courtney Kimball:</t>
        </r>
        <r>
          <rPr>
            <sz val="9"/>
            <color indexed="81"/>
            <rFont val="Tahoma"/>
            <family val="2"/>
          </rPr>
          <t xml:space="preserve">
Based on similar project.</t>
        </r>
      </text>
    </comment>
    <comment ref="E15" authorId="0" shapeId="0">
      <text>
        <r>
          <rPr>
            <b/>
            <sz val="9"/>
            <color indexed="81"/>
            <rFont val="Tahoma"/>
            <family val="2"/>
          </rPr>
          <t>Pacini, Lain:</t>
        </r>
        <r>
          <rPr>
            <sz val="9"/>
            <color indexed="81"/>
            <rFont val="Tahoma"/>
            <family val="2"/>
          </rPr>
          <t xml:space="preserve">
50% urea solution and 2.2 moles needed per ton NOx controlled.</t>
        </r>
      </text>
    </comment>
    <comment ref="G15" authorId="0" shapeId="0">
      <text>
        <r>
          <rPr>
            <b/>
            <sz val="9"/>
            <color indexed="81"/>
            <rFont val="Tahoma"/>
            <family val="2"/>
          </rPr>
          <t>Pacini, Lain:</t>
        </r>
        <r>
          <rPr>
            <sz val="9"/>
            <color indexed="81"/>
            <rFont val="Tahoma"/>
            <family val="2"/>
          </rPr>
          <t xml:space="preserve">
December 2015 price according to Farmer's Coop Association. 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</rPr>
          <t>Pacini, Lain:</t>
        </r>
        <r>
          <rPr>
            <sz val="9"/>
            <color indexed="81"/>
            <rFont val="Tahoma"/>
            <family val="2"/>
          </rPr>
          <t xml:space="preserve">
43 kW energy consumption based on 70 kW required for the 295.6 MMBtu/hr CFB boiler. Assuming that the ratio of the 180.9 MMBtu/hr to the 295.6 MMBtu/hr boiler would proportionally decrease the power consumption required by the SCR. Assume 8760 hours/yr.</t>
        </r>
      </text>
    </comment>
    <comment ref="G17" authorId="0" shapeId="0">
      <text>
        <r>
          <rPr>
            <b/>
            <sz val="9"/>
            <color indexed="81"/>
            <rFont val="Tahoma"/>
            <family val="2"/>
          </rPr>
          <t>Pacini, Lain:</t>
        </r>
        <r>
          <rPr>
            <sz val="9"/>
            <color indexed="81"/>
            <rFont val="Tahoma"/>
            <family val="2"/>
          </rPr>
          <t xml:space="preserve">
Current Per kW price based on GVEA data.</t>
        </r>
      </text>
    </comment>
    <comment ref="C21" authorId="0" shapeId="0">
      <text>
        <r>
          <rPr>
            <b/>
            <sz val="9"/>
            <color indexed="81"/>
            <rFont val="Tahoma"/>
            <family val="2"/>
          </rPr>
          <t>Pacini, Lain:</t>
        </r>
        <r>
          <rPr>
            <sz val="9"/>
            <color indexed="81"/>
            <rFont val="Tahoma"/>
            <family val="2"/>
          </rPr>
          <t xml:space="preserve">
Based on FTEK proposal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</rPr>
          <t>Pacini, Lain:</t>
        </r>
        <r>
          <rPr>
            <sz val="9"/>
            <color indexed="81"/>
            <rFont val="Tahoma"/>
            <family val="2"/>
          </rPr>
          <t xml:space="preserve">
Miratech indicated that catalyst makes up 30% of the SCR system cost</t>
        </r>
      </text>
    </comment>
    <comment ref="E25" authorId="1" shapeId="0">
      <text>
        <r>
          <rPr>
            <b/>
            <sz val="9"/>
            <color indexed="81"/>
            <rFont val="Tahoma"/>
            <family val="2"/>
          </rPr>
          <t>Courtney Kimball:</t>
        </r>
        <r>
          <rPr>
            <sz val="9"/>
            <color indexed="81"/>
            <rFont val="Tahoma"/>
            <family val="2"/>
          </rPr>
          <t xml:space="preserve">
Replacement labor based on similar project.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Courtney Kimball:</t>
        </r>
        <r>
          <rPr>
            <sz val="9"/>
            <color indexed="81"/>
            <rFont val="Tahoma"/>
            <family val="2"/>
          </rPr>
          <t xml:space="preserve">
Based on similar project.</t>
        </r>
      </text>
    </comment>
    <comment ref="E26" authorId="1" shapeId="0">
      <text>
        <r>
          <rPr>
            <b/>
            <sz val="9"/>
            <color indexed="81"/>
            <rFont val="Tahoma"/>
            <family val="2"/>
          </rPr>
          <t>Courtney Kimball:</t>
        </r>
        <r>
          <rPr>
            <sz val="9"/>
            <color indexed="81"/>
            <rFont val="Tahoma"/>
            <family val="2"/>
          </rPr>
          <t xml:space="preserve">
Based on similar project.</t>
        </r>
      </text>
    </comment>
    <comment ref="E27" authorId="1" shapeId="0">
      <text>
        <r>
          <rPr>
            <b/>
            <sz val="9"/>
            <color indexed="81"/>
            <rFont val="Tahoma"/>
            <family val="2"/>
          </rPr>
          <t>Courtney Kimball:</t>
        </r>
        <r>
          <rPr>
            <sz val="9"/>
            <color indexed="81"/>
            <rFont val="Tahoma"/>
            <family val="2"/>
          </rPr>
          <t xml:space="preserve">
Based on similar project.</t>
        </r>
      </text>
    </comment>
    <comment ref="E35" authorId="0" shapeId="0">
      <text>
        <r>
          <rPr>
            <b/>
            <sz val="9"/>
            <color indexed="81"/>
            <rFont val="Tahoma"/>
            <family val="2"/>
          </rPr>
          <t>Pacini, Lain:</t>
        </r>
        <r>
          <rPr>
            <sz val="9"/>
            <color indexed="81"/>
            <rFont val="Tahoma"/>
            <family val="2"/>
          </rPr>
          <t xml:space="preserve">
Percentage of total capital investment</t>
        </r>
      </text>
    </comment>
    <comment ref="K45" authorId="0" shapeId="0">
      <text>
        <r>
          <rPr>
            <b/>
            <sz val="9"/>
            <color indexed="81"/>
            <rFont val="Tahoma"/>
            <family val="2"/>
          </rPr>
          <t>Pacini, Lain:</t>
        </r>
        <r>
          <rPr>
            <sz val="9"/>
            <color indexed="81"/>
            <rFont val="Tahoma"/>
            <family val="2"/>
          </rPr>
          <t xml:space="preserve">
 Based on 85% control in FTEK proposal. </t>
        </r>
      </text>
    </comment>
  </commentList>
</comments>
</file>

<file path=xl/comments7.xml><?xml version="1.0" encoding="utf-8"?>
<comments xmlns="http://schemas.openxmlformats.org/spreadsheetml/2006/main">
  <authors>
    <author>Stevenson, Cindy</author>
    <author>Pacini, Lain</author>
    <author>Courtney Kimball</author>
  </authors>
  <commentList>
    <comment ref="G13" authorId="0" shapeId="0">
      <text>
        <r>
          <rPr>
            <b/>
            <sz val="9"/>
            <color indexed="81"/>
            <rFont val="Tahoma"/>
            <family val="2"/>
          </rPr>
          <t>Pacini, Lain:</t>
        </r>
        <r>
          <rPr>
            <sz val="9"/>
            <color indexed="81"/>
            <rFont val="Tahoma"/>
            <family val="2"/>
          </rPr>
          <t xml:space="preserve">
Supplier (INDeck) proposal dated 2/5/2016
</t>
        </r>
      </text>
    </comment>
    <comment ref="G14" authorId="1" shapeId="0">
      <text>
        <r>
          <rPr>
            <b/>
            <sz val="9"/>
            <color indexed="81"/>
            <rFont val="Tahoma"/>
            <family val="2"/>
          </rPr>
          <t>Pacini, Lain:</t>
        </r>
        <r>
          <rPr>
            <sz val="9"/>
            <color indexed="81"/>
            <rFont val="Tahoma"/>
            <family val="2"/>
          </rPr>
          <t xml:space="preserve">
Supplier (INDeck) proposal dated 2/5/2016</t>
        </r>
      </text>
    </comment>
    <comment ref="G20" authorId="1" shapeId="0">
      <text>
        <r>
          <rPr>
            <b/>
            <sz val="9"/>
            <color indexed="81"/>
            <rFont val="Tahoma"/>
            <family val="2"/>
          </rPr>
          <t>Pacini, Lain:</t>
        </r>
        <r>
          <rPr>
            <sz val="9"/>
            <color indexed="81"/>
            <rFont val="Tahoma"/>
            <family val="2"/>
          </rPr>
          <t xml:space="preserve">
Based on vendor estimate for DPF on CAT emergency engine.</t>
        </r>
      </text>
    </comment>
    <comment ref="E24" authorId="1" shapeId="0">
      <text>
        <r>
          <rPr>
            <b/>
            <sz val="9"/>
            <color indexed="81"/>
            <rFont val="Tahoma"/>
            <family val="2"/>
          </rPr>
          <t>Pacini, Lain:</t>
        </r>
        <r>
          <rPr>
            <sz val="9"/>
            <color indexed="81"/>
            <rFont val="Tahoma"/>
            <family val="2"/>
          </rPr>
          <t xml:space="preserve">
Indeck service quote indicates 30 hours of boiler inspection work. Assume UAF staff would participate.</t>
        </r>
      </text>
    </comment>
    <comment ref="G24" authorId="2" shapeId="0">
      <text>
        <r>
          <rPr>
            <b/>
            <sz val="9"/>
            <color indexed="81"/>
            <rFont val="Tahoma"/>
            <family val="2"/>
          </rPr>
          <t>Courtney Kimball:</t>
        </r>
        <r>
          <rPr>
            <sz val="9"/>
            <color indexed="81"/>
            <rFont val="Tahoma"/>
            <family val="2"/>
          </rPr>
          <t xml:space="preserve">
Based on similar project.</t>
        </r>
      </text>
    </comment>
    <comment ref="E28" authorId="1" shapeId="0">
      <text>
        <r>
          <rPr>
            <b/>
            <sz val="9"/>
            <color indexed="81"/>
            <rFont val="Tahoma"/>
            <family val="2"/>
          </rPr>
          <t>Pacini, Lain:</t>
        </r>
        <r>
          <rPr>
            <sz val="9"/>
            <color indexed="81"/>
            <rFont val="Tahoma"/>
            <family val="2"/>
          </rPr>
          <t xml:space="preserve">
Indeck quote includes 40 hours of standard staff labor and 6 hours of overtime.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Pacini, Lain:</t>
        </r>
        <r>
          <rPr>
            <sz val="9"/>
            <color indexed="81"/>
            <rFont val="Tahoma"/>
            <family val="2"/>
          </rPr>
          <t xml:space="preserve">
Combined wieghted cost from Indeck considering standard tims and overtime rates.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Pacini, Lain:</t>
        </r>
        <r>
          <rPr>
            <sz val="9"/>
            <color indexed="81"/>
            <rFont val="Tahoma"/>
            <family val="2"/>
          </rPr>
          <t xml:space="preserve">
Indeck service quote</t>
        </r>
      </text>
    </comment>
    <comment ref="K33" authorId="1" shapeId="0">
      <text>
        <r>
          <rPr>
            <b/>
            <sz val="9"/>
            <color indexed="81"/>
            <rFont val="Tahoma"/>
            <family val="2"/>
          </rPr>
          <t>Pacini, Lain:</t>
        </r>
        <r>
          <rPr>
            <sz val="9"/>
            <color indexed="81"/>
            <rFont val="Tahoma"/>
            <family val="2"/>
          </rPr>
          <t xml:space="preserve">
Based on labor, materials and subcontractor quote from Haskell Corp. Quote includes an accuracy note of +/- 25%. 25% was added here to cost.</t>
        </r>
      </text>
    </comment>
  </commentList>
</comments>
</file>

<file path=xl/comments8.xml><?xml version="1.0" encoding="utf-8"?>
<comments xmlns="http://schemas.openxmlformats.org/spreadsheetml/2006/main">
  <authors>
    <author>Pacini, Lain</author>
    <author>Stevenson, Cindy</author>
  </authors>
  <commentList>
    <comment ref="E19" authorId="0" shapeId="0">
      <text>
        <r>
          <rPr>
            <b/>
            <sz val="9"/>
            <color indexed="81"/>
            <rFont val="Tahoma"/>
            <family val="2"/>
          </rPr>
          <t>Pacini, Lain:</t>
        </r>
        <r>
          <rPr>
            <sz val="9"/>
            <color indexed="81"/>
            <rFont val="Tahoma"/>
            <family val="2"/>
          </rPr>
          <t xml:space="preserve">
Percentage of total capital investment</t>
        </r>
      </text>
    </comment>
    <comment ref="K29" authorId="1" shapeId="0">
      <text>
        <r>
          <rPr>
            <b/>
            <sz val="9"/>
            <color indexed="81"/>
            <rFont val="Tahoma"/>
            <family val="2"/>
          </rPr>
          <t>Pacini, Lain:</t>
        </r>
        <r>
          <rPr>
            <sz val="9"/>
            <color indexed="81"/>
            <rFont val="Tahoma"/>
            <family val="2"/>
          </rPr>
          <t xml:space="preserve">
Indeck quote indicates LNB + FGR can redcue emissions to 0.1 lbs/MMBtu. Uncontrolled PTE is 138.8 TPY.
</t>
        </r>
      </text>
    </comment>
  </commentList>
</comments>
</file>

<file path=xl/comments9.xml><?xml version="1.0" encoding="utf-8"?>
<comments xmlns="http://schemas.openxmlformats.org/spreadsheetml/2006/main">
  <authors>
    <author>Stevenson, Cindy</author>
    <author>Pacini, Lain</author>
  </authors>
  <commentList>
    <comment ref="G13" authorId="0" shapeId="0">
      <text>
        <r>
          <rPr>
            <b/>
            <sz val="9"/>
            <color indexed="81"/>
            <rFont val="Tahoma"/>
            <family val="2"/>
          </rPr>
          <t>Pacini, Lain:</t>
        </r>
        <r>
          <rPr>
            <sz val="9"/>
            <color indexed="81"/>
            <rFont val="Tahoma"/>
            <family val="2"/>
          </rPr>
          <t xml:space="preserve">
Supplier (INDeck) proposal dated 2/5/2016
</t>
        </r>
      </text>
    </comment>
    <comment ref="G14" authorId="1" shapeId="0">
      <text>
        <r>
          <rPr>
            <b/>
            <sz val="9"/>
            <color indexed="81"/>
            <rFont val="Tahoma"/>
            <family val="2"/>
          </rPr>
          <t>Pacini, Lain:</t>
        </r>
        <r>
          <rPr>
            <sz val="9"/>
            <color indexed="81"/>
            <rFont val="Tahoma"/>
            <family val="2"/>
          </rPr>
          <t xml:space="preserve">
Supplier (INDeck) proposal dated 2/5/2016</t>
        </r>
      </text>
    </comment>
    <comment ref="G20" authorId="1" shapeId="0">
      <text>
        <r>
          <rPr>
            <b/>
            <sz val="9"/>
            <color indexed="81"/>
            <rFont val="Tahoma"/>
            <family val="2"/>
          </rPr>
          <t>Pacini, Lain:</t>
        </r>
        <r>
          <rPr>
            <sz val="9"/>
            <color indexed="81"/>
            <rFont val="Tahoma"/>
            <family val="2"/>
          </rPr>
          <t xml:space="preserve">
Based on vendor estimate for DPF on CAT emergency engine.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</rPr>
          <t>Pacini, Lain:</t>
        </r>
        <r>
          <rPr>
            <sz val="9"/>
            <color indexed="81"/>
            <rFont val="Tahoma"/>
            <family val="2"/>
          </rPr>
          <t xml:space="preserve">
Supplier (Proctor Sales) email dated 11/5/2015:  cost for install is $15K for 6.13 MMBtu/hr Boiler. Scaled cost up to 180.9 MMBtu/hr for Zurn boiler.</t>
        </r>
      </text>
    </comment>
  </commentList>
</comments>
</file>

<file path=xl/sharedStrings.xml><?xml version="1.0" encoding="utf-8"?>
<sst xmlns="http://schemas.openxmlformats.org/spreadsheetml/2006/main" count="1587" uniqueCount="359">
  <si>
    <t xml:space="preserve"> </t>
  </si>
  <si>
    <t>Capital Costs</t>
  </si>
  <si>
    <t>DIRECT COSTS</t>
  </si>
  <si>
    <t>=</t>
  </si>
  <si>
    <t>Total Direct Costs (TDC)</t>
  </si>
  <si>
    <t>INDIRECT COSTS</t>
  </si>
  <si>
    <t>-</t>
  </si>
  <si>
    <t>Total Indirect Costs (TIC)</t>
  </si>
  <si>
    <t>MANAGEMENT AND CONTINGENCY COSTS</t>
  </si>
  <si>
    <t>Total Management and Contingency Costs (TM&amp;CC)</t>
  </si>
  <si>
    <t>TOTAL CAPITAL INVESTMENT (TCI)</t>
  </si>
  <si>
    <t>Annualized Costs</t>
  </si>
  <si>
    <t>DIRECT ANNUAL COSTS</t>
  </si>
  <si>
    <t>Total Direct Annual Costs (TDAC)</t>
  </si>
  <si>
    <t>INDIRECT ANNUAL COSTS</t>
  </si>
  <si>
    <t>Total Indirect Annual Costs (TIAC)</t>
  </si>
  <si>
    <t>Cost Effectiveness Summary</t>
  </si>
  <si>
    <t>NA</t>
  </si>
  <si>
    <t>Emission Unit</t>
  </si>
  <si>
    <t>Fuel</t>
  </si>
  <si>
    <t>ID</t>
  </si>
  <si>
    <t>Solar Taurus Turbine</t>
  </si>
  <si>
    <t>Fuel Gas</t>
  </si>
  <si>
    <t>Available Control</t>
  </si>
  <si>
    <t>Description</t>
  </si>
  <si>
    <t>Options</t>
  </si>
  <si>
    <t>SCR</t>
  </si>
  <si>
    <t>Distillate-fired Engines</t>
  </si>
  <si>
    <t>Technically Feasible</t>
  </si>
  <si>
    <t>Control Options</t>
  </si>
  <si>
    <t>Control</t>
  </si>
  <si>
    <t>Emissions</t>
  </si>
  <si>
    <t>Technology</t>
  </si>
  <si>
    <t>Efficiency (pct.)</t>
  </si>
  <si>
    <t>(tpy)</t>
  </si>
  <si>
    <t>Reduction (tpy)</t>
  </si>
  <si>
    <t>Waste Incinerator</t>
  </si>
  <si>
    <t>ULSD</t>
  </si>
  <si>
    <t>113 and 114</t>
  </si>
  <si>
    <t>Flares</t>
  </si>
  <si>
    <t>Good Combustion Practices</t>
  </si>
  <si>
    <t>101 and 102</t>
  </si>
  <si>
    <t>Dual Fuel-fired</t>
  </si>
  <si>
    <t>103 and 104</t>
  </si>
  <si>
    <t xml:space="preserve"> Summary for Each Emission Unit Type</t>
  </si>
  <si>
    <t>Control Technology Option</t>
  </si>
  <si>
    <t>~</t>
  </si>
  <si>
    <t>Notes:</t>
  </si>
  <si>
    <t>Emission Rate for Each Emission Unit Type</t>
  </si>
  <si>
    <t>Emission Rate</t>
  </si>
  <si>
    <t>1.0 g/hp-hr</t>
  </si>
  <si>
    <r>
      <t>1</t>
    </r>
    <r>
      <rPr>
        <sz val="10"/>
        <rFont val="Helvetica"/>
        <family val="2"/>
      </rPr>
      <t xml:space="preserve"> Emissions are on a per unit basis.</t>
    </r>
  </si>
  <si>
    <r>
      <t xml:space="preserve">25 ppm at </t>
    </r>
    <r>
      <rPr>
        <sz val="10"/>
        <color rgb="FFFF0000"/>
        <rFont val="Arial"/>
        <family val="2"/>
      </rPr>
      <t>≥</t>
    </r>
    <r>
      <rPr>
        <sz val="10"/>
        <color rgb="FFFF0000"/>
        <rFont val="Helvetica"/>
        <family val="2"/>
      </rPr>
      <t>10 degrees F (in SoLoNO</t>
    </r>
    <r>
      <rPr>
        <vertAlign val="subscript"/>
        <sz val="10"/>
        <color rgb="FFFF0000"/>
        <rFont val="Helvetica"/>
        <family val="2"/>
      </rPr>
      <t>X</t>
    </r>
    <r>
      <rPr>
        <sz val="10"/>
        <color rgb="FFFF0000"/>
        <rFont val="Helvetica"/>
        <family val="2"/>
      </rPr>
      <t xml:space="preserve"> mode)</t>
    </r>
  </si>
  <si>
    <r>
      <t>4.0 g/KW-hr (NO</t>
    </r>
    <r>
      <rPr>
        <vertAlign val="subscript"/>
        <sz val="10"/>
        <color rgb="FFFF0000"/>
        <rFont val="Helvetica"/>
        <family val="2"/>
      </rPr>
      <t>X</t>
    </r>
    <r>
      <rPr>
        <sz val="10"/>
        <color rgb="FFFF0000"/>
        <rFont val="Helvetica"/>
        <family val="2"/>
      </rPr>
      <t xml:space="preserve"> and HC, combined)</t>
    </r>
  </si>
  <si>
    <t>106 through 109, 115, and 116</t>
  </si>
  <si>
    <r>
      <t xml:space="preserve">100 ppm at </t>
    </r>
    <r>
      <rPr>
        <sz val="10"/>
        <color rgb="FFFF0000"/>
        <rFont val="Arial"/>
        <family val="2"/>
      </rPr>
      <t>≥</t>
    </r>
    <r>
      <rPr>
        <sz val="10"/>
        <color rgb="FFFF0000"/>
        <rFont val="Helvetica"/>
        <family val="2"/>
      </rPr>
      <t>10 degrees F (in SoLoNO</t>
    </r>
    <r>
      <rPr>
        <vertAlign val="subscript"/>
        <sz val="10"/>
        <color rgb="FFFF0000"/>
        <rFont val="Helvetica"/>
        <family val="2"/>
      </rPr>
      <t>X</t>
    </r>
    <r>
      <rPr>
        <sz val="10"/>
        <color rgb="FFFF0000"/>
        <rFont val="Helvetica"/>
        <family val="2"/>
      </rPr>
      <t xml:space="preserve"> mode)</t>
    </r>
  </si>
  <si>
    <t>Catalytic Oxidation</t>
  </si>
  <si>
    <t>None</t>
  </si>
  <si>
    <r>
      <t>CO</t>
    </r>
    <r>
      <rPr>
        <b/>
        <sz val="10"/>
        <color indexed="8"/>
        <rFont val="Helvetica"/>
        <family val="2"/>
      </rPr>
      <t xml:space="preserve"> BACT</t>
    </r>
  </si>
  <si>
    <t>110 through 112</t>
  </si>
  <si>
    <t>Fine Water Mist Supply and Firewater Pumps</t>
  </si>
  <si>
    <t>Table 5-22.  Point Thomson Project - Proposed VOC BACT and Associated</t>
  </si>
  <si>
    <t>0.00247 lb/hp-hr</t>
  </si>
  <si>
    <t>0.19 g/KW-hr</t>
  </si>
  <si>
    <r>
      <t>2</t>
    </r>
    <r>
      <rPr>
        <sz val="10"/>
        <rFont val="Helvetica"/>
        <family val="2"/>
      </rPr>
      <t xml:space="preserve">  ULSD fired engines have NSPS Subpart IIII VOC emission limits.</t>
    </r>
  </si>
  <si>
    <t>Large Coal-fired Boiler</t>
  </si>
  <si>
    <t>SNCR</t>
  </si>
  <si>
    <t>CFB with Staged Combustion</t>
  </si>
  <si>
    <t>LNB</t>
  </si>
  <si>
    <t>Small Diesel-fired Boilers</t>
  </si>
  <si>
    <t>Mid-sized Diesel-fired Boilers</t>
  </si>
  <si>
    <t>Large Diesel-fired Engine</t>
  </si>
  <si>
    <t>Limited Operation</t>
  </si>
  <si>
    <t>Federal Standard</t>
  </si>
  <si>
    <t>Small Diesel-fired Engines</t>
  </si>
  <si>
    <t>9A</t>
  </si>
  <si>
    <t>Small Diesel-fired Engine</t>
  </si>
  <si>
    <t>Large Coal and Biomass-fired Boiler</t>
  </si>
  <si>
    <t>Mid-Sized Diesel-fired Boiler</t>
  </si>
  <si>
    <t>Mid-Sized Diesel and Natural Gas-fired Boiler</t>
  </si>
  <si>
    <t>CFB with staged combustion</t>
  </si>
  <si>
    <t>SCR + (CFB with staged combustion)</t>
  </si>
  <si>
    <t>SNCR + (CFB with staged combustion)</t>
  </si>
  <si>
    <t>Coal and Biomass</t>
  </si>
  <si>
    <t>Diesel</t>
  </si>
  <si>
    <t>Mid-sized Boiler</t>
  </si>
  <si>
    <t>Large Boiler</t>
  </si>
  <si>
    <t>Small Boilers</t>
  </si>
  <si>
    <t>Large Engine</t>
  </si>
  <si>
    <t>Small Engine</t>
  </si>
  <si>
    <t>Waste</t>
  </si>
  <si>
    <t>3.56 lb/ton</t>
  </si>
  <si>
    <t>0.2 lb/MMBtu</t>
  </si>
  <si>
    <t>Natural Gas</t>
  </si>
  <si>
    <t>140 lb/MMscf</t>
  </si>
  <si>
    <t>1.24 g/MMBtu</t>
  </si>
  <si>
    <t>3.20 g/hp-hr</t>
  </si>
  <si>
    <t>N/A</t>
  </si>
  <si>
    <t>LNB + Limited Operation</t>
  </si>
  <si>
    <t>Small Diesel-fired Engine (EU ID 27)</t>
  </si>
  <si>
    <t xml:space="preserve">TCI  =  (TDC)+(TIC)+(TM&amp;CC)  = </t>
  </si>
  <si>
    <t xml:space="preserve">TM &amp; CC   =   </t>
  </si>
  <si>
    <t>Excluded in this estimate.</t>
  </si>
  <si>
    <t>% TDC</t>
  </si>
  <si>
    <t>Contingency</t>
  </si>
  <si>
    <t>(6)</t>
  </si>
  <si>
    <t>Unit Operator Costs</t>
  </si>
  <si>
    <t>(5)</t>
  </si>
  <si>
    <t>TIC   =</t>
  </si>
  <si>
    <t>EA</t>
  </si>
  <si>
    <t>Performance tests</t>
  </si>
  <si>
    <t>(4)</t>
  </si>
  <si>
    <t>Engineering, Procurement &amp; Construction Support Services</t>
  </si>
  <si>
    <t>(3)</t>
  </si>
  <si>
    <t>TDC = (PEMC) + (DIC)  =</t>
  </si>
  <si>
    <t xml:space="preserve"> DIC   =</t>
  </si>
  <si>
    <t>Direct Installation Costs (DIC) - estimated at 10% Purchased Equipment Cost</t>
  </si>
  <si>
    <t>% of equipment  total cost</t>
  </si>
  <si>
    <t>Contractor Commissioning, enter %:</t>
  </si>
  <si>
    <t>% onsite fab labor</t>
  </si>
  <si>
    <t>% offsite fab labor</t>
  </si>
  <si>
    <t>Functional Checkout  - fab site, enter %:</t>
  </si>
  <si>
    <t>Functional Checkouts</t>
  </si>
  <si>
    <t>(h)</t>
  </si>
  <si>
    <t>LF</t>
  </si>
  <si>
    <t>Abovegrade piping</t>
  </si>
  <si>
    <t>(g)</t>
  </si>
  <si>
    <t>LOT</t>
  </si>
  <si>
    <t>Insulation</t>
  </si>
  <si>
    <t>(f)</t>
  </si>
  <si>
    <t>SF</t>
  </si>
  <si>
    <t>Painting</t>
  </si>
  <si>
    <t>(e )</t>
  </si>
  <si>
    <t>Electrical</t>
  </si>
  <si>
    <t>(d)</t>
  </si>
  <si>
    <t>TON</t>
  </si>
  <si>
    <t>Structural steel</t>
  </si>
  <si>
    <t>(c)</t>
  </si>
  <si>
    <t>Piling</t>
  </si>
  <si>
    <t>(b)</t>
  </si>
  <si>
    <t>CY</t>
  </si>
  <si>
    <t>Concrete</t>
  </si>
  <si>
    <t>(a)</t>
  </si>
  <si>
    <t>Direct Installation Costs</t>
  </si>
  <si>
    <t>(2)</t>
  </si>
  <si>
    <t xml:space="preserve"> PEMC   =</t>
  </si>
  <si>
    <t>Purchased Equipment and Material Cost (PEMC)</t>
  </si>
  <si>
    <t>TOTAL =</t>
  </si>
  <si>
    <t>Days</t>
  </si>
  <si>
    <t>Onsite Vendor Representatives fees (enter no. of days and daily rate)</t>
  </si>
  <si>
    <t>Fab Site Vendor Representatives fees (enter no. of days and daily rate)</t>
  </si>
  <si>
    <t>Vendor representatives fees</t>
  </si>
  <si>
    <t>%</t>
  </si>
  <si>
    <t>Startup Spare Parts for SCR</t>
  </si>
  <si>
    <t>Startup Spares</t>
  </si>
  <si>
    <t>MH</t>
  </si>
  <si>
    <t>Labor - onsite</t>
  </si>
  <si>
    <t>Not included</t>
  </si>
  <si>
    <t>Labor - offsite fab</t>
  </si>
  <si>
    <t>Labor</t>
  </si>
  <si>
    <t>(per NC Power Systems)</t>
  </si>
  <si>
    <t>SCR Freight</t>
  </si>
  <si>
    <t>Freight</t>
  </si>
  <si>
    <t>Total Instrumentation</t>
  </si>
  <si>
    <t>Instrumentation</t>
  </si>
  <si>
    <t>Total SCR System</t>
  </si>
  <si>
    <t>Basic equipment</t>
  </si>
  <si>
    <t>Purchased equipment and material costs</t>
  </si>
  <si>
    <t>(1)</t>
  </si>
  <si>
    <t xml:space="preserve"> TOTAL LABOR COST</t>
  </si>
  <si>
    <t xml:space="preserve"> TOTAL MATERIALS COST</t>
  </si>
  <si>
    <t>UNIT COST</t>
  </si>
  <si>
    <t>UNIT</t>
  </si>
  <si>
    <t>QTY</t>
  </si>
  <si>
    <t>D</t>
  </si>
  <si>
    <t>Rev:</t>
  </si>
  <si>
    <t>J. Rubino</t>
  </si>
  <si>
    <t>Checked By:</t>
  </si>
  <si>
    <t>L. Pacini</t>
  </si>
  <si>
    <t>Prepared By:</t>
  </si>
  <si>
    <t xml:space="preserve">Project: </t>
  </si>
  <si>
    <t>Date:</t>
  </si>
  <si>
    <t>Total Capital Investment Determination - SCR</t>
  </si>
  <si>
    <t>Shaded cells indicate user inputs.</t>
  </si>
  <si>
    <t>Asset Utilization</t>
  </si>
  <si>
    <t>years</t>
  </si>
  <si>
    <t xml:space="preserve">Catalyst Life </t>
  </si>
  <si>
    <t xml:space="preserve">Project Life (EPA OAQPS Control Cost Manual) </t>
  </si>
  <si>
    <t xml:space="preserve">Annual Interest Rate (EPA OAQPS Control Cost Manual)  </t>
  </si>
  <si>
    <t>Data Inputs for Capital Recovery Factor and Sinking Fund Factor:</t>
  </si>
  <si>
    <t xml:space="preserve">(TAC)/(TPY)   = </t>
  </si>
  <si>
    <t>COST EFFECTIVENESS ($ PER TON AVOIDED)</t>
  </si>
  <si>
    <t>TOTAL TONS NOx AVOIDED PER YEAR</t>
  </si>
  <si>
    <t>TAC = (TDAC) + (TIAC)  =</t>
  </si>
  <si>
    <t>TOTAL ANNUALIZED COSTS (TAC)</t>
  </si>
  <si>
    <t xml:space="preserve"> TIAC   =</t>
  </si>
  <si>
    <t xml:space="preserve">CRF * TCI  = </t>
  </si>
  <si>
    <t>Capital Recovery</t>
  </si>
  <si>
    <t>(11)</t>
  </si>
  <si>
    <t>Capital Recovery Factor [see inputs below]</t>
  </si>
  <si>
    <t>excluded in this estimate</t>
  </si>
  <si>
    <t>Insurance</t>
  </si>
  <si>
    <t>(10)</t>
  </si>
  <si>
    <t>Property tax</t>
  </si>
  <si>
    <t>(9)</t>
  </si>
  <si>
    <t>Administrative Charges</t>
  </si>
  <si>
    <t>(8)</t>
  </si>
  <si>
    <t>Overhead</t>
  </si>
  <si>
    <t>(7)</t>
  </si>
  <si>
    <t xml:space="preserve"> TDAC   =</t>
  </si>
  <si>
    <t>Sinking Fund Factor  [see inputs below]:</t>
  </si>
  <si>
    <t>Transport cost for spent SCR catalyst</t>
  </si>
  <si>
    <t>Transport cost direct to site (Urea, SCR catalyst)</t>
  </si>
  <si>
    <t>Replacement labor for SCR Catalyst</t>
  </si>
  <si>
    <t>(per Miratech)</t>
  </si>
  <si>
    <t xml:space="preserve">% total equip </t>
  </si>
  <si>
    <t>Replacement of SCR Catalyst: % of total equipment cost</t>
  </si>
  <si>
    <t>Catalyst Replacement Costs (every 5 years)</t>
  </si>
  <si>
    <t>kW</t>
  </si>
  <si>
    <t>Energy:</t>
  </si>
  <si>
    <t>Urea/DEF:</t>
  </si>
  <si>
    <t>Utilities</t>
  </si>
  <si>
    <t>Maintenance Materials</t>
  </si>
  <si>
    <t>Maintenance Labor</t>
  </si>
  <si>
    <t>Supervisory Labor</t>
  </si>
  <si>
    <t>Operating Labor</t>
  </si>
  <si>
    <t>TOTAL</t>
  </si>
  <si>
    <t>L Pacini</t>
  </si>
  <si>
    <t xml:space="preserve">Project:  </t>
  </si>
  <si>
    <t>Cost Effectiveness Determination - SCR</t>
  </si>
  <si>
    <t>Shaded cells indicate user inputs</t>
  </si>
  <si>
    <t>C. Stevenson</t>
  </si>
  <si>
    <t>Included above</t>
  </si>
  <si>
    <t>Labor - shop fab</t>
  </si>
  <si>
    <t>Direct Installation Costs (DIC) - 2 x SCR Equipment Capital</t>
  </si>
  <si>
    <t>kWh</t>
  </si>
  <si>
    <t>Transport cost direct to site (SCR catalyst)</t>
  </si>
  <si>
    <t>Annual O&amp;M Cost ($/year)</t>
  </si>
  <si>
    <t>Annualized Capital Cost ($/year)</t>
  </si>
  <si>
    <t>Total Installed Capital ($)</t>
  </si>
  <si>
    <t>(per Fuel Tech)</t>
  </si>
  <si>
    <t>All above costs included in vendor scope.</t>
  </si>
  <si>
    <t>Included in PEMC above.</t>
  </si>
  <si>
    <t>Urea Solution:</t>
  </si>
  <si>
    <t>(50% Urea solution and 2.2 moles needed per ton of NOX removed.)</t>
  </si>
  <si>
    <t>Catalyst Replacement Costs (every 2 years)</t>
  </si>
  <si>
    <t>(per FuelTech)</t>
  </si>
  <si>
    <t>(per MiraTech)</t>
  </si>
  <si>
    <t>% replacement</t>
  </si>
  <si>
    <t>% total capital</t>
  </si>
  <si>
    <t>Catalyst Life (from vendor)</t>
  </si>
  <si>
    <t>the Small Diesel-Fired Engine (EU ID 27)</t>
  </si>
  <si>
    <t>Large Coal-fired Boiler (Emission Unit 113)</t>
  </si>
  <si>
    <t>Table 3-9.  UAF - Annualized Costs for SCR on</t>
  </si>
  <si>
    <t>Table 3-8.  UAF - Capital Costs for SCR on</t>
  </si>
  <si>
    <t>Total Capital Investment Determination - SNCR</t>
  </si>
  <si>
    <t>A</t>
  </si>
  <si>
    <t>Total DSI System</t>
  </si>
  <si>
    <t>SNCR Freight</t>
  </si>
  <si>
    <t>% MATL COST</t>
  </si>
  <si>
    <t>(e)</t>
  </si>
  <si>
    <t>Direct Installation Costs (DIC) - 1 x SNCR Equipment Capital</t>
  </si>
  <si>
    <t>Excluded</t>
  </si>
  <si>
    <t>Aqueous Ammonia:</t>
  </si>
  <si>
    <t>Electricity:</t>
  </si>
  <si>
    <t>KWH</t>
  </si>
  <si>
    <t>Data Inputs for Capital Recovery Factor:</t>
  </si>
  <si>
    <t>Table 3-6.  UAF - Capital Costs for SNCR on</t>
  </si>
  <si>
    <t>Table 3-7.  UAF - Annualized Costs for SNCR on</t>
  </si>
  <si>
    <t>(per Babcock &amp; Wilcox)</t>
  </si>
  <si>
    <t>C</t>
  </si>
  <si>
    <t xml:space="preserve">NOx CEMs System </t>
  </si>
  <si>
    <t>NOx CEMS Certification Testing</t>
  </si>
  <si>
    <t>Annual RATA Testing</t>
  </si>
  <si>
    <t>All above costs included in vendor scope except SCR spares and SCR vendor rep. fees</t>
  </si>
  <si>
    <t>Table 3-4.  UAF - Capital Costs for SCR on</t>
  </si>
  <si>
    <t>Table 3-5.  UAF - Annualized Costs for SCR on</t>
  </si>
  <si>
    <t>Mid-sized Boiler (EU ID 3)</t>
  </si>
  <si>
    <t>Mid-sized Boiler (EU ID 4)</t>
  </si>
  <si>
    <t>the Large CFB Coal-fired Boiler (EU ID 113)</t>
  </si>
  <si>
    <t>the Large CFB  Coal-fired Boiler (EU ID 113)</t>
  </si>
  <si>
    <t>the Mid-sized Diesel Boiler (EU ID 3)</t>
  </si>
  <si>
    <t>LNB/FGR</t>
  </si>
  <si>
    <t>Table 3-14.  UAF - Capital Costs for SCR on</t>
  </si>
  <si>
    <t>Table 3-15.  UAF - Annualized Costs for SCR on</t>
  </si>
  <si>
    <r>
      <t>Cost Effectiveness Determination - Low NO</t>
    </r>
    <r>
      <rPr>
        <b/>
        <vertAlign val="subscript"/>
        <sz val="14"/>
        <color theme="1"/>
        <rFont val="Calibri"/>
        <family val="2"/>
        <scheme val="minor"/>
      </rPr>
      <t>X</t>
    </r>
    <r>
      <rPr>
        <b/>
        <sz val="14"/>
        <color theme="1"/>
        <rFont val="Calibri"/>
        <family val="2"/>
        <scheme val="minor"/>
      </rPr>
      <t xml:space="preserve"> Burners &amp; FGR</t>
    </r>
  </si>
  <si>
    <t>TOTAL TONS AVOIDED PER YEAR</t>
  </si>
  <si>
    <t xml:space="preserve">Annual Interest Rate (EPA OAQPS Control Cost Manual) </t>
  </si>
  <si>
    <t xml:space="preserve">Asset Utilization </t>
  </si>
  <si>
    <r>
      <t>Total Capital Investment Determination - Low NO</t>
    </r>
    <r>
      <rPr>
        <b/>
        <vertAlign val="subscript"/>
        <sz val="14"/>
        <color theme="1"/>
        <rFont val="Calibri"/>
        <family val="2"/>
        <scheme val="minor"/>
      </rPr>
      <t>X</t>
    </r>
    <r>
      <rPr>
        <b/>
        <sz val="14"/>
        <color theme="1"/>
        <rFont val="Calibri"/>
        <family val="2"/>
        <scheme val="minor"/>
      </rPr>
      <t xml:space="preserve"> Burners &amp; FGR</t>
    </r>
  </si>
  <si>
    <t>Low NOx Burner</t>
  </si>
  <si>
    <t>FGR FD Fans</t>
  </si>
  <si>
    <t>Included in above price</t>
  </si>
  <si>
    <t>None required</t>
  </si>
  <si>
    <t>Direct Installation Costs (DIC)</t>
  </si>
  <si>
    <t>Excluded in this estimate</t>
  </si>
  <si>
    <t>Table 3-10.  UAF - Capital Costs for LNB/FGR on</t>
  </si>
  <si>
    <t>Table 3-12.  UAF - Capital Costs for LNB/FGR on</t>
  </si>
  <si>
    <t>the Mid-sized Diesel Boiler (EU ID 4)</t>
  </si>
  <si>
    <t>Table 3-11.  UAF - Annualized Costs for LNB/FGR on</t>
  </si>
  <si>
    <t>Table 3-13.  UAF - Annualized Costs for LNB/FGR on</t>
  </si>
  <si>
    <t>3 and 4</t>
  </si>
  <si>
    <t>19 through 21</t>
  </si>
  <si>
    <t xml:space="preserve"> Turbocharger + Aftercooler + Federal Limit + Limited Operation</t>
  </si>
  <si>
    <t>SCR + (Turbocharger + Aftercooler + Federal Limit + Limited Operation)</t>
  </si>
  <si>
    <r>
      <t>UAF -  PM</t>
    </r>
    <r>
      <rPr>
        <vertAlign val="subscript"/>
        <sz val="11"/>
        <color theme="1"/>
        <rFont val="Calibri"/>
        <family val="2"/>
        <scheme val="minor"/>
      </rPr>
      <t>2.5</t>
    </r>
    <r>
      <rPr>
        <sz val="11"/>
        <color theme="1"/>
        <rFont val="Calibri"/>
        <family val="2"/>
        <scheme val="minor"/>
      </rPr>
      <t xml:space="preserve"> BACT Analysis (EU ID 113 - CFB Boiler)</t>
    </r>
  </si>
  <si>
    <r>
      <t>UAF -  PM</t>
    </r>
    <r>
      <rPr>
        <vertAlign val="subscript"/>
        <sz val="11"/>
        <color theme="1"/>
        <rFont val="Calibri"/>
        <family val="2"/>
        <scheme val="minor"/>
      </rPr>
      <t>2.5</t>
    </r>
    <r>
      <rPr>
        <sz val="11"/>
        <color theme="1"/>
        <rFont val="Calibri"/>
        <family val="2"/>
        <scheme val="minor"/>
      </rPr>
      <t xml:space="preserve"> BACT Analysis (EU ID 113 - CFB Boiler)</t>
    </r>
  </si>
  <si>
    <r>
      <t>UAF -  PM</t>
    </r>
    <r>
      <rPr>
        <vertAlign val="subscript"/>
        <sz val="11"/>
        <color theme="1"/>
        <rFont val="Calibri"/>
        <family val="2"/>
        <scheme val="minor"/>
      </rPr>
      <t>2.5</t>
    </r>
    <r>
      <rPr>
        <sz val="11"/>
        <color theme="1"/>
        <rFont val="Calibri"/>
        <family val="2"/>
        <scheme val="minor"/>
      </rPr>
      <t xml:space="preserve"> BACT Analysis (EU ID 3 - Zurn Boiler)</t>
    </r>
  </si>
  <si>
    <r>
      <t>UAF PM</t>
    </r>
    <r>
      <rPr>
        <vertAlign val="subscript"/>
        <sz val="10"/>
        <color theme="1"/>
        <rFont val="Helvetica"/>
      </rPr>
      <t>2.5</t>
    </r>
    <r>
      <rPr>
        <sz val="10"/>
        <color theme="1"/>
        <rFont val="Helvetica"/>
      </rPr>
      <t xml:space="preserve"> BACT Analysis - ACEP Engine (EU ID 27)</t>
    </r>
  </si>
  <si>
    <r>
      <t>UAF PM</t>
    </r>
    <r>
      <rPr>
        <vertAlign val="subscript"/>
        <sz val="11"/>
        <color theme="1"/>
        <rFont val="Calibri"/>
        <family val="2"/>
        <scheme val="minor"/>
      </rPr>
      <t>2.5</t>
    </r>
    <r>
      <rPr>
        <sz val="10"/>
        <rFont val="Arial"/>
        <family val="2"/>
      </rPr>
      <t xml:space="preserve"> BACT Analysis - Zurn Boiler (EU ID 4)</t>
    </r>
  </si>
  <si>
    <t>Turbocharger and Aftercooler + Federal Standard + Limited Operation</t>
  </si>
  <si>
    <t>Turbocharger and Aftercooler</t>
  </si>
  <si>
    <t>Turbocharger and Aftercooler + Federal Limit + Limited Operation</t>
  </si>
  <si>
    <r>
      <t>UAF PM</t>
    </r>
    <r>
      <rPr>
        <vertAlign val="subscript"/>
        <sz val="11"/>
        <color theme="1"/>
        <rFont val="Calibri"/>
        <family val="2"/>
        <scheme val="minor"/>
      </rPr>
      <t>2.5</t>
    </r>
    <r>
      <rPr>
        <sz val="10"/>
        <rFont val="Arial"/>
        <family val="2"/>
      </rPr>
      <t xml:space="preserve"> BACT Analysis - Zurn Boiler #3 (EU ID 3)</t>
    </r>
  </si>
  <si>
    <t>(from Indeck)</t>
  </si>
  <si>
    <t xml:space="preserve">Fab Site Vendor Representatives fees </t>
  </si>
  <si>
    <t>Onsite Vendor Representatives fees</t>
  </si>
  <si>
    <t>Onsite Vendor Representatives Travel &amp; Expenses</t>
  </si>
  <si>
    <r>
      <t>Performance tests for NO</t>
    </r>
    <r>
      <rPr>
        <vertAlign val="subscript"/>
        <sz val="12"/>
        <color theme="1"/>
        <rFont val="Calibri"/>
        <family val="2"/>
        <scheme val="minor"/>
      </rPr>
      <t>X</t>
    </r>
    <r>
      <rPr>
        <sz val="12"/>
        <color theme="1"/>
        <rFont val="Calibri"/>
        <family val="2"/>
        <scheme val="minor"/>
      </rPr>
      <t xml:space="preserve"> emissions</t>
    </r>
  </si>
  <si>
    <t>Operating Labor - Not required</t>
  </si>
  <si>
    <t>Supervisory Labor - Not required</t>
  </si>
  <si>
    <t>Maintenance Labor - Not required</t>
  </si>
  <si>
    <t>Maintenance Materials - Not required</t>
  </si>
  <si>
    <t>SCR + (Turbocharger and Aftercooler + Federal Limit + Limited Operation)</t>
  </si>
  <si>
    <r>
      <t>Table 3-3. UAF - Ranking of Technically Feasible NO</t>
    </r>
    <r>
      <rPr>
        <b/>
        <vertAlign val="subscript"/>
        <sz val="11"/>
        <rFont val="Arial"/>
        <family val="2"/>
      </rPr>
      <t>X</t>
    </r>
    <r>
      <rPr>
        <b/>
        <sz val="11"/>
        <rFont val="Arial"/>
        <family val="2"/>
      </rPr>
      <t xml:space="preserve"> Control Options</t>
    </r>
  </si>
  <si>
    <r>
      <t>NO</t>
    </r>
    <r>
      <rPr>
        <b/>
        <vertAlign val="subscript"/>
        <sz val="11"/>
        <rFont val="Arial"/>
        <family val="2"/>
      </rPr>
      <t>X</t>
    </r>
    <r>
      <rPr>
        <b/>
        <sz val="11"/>
        <rFont val="Arial"/>
        <family val="2"/>
      </rPr>
      <t xml:space="preserve"> Emissions</t>
    </r>
  </si>
  <si>
    <r>
      <t>Limited Operation</t>
    </r>
    <r>
      <rPr>
        <vertAlign val="superscript"/>
        <sz val="11"/>
        <rFont val="Arial"/>
        <family val="2"/>
      </rPr>
      <t>1</t>
    </r>
  </si>
  <si>
    <r>
      <t>Limited Operation</t>
    </r>
    <r>
      <rPr>
        <vertAlign val="superscript"/>
        <sz val="11"/>
        <rFont val="Arial"/>
        <family val="2"/>
      </rPr>
      <t>2</t>
    </r>
  </si>
  <si>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>EU 4 NOx emissions are limited to 13.9 tpy by the 10 percent capacity factor in Condition 17 of Permit AQ0316TVP02 and are less than the 40 tpy shared NO</t>
    </r>
    <r>
      <rPr>
        <vertAlign val="subscript"/>
        <sz val="11"/>
        <rFont val="Arial"/>
        <family val="2"/>
      </rPr>
      <t>X</t>
    </r>
    <r>
      <rPr>
        <sz val="11"/>
        <rFont val="Arial"/>
        <family val="2"/>
      </rPr>
      <t xml:space="preserve"> limit with EU 8 from Condition 16 of that permit.</t>
    </r>
  </si>
  <si>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>Vendor emission estimates for retrofitting LNB on the boilers was for a higher NO</t>
    </r>
    <r>
      <rPr>
        <vertAlign val="subscript"/>
        <sz val="11"/>
        <rFont val="Arial"/>
        <family val="2"/>
      </rPr>
      <t>X</t>
    </r>
    <r>
      <rPr>
        <sz val="11"/>
        <rFont val="Arial"/>
        <family val="2"/>
      </rPr>
      <t xml:space="preserve"> emission rate than the AP-42 emission rate used to estimate the emissions of the boilers with limited operation.</t>
    </r>
  </si>
  <si>
    <r>
      <t>Cost Effectiveness ($/ton NO</t>
    </r>
    <r>
      <rPr>
        <b/>
        <vertAlign val="subscript"/>
        <sz val="11"/>
        <color indexed="8"/>
        <rFont val="Arial"/>
        <family val="2"/>
      </rPr>
      <t>X</t>
    </r>
    <r>
      <rPr>
        <b/>
        <sz val="11"/>
        <color indexed="8"/>
        <rFont val="Arial"/>
        <family val="2"/>
      </rPr>
      <t xml:space="preserve"> removed)</t>
    </r>
  </si>
  <si>
    <r>
      <t>NO</t>
    </r>
    <r>
      <rPr>
        <b/>
        <vertAlign val="subscript"/>
        <sz val="11"/>
        <color indexed="8"/>
        <rFont val="Arial"/>
        <family val="2"/>
      </rPr>
      <t>X</t>
    </r>
    <r>
      <rPr>
        <b/>
        <sz val="11"/>
        <color indexed="8"/>
        <rFont val="Arial"/>
        <family val="2"/>
      </rPr>
      <t xml:space="preserve"> BACT</t>
    </r>
  </si>
  <si>
    <r>
      <t>Emission Rate</t>
    </r>
    <r>
      <rPr>
        <b/>
        <vertAlign val="superscript"/>
        <sz val="11"/>
        <rFont val="Arial"/>
        <family val="2"/>
      </rPr>
      <t>1</t>
    </r>
  </si>
  <si>
    <r>
      <t>1</t>
    </r>
    <r>
      <rPr>
        <sz val="11"/>
        <rFont val="Arial"/>
        <family val="2"/>
      </rPr>
      <t xml:space="preserve"> Emissions are on a per unit basis.</t>
    </r>
  </si>
  <si>
    <t>Administrative Charges and Insurance</t>
  </si>
  <si>
    <t>Medical/Pathological  Waste Incinerator</t>
  </si>
  <si>
    <r>
      <t>Table 3-1.  UAF - Available NO</t>
    </r>
    <r>
      <rPr>
        <b/>
        <vertAlign val="subscript"/>
        <sz val="11"/>
        <rFont val="Arial"/>
        <family val="2"/>
      </rPr>
      <t>X</t>
    </r>
    <r>
      <rPr>
        <b/>
        <sz val="11"/>
        <rFont val="Arial"/>
        <family val="2"/>
      </rPr>
      <t xml:space="preserve"> Control Options</t>
    </r>
  </si>
  <si>
    <r>
      <t>Table 3-2.  UAF - Technically Feasible NO</t>
    </r>
    <r>
      <rPr>
        <b/>
        <vertAlign val="subscript"/>
        <sz val="11"/>
        <rFont val="Arial"/>
        <family val="2"/>
      </rPr>
      <t>X</t>
    </r>
    <r>
      <rPr>
        <b/>
        <sz val="11"/>
        <rFont val="Arial"/>
        <family val="2"/>
      </rPr>
      <t xml:space="preserve"> Control Options</t>
    </r>
  </si>
  <si>
    <t>Functional Checkout - onsite, enter %</t>
  </si>
  <si>
    <t>Good Combustion Practices + Limited Operation</t>
  </si>
  <si>
    <t>Limited Operation + Good Combustion Practices</t>
  </si>
  <si>
    <r>
      <t>LNB/FGR</t>
    </r>
    <r>
      <rPr>
        <vertAlign val="superscript"/>
        <sz val="11"/>
        <rFont val="Arial"/>
        <family val="2"/>
      </rPr>
      <t>1</t>
    </r>
  </si>
  <si>
    <r>
      <t xml:space="preserve"> 1 </t>
    </r>
    <r>
      <rPr>
        <sz val="11"/>
        <rFont val="Arial"/>
        <family val="2"/>
      </rPr>
      <t>If the cost effectiveness of a LNB/FGR system were based on the actual operation of EU ID 3 during the last five years, the cost effectiveness of LNB/FGR would be approximately $35,500 per ton of NO</t>
    </r>
    <r>
      <rPr>
        <vertAlign val="subscript"/>
        <sz val="11"/>
        <rFont val="Arial"/>
        <family val="2"/>
      </rPr>
      <t>X</t>
    </r>
    <r>
      <rPr>
        <sz val="11"/>
        <rFont val="Arial"/>
        <family val="2"/>
      </rPr>
      <t xml:space="preserve"> removed. </t>
    </r>
  </si>
  <si>
    <t>UAF -  PM2.5 BACT Analysis (EU ID 8 - Peaking/Backup Generator Engine)</t>
  </si>
  <si>
    <t>Note: Although existing SCR to be used, capital costs needed for catalyst replacement costs.</t>
  </si>
  <si>
    <t xml:space="preserve">Direct Installation Costs (DIC) </t>
  </si>
  <si>
    <t>Aqueous Ammonia</t>
  </si>
  <si>
    <t>Administrative Charges, Property Taxes, Insurance</t>
  </si>
  <si>
    <t>Table 3-16.  UAF - Capital Costs for SCR on</t>
  </si>
  <si>
    <t>Table 3-17.  UAF - Annualized Costs for SCR on</t>
  </si>
  <si>
    <r>
      <t>Table 3-18.  UAF - NO</t>
    </r>
    <r>
      <rPr>
        <b/>
        <vertAlign val="subscript"/>
        <sz val="11"/>
        <color indexed="8"/>
        <rFont val="Arial"/>
        <family val="2"/>
      </rPr>
      <t>X</t>
    </r>
    <r>
      <rPr>
        <b/>
        <sz val="11"/>
        <color indexed="8"/>
        <rFont val="Arial"/>
        <family val="2"/>
      </rPr>
      <t xml:space="preserve"> BACT Cost Effectiveness</t>
    </r>
  </si>
  <si>
    <r>
      <t>Table 3-19.  UAF - Proposed NO</t>
    </r>
    <r>
      <rPr>
        <b/>
        <vertAlign val="subscript"/>
        <sz val="11"/>
        <rFont val="Arial"/>
        <family val="2"/>
      </rPr>
      <t>X</t>
    </r>
    <r>
      <rPr>
        <b/>
        <sz val="11"/>
        <rFont val="Arial"/>
        <family val="2"/>
      </rPr>
      <t xml:space="preserve"> BACT and Associated</t>
    </r>
  </si>
  <si>
    <t>the Large Diesel-Fired Engine (EU ID 8)</t>
  </si>
  <si>
    <t>Turbocharger and Aftercooler + Limited Operation</t>
  </si>
  <si>
    <t>SCR + (Turbocharger + Aftercooler + Limited Operation)</t>
  </si>
  <si>
    <t xml:space="preserve"> Turbocharger + Aftercooler + Limited Operation</t>
  </si>
  <si>
    <t>Large Diesel-fired Engine (EU ID 8)</t>
  </si>
  <si>
    <t>SCR + (Turbocharger and Aftercooler +  Limited Operation)</t>
  </si>
  <si>
    <t>0.0195 g/hp-hr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</si>
</sst>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"/>
    <numFmt numFmtId="166" formatCode="&quot;$&quot;#,##0.00"/>
    <numFmt numFmtId="167" formatCode="0.0%"/>
    <numFmt numFmtId="168" formatCode="0.0000"/>
    <numFmt numFmtId="169" formatCode="_([$$-409]* #,##0.00_);_([$$-409]* \(#,##0.00\);_([$$-409]* &quot;-&quot;??_);_(@_)"/>
    <numFmt numFmtId="170" formatCode="_(&quot;$&quot;* #,##0_);_(&quot;$&quot;* \(#,##0\);_(&quot;$&quot;* &quot;-&quot;??_);_(@_)"/>
  </numFmts>
  <fonts count="7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Helvetica"/>
      <family val="2"/>
    </font>
    <font>
      <b/>
      <sz val="10"/>
      <name val="Helvetica"/>
      <family val="2"/>
    </font>
    <font>
      <vertAlign val="superscript"/>
      <sz val="10"/>
      <name val="Helvetica"/>
      <family val="2"/>
    </font>
    <font>
      <sz val="10"/>
      <color rgb="FFFF0000"/>
      <name val="Helvetica"/>
      <family val="2"/>
    </font>
    <font>
      <sz val="10"/>
      <name val="Arial"/>
      <family val="2"/>
    </font>
    <font>
      <sz val="10"/>
      <color indexed="8"/>
      <name val="Helvetica"/>
      <family val="2"/>
    </font>
    <font>
      <sz val="10"/>
      <name val="Helv"/>
    </font>
    <font>
      <b/>
      <sz val="11"/>
      <color indexed="8"/>
      <name val="Helvetica"/>
      <family val="2"/>
    </font>
    <font>
      <b/>
      <sz val="12"/>
      <color indexed="8"/>
      <name val="Helvetica"/>
      <family val="2"/>
    </font>
    <font>
      <b/>
      <sz val="10"/>
      <name val="Helvetica"/>
      <family val="2"/>
    </font>
    <font>
      <b/>
      <sz val="10"/>
      <color indexed="8"/>
      <name val="Helvetica"/>
      <family val="2"/>
    </font>
    <font>
      <vertAlign val="superscript"/>
      <sz val="10"/>
      <name val="Helvetica"/>
      <family val="2"/>
    </font>
    <font>
      <sz val="10"/>
      <color rgb="FFFF0000"/>
      <name val="Arial"/>
      <family val="2"/>
    </font>
    <font>
      <vertAlign val="subscript"/>
      <sz val="10"/>
      <color rgb="FFFF0000"/>
      <name val="Helvetica"/>
      <family val="2"/>
    </font>
    <font>
      <sz val="10"/>
      <name val="Arial"/>
      <family val="2"/>
    </font>
    <font>
      <sz val="10"/>
      <name val="Helvetica"/>
    </font>
    <font>
      <sz val="10"/>
      <color theme="1"/>
      <name val="Helvetica"/>
    </font>
    <font>
      <b/>
      <sz val="10"/>
      <color rgb="FF0070C0"/>
      <name val="Helvetica"/>
    </font>
    <font>
      <sz val="10"/>
      <color rgb="FF0070C0"/>
      <name val="Helvetica"/>
    </font>
    <font>
      <b/>
      <sz val="10"/>
      <color theme="1"/>
      <name val="Helvetica"/>
    </font>
    <font>
      <b/>
      <i/>
      <sz val="10"/>
      <color rgb="FF0070C0"/>
      <name val="Helvetica"/>
    </font>
    <font>
      <b/>
      <sz val="10"/>
      <name val="Helvetica"/>
    </font>
    <font>
      <b/>
      <sz val="11"/>
      <name val="Helvetic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FF0000"/>
      <name val="Helvetica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2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4"/>
      <color rgb="FF0070C0"/>
      <name val="Calibri"/>
      <family val="2"/>
      <scheme val="minor"/>
    </font>
    <font>
      <sz val="12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vertAlign val="subscript"/>
      <sz val="14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bscript"/>
      <sz val="10"/>
      <color theme="1"/>
      <name val="Helvetica"/>
    </font>
    <font>
      <vertAlign val="subscript"/>
      <sz val="12"/>
      <color theme="1"/>
      <name val="Calibri"/>
      <family val="2"/>
      <scheme val="minor"/>
    </font>
    <font>
      <b/>
      <sz val="11"/>
      <name val="Arial"/>
      <family val="2"/>
    </font>
    <font>
      <b/>
      <vertAlign val="subscript"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vertAlign val="superscript"/>
      <sz val="11"/>
      <name val="Arial"/>
      <family val="2"/>
    </font>
    <font>
      <vertAlign val="subscript"/>
      <sz val="11"/>
      <name val="Arial"/>
      <family val="2"/>
    </font>
    <font>
      <b/>
      <sz val="11"/>
      <color indexed="8"/>
      <name val="Arial"/>
      <family val="2"/>
    </font>
    <font>
      <b/>
      <vertAlign val="subscript"/>
      <sz val="11"/>
      <color indexed="8"/>
      <name val="Arial"/>
      <family val="2"/>
    </font>
    <font>
      <b/>
      <vertAlign val="superscript"/>
      <sz val="11"/>
      <name val="Arial"/>
      <family val="2"/>
    </font>
    <font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gray0625"/>
    </fill>
    <fill>
      <patternFill patternType="gray0625"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ck">
        <color auto="1"/>
      </left>
      <right/>
      <top style="double">
        <color indexed="64"/>
      </top>
      <bottom/>
      <diagonal/>
    </border>
    <border>
      <left/>
      <right style="thick">
        <color auto="1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auto="1"/>
      </left>
      <right/>
      <top/>
      <bottom style="double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42">
    <xf numFmtId="0" fontId="0" fillId="0" borderId="0"/>
    <xf numFmtId="0" fontId="18" fillId="0" borderId="0"/>
    <xf numFmtId="15" fontId="20" fillId="2" borderId="0"/>
    <xf numFmtId="43" fontId="18" fillId="0" borderId="0" applyFont="0" applyFill="0" applyBorder="0" applyAlignment="0" applyProtection="0"/>
    <xf numFmtId="0" fontId="18" fillId="0" borderId="0"/>
    <xf numFmtId="0" fontId="13" fillId="0" borderId="0"/>
    <xf numFmtId="0" fontId="28" fillId="0" borderId="0"/>
    <xf numFmtId="43" fontId="2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>
      <alignment wrapText="1"/>
    </xf>
    <xf numFmtId="0" fontId="18" fillId="0" borderId="0"/>
    <xf numFmtId="0" fontId="18" fillId="0" borderId="0"/>
    <xf numFmtId="0" fontId="13" fillId="0" borderId="0"/>
    <xf numFmtId="0" fontId="18" fillId="0" borderId="0"/>
    <xf numFmtId="0" fontId="18" fillId="0" borderId="0"/>
    <xf numFmtId="0" fontId="13" fillId="0" borderId="0"/>
    <xf numFmtId="9" fontId="2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8" fillId="0" borderId="0"/>
    <xf numFmtId="0" fontId="12" fillId="0" borderId="0"/>
    <xf numFmtId="9" fontId="1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1461">
    <xf numFmtId="0" fontId="0" fillId="0" borderId="0" xfId="0"/>
    <xf numFmtId="0" fontId="14" fillId="0" borderId="0" xfId="1" applyFont="1"/>
    <xf numFmtId="0" fontId="14" fillId="0" borderId="0" xfId="1" applyFont="1" applyBorder="1"/>
    <xf numFmtId="0" fontId="14" fillId="0" borderId="4" xfId="1" applyFont="1" applyBorder="1"/>
    <xf numFmtId="0" fontId="23" fillId="3" borderId="9" xfId="1" applyFont="1" applyFill="1" applyBorder="1" applyAlignment="1">
      <alignment horizontal="center" vertical="top" wrapText="1"/>
    </xf>
    <xf numFmtId="0" fontId="15" fillId="4" borderId="54" xfId="1" applyFont="1" applyFill="1" applyBorder="1" applyAlignment="1">
      <alignment horizontal="center" vertical="center" wrapText="1"/>
    </xf>
    <xf numFmtId="0" fontId="15" fillId="4" borderId="17" xfId="1" applyFont="1" applyFill="1" applyBorder="1" applyAlignment="1">
      <alignment horizontal="center" vertical="top" wrapText="1"/>
    </xf>
    <xf numFmtId="0" fontId="14" fillId="0" borderId="0" xfId="1" applyFont="1" applyAlignment="1"/>
    <xf numFmtId="0" fontId="14" fillId="0" borderId="0" xfId="1" applyFont="1" applyAlignment="1">
      <alignment wrapText="1"/>
    </xf>
    <xf numFmtId="0" fontId="16" fillId="0" borderId="0" xfId="1" applyFont="1" applyAlignment="1"/>
    <xf numFmtId="0" fontId="25" fillId="0" borderId="0" xfId="1" applyFont="1" applyAlignment="1"/>
    <xf numFmtId="0" fontId="14" fillId="0" borderId="0" xfId="1" applyFont="1" applyAlignment="1">
      <alignment horizontal="left" indent="8"/>
    </xf>
    <xf numFmtId="0" fontId="22" fillId="0" borderId="4" xfId="1" applyFont="1" applyBorder="1"/>
    <xf numFmtId="0" fontId="15" fillId="3" borderId="32" xfId="1" applyFont="1" applyFill="1" applyBorder="1" applyAlignment="1">
      <alignment horizontal="centerContinuous" vertical="center"/>
    </xf>
    <xf numFmtId="0" fontId="15" fillId="3" borderId="33" xfId="1" applyFont="1" applyFill="1" applyBorder="1" applyAlignment="1">
      <alignment horizontal="centerContinuous" vertical="center"/>
    </xf>
    <xf numFmtId="0" fontId="24" fillId="3" borderId="11" xfId="1" applyFont="1" applyFill="1" applyBorder="1" applyAlignment="1">
      <alignment horizontal="centerContinuous" vertical="top" wrapText="1"/>
    </xf>
    <xf numFmtId="0" fontId="24" fillId="3" borderId="12" xfId="1" applyFont="1" applyFill="1" applyBorder="1" applyAlignment="1">
      <alignment horizontal="centerContinuous" vertical="top" wrapText="1"/>
    </xf>
    <xf numFmtId="0" fontId="15" fillId="3" borderId="34" xfId="1" applyFont="1" applyFill="1" applyBorder="1" applyAlignment="1">
      <alignment horizontal="center" vertical="center" wrapText="1"/>
    </xf>
    <xf numFmtId="0" fontId="15" fillId="3" borderId="35" xfId="1" applyFont="1" applyFill="1" applyBorder="1" applyAlignment="1">
      <alignment horizontal="center" vertical="center" wrapText="1"/>
    </xf>
    <xf numFmtId="0" fontId="24" fillId="3" borderId="35" xfId="1" applyFont="1" applyFill="1" applyBorder="1" applyAlignment="1">
      <alignment horizontal="center" vertical="top" wrapText="1"/>
    </xf>
    <xf numFmtId="0" fontId="23" fillId="3" borderId="35" xfId="1" applyFont="1" applyFill="1" applyBorder="1" applyAlignment="1">
      <alignment horizontal="center" vertical="top" wrapText="1"/>
    </xf>
    <xf numFmtId="0" fontId="15" fillId="3" borderId="28" xfId="1" applyFont="1" applyFill="1" applyBorder="1" applyAlignment="1">
      <alignment horizontal="center" vertical="top" wrapText="1"/>
    </xf>
    <xf numFmtId="0" fontId="15" fillId="4" borderId="15" xfId="1" applyFont="1" applyFill="1" applyBorder="1" applyAlignment="1">
      <alignment horizontal="center" vertical="center" wrapText="1"/>
    </xf>
    <xf numFmtId="0" fontId="24" fillId="4" borderId="16" xfId="1" applyFont="1" applyFill="1" applyBorder="1" applyAlignment="1">
      <alignment horizontal="center" vertical="top" wrapText="1"/>
    </xf>
    <xf numFmtId="0" fontId="23" fillId="4" borderId="37" xfId="1" applyFont="1" applyFill="1" applyBorder="1" applyAlignment="1">
      <alignment horizontal="center" vertical="top" wrapText="1"/>
    </xf>
    <xf numFmtId="0" fontId="14" fillId="0" borderId="0" xfId="1" applyFont="1" applyBorder="1" applyAlignment="1">
      <alignment horizontal="left" indent="8"/>
    </xf>
    <xf numFmtId="165" fontId="18" fillId="0" borderId="0" xfId="1" applyNumberFormat="1" applyFont="1" applyFill="1" applyBorder="1"/>
    <xf numFmtId="15" fontId="18" fillId="0" borderId="0" xfId="2" applyFont="1" applyFill="1" applyBorder="1"/>
    <xf numFmtId="0" fontId="19" fillId="0" borderId="39" xfId="1" applyFont="1" applyBorder="1" applyAlignment="1">
      <alignment horizontal="center" vertical="center" wrapText="1"/>
    </xf>
    <xf numFmtId="0" fontId="19" fillId="0" borderId="19" xfId="1" applyFont="1" applyBorder="1" applyAlignment="1">
      <alignment horizontal="center" vertical="center" wrapText="1"/>
    </xf>
    <xf numFmtId="0" fontId="19" fillId="0" borderId="25" xfId="1" applyFont="1" applyBorder="1" applyAlignment="1">
      <alignment horizontal="center" vertical="center" wrapText="1"/>
    </xf>
    <xf numFmtId="165" fontId="17" fillId="0" borderId="26" xfId="1" applyNumberFormat="1" applyFont="1" applyFill="1" applyBorder="1" applyAlignment="1">
      <alignment horizontal="center" vertical="center" wrapText="1"/>
    </xf>
    <xf numFmtId="0" fontId="19" fillId="0" borderId="24" xfId="1" applyFont="1" applyBorder="1" applyAlignment="1">
      <alignment horizontal="center" vertical="center" wrapText="1"/>
    </xf>
    <xf numFmtId="0" fontId="19" fillId="0" borderId="44" xfId="1" applyFont="1" applyBorder="1" applyAlignment="1">
      <alignment horizontal="center" vertical="center" wrapText="1"/>
    </xf>
    <xf numFmtId="0" fontId="19" fillId="0" borderId="4" xfId="1" applyFont="1" applyBorder="1" applyAlignment="1">
      <alignment horizontal="center" vertical="center" wrapText="1"/>
    </xf>
    <xf numFmtId="0" fontId="19" fillId="0" borderId="31" xfId="1" applyFont="1" applyBorder="1" applyAlignment="1">
      <alignment horizontal="center" vertical="center" wrapText="1"/>
    </xf>
    <xf numFmtId="0" fontId="19" fillId="0" borderId="30" xfId="1" applyFont="1" applyBorder="1" applyAlignment="1">
      <alignment horizontal="center" vertical="center" wrapText="1"/>
    </xf>
    <xf numFmtId="165" fontId="17" fillId="0" borderId="41" xfId="1" applyNumberFormat="1" applyFont="1" applyBorder="1" applyAlignment="1">
      <alignment horizontal="center" vertical="center" wrapText="1"/>
    </xf>
    <xf numFmtId="165" fontId="17" fillId="0" borderId="5" xfId="1" applyNumberFormat="1" applyFont="1" applyBorder="1" applyAlignment="1">
      <alignment horizontal="center" vertical="center" wrapText="1"/>
    </xf>
    <xf numFmtId="165" fontId="14" fillId="0" borderId="41" xfId="1" applyNumberFormat="1" applyFont="1" applyBorder="1" applyAlignment="1">
      <alignment horizontal="center" vertical="center" wrapText="1"/>
    </xf>
    <xf numFmtId="0" fontId="30" fillId="0" borderId="0" xfId="24" applyFont="1"/>
    <xf numFmtId="41" fontId="31" fillId="0" borderId="61" xfId="24" applyNumberFormat="1" applyFont="1" applyBorder="1"/>
    <xf numFmtId="44" fontId="31" fillId="0" borderId="62" xfId="24" applyNumberFormat="1" applyFont="1" applyBorder="1" applyAlignment="1">
      <alignment horizontal="right"/>
    </xf>
    <xf numFmtId="44" fontId="32" fillId="0" borderId="62" xfId="24" applyNumberFormat="1" applyFont="1" applyBorder="1"/>
    <xf numFmtId="0" fontId="31" fillId="0" borderId="62" xfId="24" applyFont="1" applyBorder="1"/>
    <xf numFmtId="0" fontId="32" fillId="0" borderId="62" xfId="24" applyFont="1" applyBorder="1"/>
    <xf numFmtId="0" fontId="31" fillId="0" borderId="63" xfId="24" applyFont="1" applyBorder="1"/>
    <xf numFmtId="44" fontId="30" fillId="0" borderId="64" xfId="24" applyNumberFormat="1" applyFont="1" applyBorder="1"/>
    <xf numFmtId="44" fontId="30" fillId="0" borderId="0" xfId="24" applyNumberFormat="1" applyFont="1" applyBorder="1"/>
    <xf numFmtId="0" fontId="30" fillId="0" borderId="0" xfId="24" applyFont="1" applyBorder="1"/>
    <xf numFmtId="0" fontId="30" fillId="0" borderId="65" xfId="24" applyFont="1" applyBorder="1"/>
    <xf numFmtId="44" fontId="30" fillId="0" borderId="0" xfId="24" applyNumberFormat="1" applyFont="1" applyBorder="1" applyAlignment="1">
      <alignment horizontal="center"/>
    </xf>
    <xf numFmtId="0" fontId="33" fillId="0" borderId="65" xfId="24" applyFont="1" applyBorder="1"/>
    <xf numFmtId="41" fontId="31" fillId="0" borderId="66" xfId="24" applyNumberFormat="1" applyFont="1" applyBorder="1"/>
    <xf numFmtId="44" fontId="31" fillId="0" borderId="21" xfId="24" applyNumberFormat="1" applyFont="1" applyBorder="1" applyAlignment="1">
      <alignment horizontal="right"/>
    </xf>
    <xf numFmtId="44" fontId="31" fillId="0" borderId="21" xfId="24" applyNumberFormat="1" applyFont="1" applyBorder="1"/>
    <xf numFmtId="0" fontId="31" fillId="0" borderId="21" xfId="24" applyFont="1" applyBorder="1"/>
    <xf numFmtId="0" fontId="34" fillId="0" borderId="67" xfId="24" applyFont="1" applyBorder="1"/>
    <xf numFmtId="44" fontId="30" fillId="0" borderId="64" xfId="24" applyNumberFormat="1" applyFont="1" applyBorder="1" applyAlignment="1">
      <alignment horizontal="right"/>
    </xf>
    <xf numFmtId="44" fontId="30" fillId="0" borderId="0" xfId="24" applyNumberFormat="1" applyFont="1" applyBorder="1" applyAlignment="1">
      <alignment horizontal="right"/>
    </xf>
    <xf numFmtId="42" fontId="30" fillId="0" borderId="0" xfId="24" applyNumberFormat="1" applyFont="1" applyBorder="1"/>
    <xf numFmtId="9" fontId="30" fillId="0" borderId="0" xfId="25" applyFont="1" applyBorder="1"/>
    <xf numFmtId="0" fontId="30" fillId="0" borderId="0" xfId="24" applyFont="1" applyBorder="1" applyAlignment="1">
      <alignment horizontal="center"/>
    </xf>
    <xf numFmtId="9" fontId="30" fillId="6" borderId="20" xfId="25" applyFont="1" applyFill="1" applyBorder="1"/>
    <xf numFmtId="49" fontId="30" fillId="0" borderId="65" xfId="24" applyNumberFormat="1" applyFont="1" applyBorder="1"/>
    <xf numFmtId="41" fontId="33" fillId="0" borderId="66" xfId="24" applyNumberFormat="1" applyFont="1" applyBorder="1"/>
    <xf numFmtId="42" fontId="33" fillId="0" borderId="21" xfId="24" applyNumberFormat="1" applyFont="1" applyBorder="1"/>
    <xf numFmtId="44" fontId="33" fillId="0" borderId="21" xfId="24" applyNumberFormat="1" applyFont="1" applyBorder="1"/>
    <xf numFmtId="0" fontId="33" fillId="0" borderId="21" xfId="24" applyFont="1" applyBorder="1"/>
    <xf numFmtId="0" fontId="33" fillId="0" borderId="21" xfId="24" applyFont="1" applyBorder="1" applyAlignment="1">
      <alignment horizontal="center"/>
    </xf>
    <xf numFmtId="0" fontId="34" fillId="0" borderId="21" xfId="24" applyFont="1" applyBorder="1"/>
    <xf numFmtId="0" fontId="30" fillId="6" borderId="20" xfId="24" applyFont="1" applyFill="1" applyBorder="1" applyAlignment="1">
      <alignment horizontal="center"/>
    </xf>
    <xf numFmtId="9" fontId="30" fillId="6" borderId="20" xfId="25" applyFont="1" applyFill="1" applyBorder="1" applyAlignment="1">
      <alignment horizontal="center"/>
    </xf>
    <xf numFmtId="0" fontId="33" fillId="0" borderId="0" xfId="24" applyFont="1" applyBorder="1"/>
    <xf numFmtId="42" fontId="30" fillId="0" borderId="64" xfId="24" applyNumberFormat="1" applyFont="1" applyBorder="1"/>
    <xf numFmtId="10" fontId="30" fillId="6" borderId="20" xfId="25" applyNumberFormat="1" applyFont="1" applyFill="1" applyBorder="1" applyAlignment="1">
      <alignment horizontal="center"/>
    </xf>
    <xf numFmtId="0" fontId="30" fillId="0" borderId="0" xfId="24" applyFont="1" applyBorder="1" applyAlignment="1">
      <alignment horizontal="right"/>
    </xf>
    <xf numFmtId="42" fontId="30" fillId="0" borderId="0" xfId="24" applyNumberFormat="1" applyFont="1"/>
    <xf numFmtId="49" fontId="33" fillId="0" borderId="65" xfId="24" applyNumberFormat="1" applyFont="1" applyBorder="1"/>
    <xf numFmtId="42" fontId="30" fillId="0" borderId="21" xfId="24" applyNumberFormat="1" applyFont="1" applyBorder="1"/>
    <xf numFmtId="0" fontId="30" fillId="0" borderId="21" xfId="24" applyFont="1" applyBorder="1"/>
    <xf numFmtId="42" fontId="33" fillId="0" borderId="64" xfId="24" applyNumberFormat="1" applyFont="1" applyBorder="1"/>
    <xf numFmtId="44" fontId="33" fillId="0" borderId="0" xfId="24" applyNumberFormat="1" applyFont="1" applyBorder="1" applyAlignment="1">
      <alignment horizontal="right"/>
    </xf>
    <xf numFmtId="42" fontId="30" fillId="0" borderId="0" xfId="24" applyNumberFormat="1" applyFont="1" applyFill="1" applyBorder="1"/>
    <xf numFmtId="0" fontId="30" fillId="0" borderId="0" xfId="24" applyFont="1" applyFill="1" applyBorder="1"/>
    <xf numFmtId="0" fontId="30" fillId="0" borderId="0" xfId="24" applyFont="1" applyFill="1" applyBorder="1" applyAlignment="1">
      <alignment horizontal="center"/>
    </xf>
    <xf numFmtId="0" fontId="30" fillId="0" borderId="65" xfId="24" applyFont="1" applyFill="1" applyBorder="1"/>
    <xf numFmtId="44" fontId="30" fillId="6" borderId="68" xfId="24" applyNumberFormat="1" applyFont="1" applyFill="1" applyBorder="1" applyAlignment="1">
      <alignment horizontal="center"/>
    </xf>
    <xf numFmtId="44" fontId="30" fillId="0" borderId="35" xfId="24" applyNumberFormat="1" applyFont="1" applyFill="1" applyBorder="1" applyAlignment="1">
      <alignment horizontal="center"/>
    </xf>
    <xf numFmtId="167" fontId="30" fillId="6" borderId="20" xfId="24" applyNumberFormat="1" applyFont="1" applyFill="1" applyBorder="1" applyAlignment="1">
      <alignment horizontal="center"/>
    </xf>
    <xf numFmtId="44" fontId="30" fillId="6" borderId="20" xfId="24" applyNumberFormat="1" applyFont="1" applyFill="1" applyBorder="1"/>
    <xf numFmtId="1" fontId="30" fillId="6" borderId="20" xfId="25" applyNumberFormat="1" applyFont="1" applyFill="1" applyBorder="1" applyAlignment="1">
      <alignment horizontal="center"/>
    </xf>
    <xf numFmtId="42" fontId="29" fillId="0" borderId="0" xfId="24" applyNumberFormat="1" applyFont="1" applyFill="1" applyBorder="1"/>
    <xf numFmtId="0" fontId="29" fillId="0" borderId="0" xfId="24" applyFont="1" applyFill="1" applyBorder="1"/>
    <xf numFmtId="0" fontId="29" fillId="0" borderId="0" xfId="24" applyFont="1" applyFill="1" applyBorder="1" applyAlignment="1">
      <alignment horizontal="center"/>
    </xf>
    <xf numFmtId="0" fontId="35" fillId="0" borderId="0" xfId="24" applyFont="1" applyFill="1" applyBorder="1"/>
    <xf numFmtId="0" fontId="35" fillId="0" borderId="65" xfId="24" applyFont="1" applyFill="1" applyBorder="1"/>
    <xf numFmtId="0" fontId="33" fillId="0" borderId="0" xfId="24" applyFont="1" applyFill="1" applyBorder="1"/>
    <xf numFmtId="0" fontId="33" fillId="0" borderId="65" xfId="24" applyFont="1" applyFill="1" applyBorder="1"/>
    <xf numFmtId="44" fontId="30" fillId="0" borderId="0" xfId="24" applyNumberFormat="1" applyFont="1" applyFill="1" applyBorder="1"/>
    <xf numFmtId="49" fontId="33" fillId="0" borderId="0" xfId="24" applyNumberFormat="1" applyFont="1" applyBorder="1" applyAlignment="1">
      <alignment horizontal="right"/>
    </xf>
    <xf numFmtId="0" fontId="30" fillId="0" borderId="64" xfId="24" applyFont="1" applyBorder="1"/>
    <xf numFmtId="49" fontId="30" fillId="0" borderId="0" xfId="24" applyNumberFormat="1" applyFont="1" applyBorder="1" applyAlignment="1">
      <alignment horizontal="center"/>
    </xf>
    <xf numFmtId="0" fontId="33" fillId="0" borderId="64" xfId="24" applyFont="1" applyBorder="1" applyAlignment="1">
      <alignment horizontal="center"/>
    </xf>
    <xf numFmtId="0" fontId="33" fillId="0" borderId="0" xfId="24" applyFont="1" applyFill="1" applyBorder="1" applyAlignment="1">
      <alignment horizontal="center"/>
    </xf>
    <xf numFmtId="0" fontId="35" fillId="0" borderId="0" xfId="24" applyFont="1" applyBorder="1" applyAlignment="1">
      <alignment horizontal="center"/>
    </xf>
    <xf numFmtId="0" fontId="33" fillId="0" borderId="0" xfId="24" applyFont="1" applyBorder="1" applyAlignment="1">
      <alignment horizontal="center"/>
    </xf>
    <xf numFmtId="0" fontId="30" fillId="0" borderId="69" xfId="24" applyFont="1" applyBorder="1"/>
    <xf numFmtId="0" fontId="30" fillId="0" borderId="70" xfId="24" applyFont="1" applyBorder="1"/>
    <xf numFmtId="0" fontId="33" fillId="0" borderId="70" xfId="24" applyFont="1" applyFill="1" applyBorder="1" applyAlignment="1">
      <alignment horizontal="center" wrapText="1"/>
    </xf>
    <xf numFmtId="0" fontId="35" fillId="0" borderId="70" xfId="24" applyFont="1" applyBorder="1" applyAlignment="1">
      <alignment horizontal="center"/>
    </xf>
    <xf numFmtId="0" fontId="33" fillId="0" borderId="70" xfId="24" applyFont="1" applyBorder="1" applyAlignment="1">
      <alignment horizontal="center"/>
    </xf>
    <xf numFmtId="0" fontId="33" fillId="0" borderId="71" xfId="24" applyFont="1" applyBorder="1"/>
    <xf numFmtId="0" fontId="30" fillId="0" borderId="75" xfId="24" applyFont="1" applyBorder="1" applyAlignment="1">
      <alignment horizontal="right"/>
    </xf>
    <xf numFmtId="0" fontId="30" fillId="0" borderId="4" xfId="24" applyFont="1" applyBorder="1" applyAlignment="1">
      <alignment horizontal="right"/>
    </xf>
    <xf numFmtId="0" fontId="30" fillId="0" borderId="4" xfId="24" applyFont="1" applyBorder="1"/>
    <xf numFmtId="0" fontId="30" fillId="0" borderId="76" xfId="24" applyFont="1" applyBorder="1"/>
    <xf numFmtId="0" fontId="30" fillId="0" borderId="64" xfId="24" applyFont="1" applyBorder="1" applyAlignment="1">
      <alignment horizontal="right"/>
    </xf>
    <xf numFmtId="0" fontId="30" fillId="0" borderId="19" xfId="24" applyFont="1" applyBorder="1"/>
    <xf numFmtId="14" fontId="30" fillId="0" borderId="77" xfId="24" applyNumberFormat="1" applyFont="1" applyBorder="1" applyAlignment="1">
      <alignment horizontal="right"/>
    </xf>
    <xf numFmtId="0" fontId="30" fillId="0" borderId="78" xfId="24" applyFont="1" applyBorder="1" applyAlignment="1">
      <alignment horizontal="right"/>
    </xf>
    <xf numFmtId="0" fontId="30" fillId="0" borderId="78" xfId="24" applyFont="1" applyBorder="1"/>
    <xf numFmtId="0" fontId="33" fillId="0" borderId="79" xfId="24" applyFont="1" applyBorder="1"/>
    <xf numFmtId="0" fontId="30" fillId="0" borderId="5" xfId="24" applyFont="1" applyBorder="1"/>
    <xf numFmtId="0" fontId="30" fillId="6" borderId="42" xfId="24" applyFont="1" applyFill="1" applyBorder="1" applyAlignment="1">
      <alignment horizontal="center"/>
    </xf>
    <xf numFmtId="0" fontId="30" fillId="0" borderId="3" xfId="24" applyFont="1" applyBorder="1"/>
    <xf numFmtId="0" fontId="30" fillId="0" borderId="2" xfId="24" applyFont="1" applyBorder="1"/>
    <xf numFmtId="0" fontId="30" fillId="0" borderId="1" xfId="24" applyFont="1" applyBorder="1"/>
    <xf numFmtId="2" fontId="30" fillId="6" borderId="20" xfId="24" applyNumberFormat="1" applyFont="1" applyFill="1" applyBorder="1" applyAlignment="1">
      <alignment horizontal="center"/>
    </xf>
    <xf numFmtId="0" fontId="33" fillId="0" borderId="0" xfId="24" applyFont="1" applyAlignment="1">
      <alignment horizontal="center"/>
    </xf>
    <xf numFmtId="0" fontId="33" fillId="0" borderId="8" xfId="24" applyFont="1" applyBorder="1" applyAlignment="1">
      <alignment horizontal="center"/>
    </xf>
    <xf numFmtId="0" fontId="30" fillId="0" borderId="7" xfId="24" applyFont="1" applyBorder="1"/>
    <xf numFmtId="0" fontId="33" fillId="0" borderId="6" xfId="24" applyFont="1" applyBorder="1" applyAlignment="1">
      <alignment horizontal="left"/>
    </xf>
    <xf numFmtId="42" fontId="30" fillId="0" borderId="61" xfId="24" applyNumberFormat="1" applyFont="1" applyBorder="1"/>
    <xf numFmtId="49" fontId="31" fillId="0" borderId="62" xfId="24" applyNumberFormat="1" applyFont="1" applyBorder="1" applyAlignment="1">
      <alignment horizontal="right"/>
    </xf>
    <xf numFmtId="0" fontId="30" fillId="0" borderId="62" xfId="24" applyFont="1" applyBorder="1"/>
    <xf numFmtId="0" fontId="33" fillId="0" borderId="62" xfId="24" applyFont="1" applyBorder="1"/>
    <xf numFmtId="0" fontId="33" fillId="0" borderId="63" xfId="24" applyFont="1" applyBorder="1"/>
    <xf numFmtId="0" fontId="30" fillId="6" borderId="80" xfId="24" applyFont="1" applyFill="1" applyBorder="1" applyAlignment="1">
      <alignment horizontal="center"/>
    </xf>
    <xf numFmtId="49" fontId="30" fillId="0" borderId="0" xfId="24" applyNumberFormat="1" applyFont="1" applyBorder="1" applyAlignment="1">
      <alignment horizontal="right"/>
    </xf>
    <xf numFmtId="42" fontId="30" fillId="0" borderId="66" xfId="24" applyNumberFormat="1" applyFont="1" applyBorder="1"/>
    <xf numFmtId="42" fontId="31" fillId="0" borderId="21" xfId="24" applyNumberFormat="1" applyFont="1" applyBorder="1" applyAlignment="1">
      <alignment horizontal="right"/>
    </xf>
    <xf numFmtId="42" fontId="31" fillId="0" borderId="21" xfId="24" applyNumberFormat="1" applyFont="1" applyBorder="1"/>
    <xf numFmtId="0" fontId="30" fillId="0" borderId="21" xfId="24" applyFont="1" applyBorder="1" applyAlignment="1">
      <alignment horizontal="center"/>
    </xf>
    <xf numFmtId="49" fontId="35" fillId="0" borderId="21" xfId="24" applyNumberFormat="1" applyFont="1" applyBorder="1"/>
    <xf numFmtId="49" fontId="35" fillId="0" borderId="67" xfId="24" applyNumberFormat="1" applyFont="1" applyBorder="1"/>
    <xf numFmtId="49" fontId="33" fillId="0" borderId="0" xfId="24" applyNumberFormat="1" applyFont="1" applyBorder="1"/>
    <xf numFmtId="42" fontId="32" fillId="0" borderId="21" xfId="24" applyNumberFormat="1" applyFont="1" applyBorder="1"/>
    <xf numFmtId="42" fontId="30" fillId="0" borderId="21" xfId="24" applyNumberFormat="1" applyFont="1" applyFill="1" applyBorder="1"/>
    <xf numFmtId="44" fontId="30" fillId="0" borderId="21" xfId="24" applyNumberFormat="1" applyFont="1" applyBorder="1" applyAlignment="1">
      <alignment horizontal="right"/>
    </xf>
    <xf numFmtId="0" fontId="32" fillId="0" borderId="21" xfId="24" applyFont="1" applyBorder="1" applyAlignment="1">
      <alignment horizontal="center"/>
    </xf>
    <xf numFmtId="0" fontId="32" fillId="0" borderId="21" xfId="24" applyFont="1" applyBorder="1"/>
    <xf numFmtId="49" fontId="31" fillId="0" borderId="21" xfId="24" applyNumberFormat="1" applyFont="1" applyBorder="1"/>
    <xf numFmtId="49" fontId="31" fillId="0" borderId="67" xfId="24" applyNumberFormat="1" applyFont="1" applyBorder="1"/>
    <xf numFmtId="0" fontId="39" fillId="0" borderId="0" xfId="24" applyFont="1"/>
    <xf numFmtId="42" fontId="35" fillId="0" borderId="0" xfId="24" applyNumberFormat="1" applyFont="1" applyBorder="1" applyAlignment="1">
      <alignment horizontal="right"/>
    </xf>
    <xf numFmtId="42" fontId="31" fillId="0" borderId="0" xfId="24" applyNumberFormat="1" applyFont="1" applyBorder="1"/>
    <xf numFmtId="0" fontId="30" fillId="0" borderId="64" xfId="24" applyFont="1" applyFill="1" applyBorder="1" applyAlignment="1">
      <alignment horizontal="center"/>
    </xf>
    <xf numFmtId="42" fontId="30" fillId="0" borderId="0" xfId="24" applyNumberFormat="1" applyFont="1" applyBorder="1" applyAlignment="1">
      <alignment horizontal="right"/>
    </xf>
    <xf numFmtId="168" fontId="30" fillId="0" borderId="0" xfId="24" applyNumberFormat="1" applyFont="1" applyFill="1" applyBorder="1"/>
    <xf numFmtId="42" fontId="30" fillId="6" borderId="80" xfId="24" applyNumberFormat="1" applyFont="1" applyFill="1" applyBorder="1" applyAlignment="1">
      <alignment horizontal="center"/>
    </xf>
    <xf numFmtId="44" fontId="30" fillId="0" borderId="0" xfId="24" applyNumberFormat="1" applyFont="1" applyBorder="1" applyAlignment="1"/>
    <xf numFmtId="0" fontId="33" fillId="0" borderId="65" xfId="24" applyFont="1" applyBorder="1" applyAlignment="1">
      <alignment horizontal="left"/>
    </xf>
    <xf numFmtId="42" fontId="31" fillId="0" borderId="0" xfId="24" applyNumberFormat="1" applyFont="1" applyBorder="1" applyAlignment="1">
      <alignment horizontal="right"/>
    </xf>
    <xf numFmtId="42" fontId="32" fillId="0" borderId="0" xfId="24" applyNumberFormat="1" applyFont="1" applyBorder="1"/>
    <xf numFmtId="49" fontId="31" fillId="0" borderId="0" xfId="24" applyNumberFormat="1" applyFont="1" applyBorder="1"/>
    <xf numFmtId="42" fontId="30" fillId="0" borderId="21" xfId="24" applyNumberFormat="1" applyFont="1" applyBorder="1" applyAlignment="1">
      <alignment horizontal="right"/>
    </xf>
    <xf numFmtId="168" fontId="30" fillId="0" borderId="21" xfId="24" applyNumberFormat="1" applyFont="1" applyBorder="1" applyAlignment="1">
      <alignment horizontal="center"/>
    </xf>
    <xf numFmtId="0" fontId="30" fillId="0" borderId="21" xfId="24" applyFont="1" applyBorder="1" applyAlignment="1">
      <alignment horizontal="left"/>
    </xf>
    <xf numFmtId="0" fontId="30" fillId="0" borderId="65" xfId="24" applyFont="1" applyBorder="1" applyAlignment="1">
      <alignment horizontal="left"/>
    </xf>
    <xf numFmtId="9" fontId="30" fillId="0" borderId="0" xfId="25" applyFont="1" applyFill="1" applyBorder="1" applyAlignment="1">
      <alignment horizontal="center"/>
    </xf>
    <xf numFmtId="49" fontId="30" fillId="0" borderId="0" xfId="24" applyNumberFormat="1" applyFont="1" applyBorder="1"/>
    <xf numFmtId="1" fontId="30" fillId="6" borderId="20" xfId="24" applyNumberFormat="1" applyFont="1" applyFill="1" applyBorder="1" applyAlignment="1">
      <alignment horizontal="center"/>
    </xf>
    <xf numFmtId="0" fontId="33" fillId="0" borderId="84" xfId="24" applyFont="1" applyBorder="1" applyAlignment="1">
      <alignment horizontal="center"/>
    </xf>
    <xf numFmtId="0" fontId="33" fillId="0" borderId="7" xfId="24" applyFont="1" applyFill="1" applyBorder="1" applyAlignment="1">
      <alignment horizontal="center" wrapText="1"/>
    </xf>
    <xf numFmtId="0" fontId="35" fillId="0" borderId="7" xfId="24" applyFont="1" applyBorder="1" applyAlignment="1">
      <alignment horizontal="center"/>
    </xf>
    <xf numFmtId="0" fontId="33" fillId="0" borderId="7" xfId="24" applyFont="1" applyBorder="1" applyAlignment="1">
      <alignment horizontal="center"/>
    </xf>
    <xf numFmtId="0" fontId="33" fillId="0" borderId="7" xfId="24" applyFont="1" applyBorder="1"/>
    <xf numFmtId="0" fontId="33" fillId="0" borderId="85" xfId="24" applyFont="1" applyBorder="1"/>
    <xf numFmtId="0" fontId="33" fillId="0" borderId="78" xfId="24" applyFont="1" applyBorder="1"/>
    <xf numFmtId="0" fontId="10" fillId="0" borderId="0" xfId="28" applyBorder="1"/>
    <xf numFmtId="0" fontId="10" fillId="0" borderId="0" xfId="28" applyFill="1" applyBorder="1"/>
    <xf numFmtId="0" fontId="9" fillId="0" borderId="0" xfId="30"/>
    <xf numFmtId="0" fontId="41" fillId="0" borderId="79" xfId="30" applyFont="1" applyBorder="1"/>
    <xf numFmtId="0" fontId="42" fillId="0" borderId="78" xfId="30" applyFont="1" applyBorder="1"/>
    <xf numFmtId="0" fontId="9" fillId="0" borderId="78" xfId="30" applyBorder="1"/>
    <xf numFmtId="0" fontId="9" fillId="0" borderId="0" xfId="30" applyBorder="1" applyAlignment="1">
      <alignment horizontal="right"/>
    </xf>
    <xf numFmtId="14" fontId="9" fillId="0" borderId="64" xfId="30" applyNumberFormat="1" applyBorder="1"/>
    <xf numFmtId="0" fontId="9" fillId="0" borderId="65" xfId="30" applyBorder="1"/>
    <xf numFmtId="0" fontId="9" fillId="0" borderId="0" xfId="30" applyBorder="1"/>
    <xf numFmtId="0" fontId="9" fillId="0" borderId="64" xfId="30" applyBorder="1" applyAlignment="1">
      <alignment horizontal="right"/>
    </xf>
    <xf numFmtId="0" fontId="9" fillId="0" borderId="76" xfId="30" applyBorder="1"/>
    <xf numFmtId="0" fontId="9" fillId="0" borderId="4" xfId="30" applyBorder="1"/>
    <xf numFmtId="0" fontId="9" fillId="0" borderId="4" xfId="30" applyBorder="1" applyAlignment="1">
      <alignment horizontal="right"/>
    </xf>
    <xf numFmtId="0" fontId="9" fillId="0" borderId="75" xfId="30" applyBorder="1" applyAlignment="1">
      <alignment horizontal="right"/>
    </xf>
    <xf numFmtId="0" fontId="41" fillId="0" borderId="71" xfId="30" applyFont="1" applyBorder="1"/>
    <xf numFmtId="0" fontId="9" fillId="0" borderId="70" xfId="30" applyBorder="1"/>
    <xf numFmtId="0" fontId="40" fillId="0" borderId="70" xfId="30" applyFont="1" applyBorder="1" applyAlignment="1">
      <alignment horizontal="center"/>
    </xf>
    <xf numFmtId="0" fontId="43" fillId="0" borderId="70" xfId="30" applyFont="1" applyBorder="1" applyAlignment="1">
      <alignment horizontal="center"/>
    </xf>
    <xf numFmtId="0" fontId="40" fillId="0" borderId="70" xfId="30" applyFont="1" applyFill="1" applyBorder="1" applyAlignment="1">
      <alignment horizontal="center"/>
    </xf>
    <xf numFmtId="0" fontId="9" fillId="0" borderId="69" xfId="30" applyBorder="1"/>
    <xf numFmtId="0" fontId="44" fillId="0" borderId="65" xfId="30" applyFont="1" applyBorder="1"/>
    <xf numFmtId="0" fontId="40" fillId="0" borderId="0" xfId="30" applyFont="1" applyBorder="1" applyAlignment="1">
      <alignment horizontal="center"/>
    </xf>
    <xf numFmtId="0" fontId="43" fillId="0" borderId="0" xfId="30" applyFont="1" applyBorder="1" applyAlignment="1">
      <alignment horizontal="center"/>
    </xf>
    <xf numFmtId="0" fontId="40" fillId="0" borderId="0" xfId="30" applyFont="1" applyFill="1" applyBorder="1" applyAlignment="1">
      <alignment horizontal="center"/>
    </xf>
    <xf numFmtId="0" fontId="40" fillId="0" borderId="64" xfId="30" applyFont="1" applyBorder="1" applyAlignment="1">
      <alignment horizontal="center"/>
    </xf>
    <xf numFmtId="49" fontId="44" fillId="0" borderId="65" xfId="30" applyNumberFormat="1" applyFont="1" applyBorder="1"/>
    <xf numFmtId="0" fontId="44" fillId="0" borderId="0" xfId="30" applyFont="1" applyBorder="1"/>
    <xf numFmtId="49" fontId="9" fillId="0" borderId="0" xfId="30" applyNumberFormat="1" applyBorder="1" applyAlignment="1">
      <alignment horizontal="center"/>
    </xf>
    <xf numFmtId="0" fontId="9" fillId="0" borderId="64" xfId="30" applyBorder="1"/>
    <xf numFmtId="49" fontId="40" fillId="0" borderId="0" xfId="30" applyNumberFormat="1" applyFont="1" applyBorder="1" applyAlignment="1">
      <alignment horizontal="right"/>
    </xf>
    <xf numFmtId="42" fontId="40" fillId="0" borderId="64" xfId="30" applyNumberFormat="1" applyFont="1" applyBorder="1"/>
    <xf numFmtId="0" fontId="40" fillId="0" borderId="65" xfId="30" applyFont="1" applyBorder="1"/>
    <xf numFmtId="0" fontId="40" fillId="0" borderId="0" xfId="30" applyFont="1" applyBorder="1"/>
    <xf numFmtId="0" fontId="9" fillId="0" borderId="0" xfId="30" applyFont="1" applyBorder="1"/>
    <xf numFmtId="0" fontId="9" fillId="6" borderId="20" xfId="30" applyFill="1" applyBorder="1" applyAlignment="1">
      <alignment horizontal="center"/>
    </xf>
    <xf numFmtId="0" fontId="9" fillId="0" borderId="0" xfId="30" applyBorder="1" applyAlignment="1">
      <alignment horizontal="center"/>
    </xf>
    <xf numFmtId="3" fontId="9" fillId="6" borderId="20" xfId="30" applyNumberFormat="1" applyFill="1" applyBorder="1" applyAlignment="1">
      <alignment horizontal="center"/>
    </xf>
    <xf numFmtId="42" fontId="9" fillId="0" borderId="0" xfId="30" applyNumberFormat="1" applyBorder="1"/>
    <xf numFmtId="44" fontId="9" fillId="0" borderId="0" xfId="30" applyNumberFormat="1" applyBorder="1" applyAlignment="1">
      <alignment horizontal="right"/>
    </xf>
    <xf numFmtId="44" fontId="9" fillId="0" borderId="64" xfId="30" applyNumberFormat="1" applyBorder="1"/>
    <xf numFmtId="0" fontId="40" fillId="0" borderId="65" xfId="30" applyFont="1" applyFill="1" applyBorder="1"/>
    <xf numFmtId="0" fontId="40" fillId="0" borderId="0" xfId="30" applyFont="1" applyFill="1" applyBorder="1"/>
    <xf numFmtId="0" fontId="9" fillId="0" borderId="0" xfId="30" applyFont="1" applyFill="1" applyBorder="1"/>
    <xf numFmtId="0" fontId="9" fillId="0" borderId="0" xfId="30" applyFill="1" applyBorder="1" applyAlignment="1">
      <alignment horizontal="center"/>
    </xf>
    <xf numFmtId="44" fontId="9" fillId="0" borderId="0" xfId="30" applyNumberFormat="1" applyFill="1" applyBorder="1"/>
    <xf numFmtId="42" fontId="9" fillId="0" borderId="0" xfId="30" applyNumberFormat="1" applyFill="1" applyBorder="1"/>
    <xf numFmtId="44" fontId="40" fillId="0" borderId="0" xfId="30" applyNumberFormat="1" applyFont="1" applyBorder="1" applyAlignment="1">
      <alignment horizontal="right"/>
    </xf>
    <xf numFmtId="0" fontId="44" fillId="0" borderId="0" xfId="30" applyFont="1" applyFill="1" applyBorder="1"/>
    <xf numFmtId="42" fontId="9" fillId="0" borderId="64" xfId="30" applyNumberFormat="1" applyBorder="1"/>
    <xf numFmtId="0" fontId="43" fillId="0" borderId="65" xfId="30" applyFont="1" applyFill="1" applyBorder="1"/>
    <xf numFmtId="0" fontId="43" fillId="0" borderId="0" xfId="30" applyFont="1" applyFill="1" applyBorder="1"/>
    <xf numFmtId="0" fontId="45" fillId="0" borderId="0" xfId="30" applyFont="1" applyFill="1" applyBorder="1"/>
    <xf numFmtId="0" fontId="45" fillId="0" borderId="0" xfId="30" applyFont="1" applyFill="1" applyBorder="1" applyAlignment="1">
      <alignment horizontal="center"/>
    </xf>
    <xf numFmtId="42" fontId="45" fillId="0" borderId="0" xfId="30" applyNumberFormat="1" applyFont="1" applyFill="1" applyBorder="1"/>
    <xf numFmtId="9" fontId="0" fillId="6" borderId="20" xfId="31" applyFont="1" applyFill="1" applyBorder="1" applyAlignment="1">
      <alignment horizontal="center"/>
    </xf>
    <xf numFmtId="0" fontId="9" fillId="0" borderId="65" xfId="30" applyFont="1" applyFill="1" applyBorder="1"/>
    <xf numFmtId="0" fontId="9" fillId="0" borderId="0" xfId="30" applyFont="1" applyFill="1" applyBorder="1" applyAlignment="1">
      <alignment horizontal="center"/>
    </xf>
    <xf numFmtId="42" fontId="9" fillId="0" borderId="0" xfId="30" applyNumberFormat="1" applyFont="1" applyFill="1" applyBorder="1"/>
    <xf numFmtId="0" fontId="9" fillId="0" borderId="65" xfId="30" applyFont="1" applyBorder="1"/>
    <xf numFmtId="0" fontId="9" fillId="6" borderId="20" xfId="30" applyFont="1" applyFill="1" applyBorder="1" applyAlignment="1">
      <alignment horizontal="center"/>
    </xf>
    <xf numFmtId="0" fontId="9" fillId="0" borderId="0" xfId="30" applyFont="1" applyBorder="1" applyAlignment="1">
      <alignment horizontal="center"/>
    </xf>
    <xf numFmtId="44" fontId="9" fillId="6" borderId="20" xfId="30" applyNumberFormat="1" applyFont="1" applyFill="1" applyBorder="1"/>
    <xf numFmtId="42" fontId="9" fillId="0" borderId="0" xfId="30" applyNumberFormat="1" applyFont="1" applyBorder="1"/>
    <xf numFmtId="44" fontId="9" fillId="0" borderId="0" xfId="30" applyNumberFormat="1" applyFont="1" applyBorder="1" applyAlignment="1">
      <alignment horizontal="right"/>
    </xf>
    <xf numFmtId="42" fontId="9" fillId="0" borderId="64" xfId="30" applyNumberFormat="1" applyFont="1" applyBorder="1"/>
    <xf numFmtId="0" fontId="46" fillId="0" borderId="67" xfId="30" applyFont="1" applyBorder="1"/>
    <xf numFmtId="0" fontId="47" fillId="0" borderId="21" xfId="30" applyFont="1" applyBorder="1"/>
    <xf numFmtId="0" fontId="9" fillId="0" borderId="21" xfId="30" applyBorder="1" applyAlignment="1"/>
    <xf numFmtId="0" fontId="9" fillId="0" borderId="21" xfId="30" applyBorder="1" applyAlignment="1">
      <alignment horizontal="center"/>
    </xf>
    <xf numFmtId="0" fontId="9" fillId="0" borderId="21" xfId="30" applyBorder="1"/>
    <xf numFmtId="42" fontId="9" fillId="0" borderId="21" xfId="30" applyNumberFormat="1" applyBorder="1"/>
    <xf numFmtId="44" fontId="48" fillId="0" borderId="21" xfId="30" applyNumberFormat="1" applyFont="1" applyBorder="1" applyAlignment="1">
      <alignment horizontal="right"/>
    </xf>
    <xf numFmtId="42" fontId="40" fillId="0" borderId="66" xfId="30" applyNumberFormat="1" applyFont="1" applyBorder="1"/>
    <xf numFmtId="0" fontId="47" fillId="0" borderId="65" xfId="30" applyFont="1" applyBorder="1"/>
    <xf numFmtId="0" fontId="47" fillId="0" borderId="0" xfId="30" applyFont="1" applyBorder="1"/>
    <xf numFmtId="44" fontId="9" fillId="0" borderId="0" xfId="30" applyNumberFormat="1" applyBorder="1"/>
    <xf numFmtId="42" fontId="9" fillId="0" borderId="0" xfId="30" applyNumberFormat="1"/>
    <xf numFmtId="0" fontId="44" fillId="0" borderId="21" xfId="30" applyFont="1" applyBorder="1"/>
    <xf numFmtId="0" fontId="40" fillId="0" borderId="21" xfId="30" applyFont="1" applyBorder="1" applyAlignment="1">
      <alignment horizontal="center"/>
    </xf>
    <xf numFmtId="0" fontId="40" fillId="0" borderId="21" xfId="30" applyFont="1" applyBorder="1"/>
    <xf numFmtId="42" fontId="40" fillId="0" borderId="21" xfId="30" applyNumberFormat="1" applyFont="1" applyBorder="1"/>
    <xf numFmtId="0" fontId="46" fillId="0" borderId="21" xfId="30" applyFont="1" applyBorder="1"/>
    <xf numFmtId="44" fontId="40" fillId="0" borderId="21" xfId="30" applyNumberFormat="1" applyFont="1" applyBorder="1"/>
    <xf numFmtId="49" fontId="47" fillId="0" borderId="65" xfId="30" applyNumberFormat="1" applyFont="1" applyBorder="1"/>
    <xf numFmtId="9" fontId="0" fillId="0" borderId="0" xfId="31" applyFont="1" applyBorder="1"/>
    <xf numFmtId="44" fontId="9" fillId="0" borderId="0" xfId="30" applyNumberFormat="1" applyBorder="1" applyAlignment="1">
      <alignment horizontal="center"/>
    </xf>
    <xf numFmtId="44" fontId="9" fillId="0" borderId="64" xfId="30" applyNumberFormat="1" applyBorder="1" applyAlignment="1">
      <alignment horizontal="right"/>
    </xf>
    <xf numFmtId="9" fontId="0" fillId="6" borderId="20" xfId="31" applyFont="1" applyFill="1" applyBorder="1"/>
    <xf numFmtId="0" fontId="48" fillId="0" borderId="21" xfId="30" applyFont="1" applyBorder="1"/>
    <xf numFmtId="0" fontId="49" fillId="0" borderId="21" xfId="30" applyFont="1" applyBorder="1"/>
    <xf numFmtId="44" fontId="49" fillId="0" borderId="21" xfId="30" applyNumberFormat="1" applyFont="1" applyBorder="1"/>
    <xf numFmtId="42" fontId="49" fillId="0" borderId="66" xfId="30" applyNumberFormat="1" applyFont="1" applyBorder="1"/>
    <xf numFmtId="0" fontId="50" fillId="0" borderId="63" xfId="30" applyFont="1" applyBorder="1"/>
    <xf numFmtId="0" fontId="51" fillId="0" borderId="62" xfId="30" applyFont="1" applyBorder="1"/>
    <xf numFmtId="0" fontId="50" fillId="0" borderId="62" xfId="30" applyFont="1" applyBorder="1"/>
    <xf numFmtId="44" fontId="51" fillId="0" borderId="62" xfId="30" applyNumberFormat="1" applyFont="1" applyBorder="1"/>
    <xf numFmtId="44" fontId="52" fillId="0" borderId="62" xfId="30" applyNumberFormat="1" applyFont="1" applyBorder="1"/>
    <xf numFmtId="44" fontId="48" fillId="0" borderId="62" xfId="30" applyNumberFormat="1" applyFont="1" applyBorder="1" applyAlignment="1">
      <alignment horizontal="right"/>
    </xf>
    <xf numFmtId="42" fontId="50" fillId="0" borderId="61" xfId="30" applyNumberFormat="1" applyFont="1" applyBorder="1"/>
    <xf numFmtId="0" fontId="41" fillId="0" borderId="78" xfId="30" applyFont="1" applyBorder="1"/>
    <xf numFmtId="0" fontId="9" fillId="0" borderId="78" xfId="30" applyBorder="1" applyAlignment="1">
      <alignment horizontal="right"/>
    </xf>
    <xf numFmtId="14" fontId="9" fillId="0" borderId="77" xfId="30" applyNumberFormat="1" applyBorder="1" applyAlignment="1">
      <alignment horizontal="right"/>
    </xf>
    <xf numFmtId="0" fontId="44" fillId="0" borderId="85" xfId="30" applyFont="1" applyBorder="1"/>
    <xf numFmtId="0" fontId="44" fillId="0" borderId="7" xfId="30" applyFont="1" applyBorder="1"/>
    <xf numFmtId="0" fontId="9" fillId="0" borderId="7" xfId="30" applyBorder="1"/>
    <xf numFmtId="0" fontId="40" fillId="0" borderId="7" xfId="30" applyFont="1" applyBorder="1" applyAlignment="1">
      <alignment horizontal="center"/>
    </xf>
    <xf numFmtId="0" fontId="43" fillId="0" borderId="7" xfId="30" applyFont="1" applyBorder="1" applyAlignment="1">
      <alignment horizontal="center"/>
    </xf>
    <xf numFmtId="0" fontId="40" fillId="0" borderId="7" xfId="30" applyFont="1" applyFill="1" applyBorder="1" applyAlignment="1">
      <alignment horizontal="center"/>
    </xf>
    <xf numFmtId="0" fontId="40" fillId="0" borderId="84" xfId="30" applyFont="1" applyBorder="1" applyAlignment="1">
      <alignment horizontal="center"/>
    </xf>
    <xf numFmtId="49" fontId="9" fillId="0" borderId="65" xfId="30" applyNumberFormat="1" applyBorder="1"/>
    <xf numFmtId="169" fontId="9" fillId="0" borderId="0" xfId="30" applyNumberFormat="1" applyBorder="1"/>
    <xf numFmtId="42" fontId="9" fillId="0" borderId="0" xfId="30" applyNumberFormat="1" applyBorder="1" applyAlignment="1">
      <alignment horizontal="right"/>
    </xf>
    <xf numFmtId="0" fontId="9" fillId="0" borderId="0" xfId="30" applyFill="1" applyBorder="1"/>
    <xf numFmtId="2" fontId="9" fillId="6" borderId="20" xfId="30" applyNumberFormat="1" applyFill="1" applyBorder="1" applyAlignment="1">
      <alignment horizontal="center"/>
    </xf>
    <xf numFmtId="49" fontId="9" fillId="0" borderId="65" xfId="30" applyNumberFormat="1" applyFill="1" applyBorder="1"/>
    <xf numFmtId="42" fontId="9" fillId="0" borderId="0" xfId="30" applyNumberFormat="1" applyFill="1" applyBorder="1" applyAlignment="1">
      <alignment horizontal="right"/>
    </xf>
    <xf numFmtId="42" fontId="9" fillId="0" borderId="64" xfId="30" applyNumberFormat="1" applyFill="1" applyBorder="1"/>
    <xf numFmtId="0" fontId="9" fillId="0" borderId="65" xfId="30" applyBorder="1" applyAlignment="1">
      <alignment horizontal="left"/>
    </xf>
    <xf numFmtId="49" fontId="49" fillId="0" borderId="0" xfId="30" applyNumberFormat="1" applyFont="1" applyBorder="1"/>
    <xf numFmtId="168" fontId="9" fillId="0" borderId="0" xfId="30" applyNumberFormat="1" applyFill="1" applyBorder="1"/>
    <xf numFmtId="42" fontId="53" fillId="0" borderId="0" xfId="30" applyNumberFormat="1" applyFont="1" applyBorder="1"/>
    <xf numFmtId="49" fontId="49" fillId="0" borderId="67" xfId="30" applyNumberFormat="1" applyFont="1" applyBorder="1"/>
    <xf numFmtId="49" fontId="49" fillId="0" borderId="21" xfId="30" applyNumberFormat="1" applyFont="1" applyBorder="1"/>
    <xf numFmtId="0" fontId="9" fillId="0" borderId="21" xfId="30" applyBorder="1" applyAlignment="1">
      <alignment horizontal="left"/>
    </xf>
    <xf numFmtId="168" fontId="9" fillId="0" borderId="21" xfId="30" applyNumberFormat="1" applyBorder="1" applyAlignment="1">
      <alignment horizontal="center"/>
    </xf>
    <xf numFmtId="0" fontId="9" fillId="0" borderId="21" xfId="30" applyBorder="1" applyAlignment="1">
      <alignment horizontal="right"/>
    </xf>
    <xf numFmtId="42" fontId="9" fillId="0" borderId="21" xfId="30" applyNumberFormat="1" applyBorder="1" applyAlignment="1">
      <alignment horizontal="right"/>
    </xf>
    <xf numFmtId="42" fontId="53" fillId="0" borderId="21" xfId="30" applyNumberFormat="1" applyFont="1" applyBorder="1"/>
    <xf numFmtId="42" fontId="49" fillId="0" borderId="21" xfId="30" applyNumberFormat="1" applyFont="1" applyBorder="1" applyAlignment="1">
      <alignment horizontal="right"/>
    </xf>
    <xf numFmtId="42" fontId="9" fillId="0" borderId="66" xfId="30" applyNumberFormat="1" applyBorder="1"/>
    <xf numFmtId="42" fontId="49" fillId="0" borderId="0" xfId="30" applyNumberFormat="1" applyFont="1" applyBorder="1" applyAlignment="1">
      <alignment horizontal="right"/>
    </xf>
    <xf numFmtId="0" fontId="9" fillId="0" borderId="64" xfId="30" applyFill="1" applyBorder="1" applyAlignment="1">
      <alignment horizontal="center"/>
    </xf>
    <xf numFmtId="0" fontId="54" fillId="0" borderId="0" xfId="30" applyFont="1"/>
    <xf numFmtId="42" fontId="49" fillId="0" borderId="0" xfId="30" applyNumberFormat="1" applyFont="1" applyBorder="1"/>
    <xf numFmtId="42" fontId="43" fillId="0" borderId="0" xfId="30" applyNumberFormat="1" applyFont="1" applyBorder="1" applyAlignment="1">
      <alignment horizontal="right"/>
    </xf>
    <xf numFmtId="0" fontId="53" fillId="0" borderId="21" xfId="30" applyFont="1" applyBorder="1"/>
    <xf numFmtId="0" fontId="53" fillId="0" borderId="21" xfId="30" applyFont="1" applyBorder="1" applyAlignment="1">
      <alignment horizontal="center"/>
    </xf>
    <xf numFmtId="42" fontId="9" fillId="0" borderId="21" xfId="30" applyNumberFormat="1" applyFill="1" applyBorder="1"/>
    <xf numFmtId="49" fontId="40" fillId="0" borderId="65" xfId="30" applyNumberFormat="1" applyFont="1" applyBorder="1"/>
    <xf numFmtId="49" fontId="40" fillId="0" borderId="0" xfId="30" applyNumberFormat="1" applyFont="1" applyBorder="1"/>
    <xf numFmtId="49" fontId="55" fillId="0" borderId="67" xfId="30" applyNumberFormat="1" applyFont="1" applyBorder="1"/>
    <xf numFmtId="49" fontId="55" fillId="0" borderId="21" xfId="30" applyNumberFormat="1" applyFont="1" applyBorder="1"/>
    <xf numFmtId="42" fontId="49" fillId="0" borderId="21" xfId="30" applyNumberFormat="1" applyFont="1" applyBorder="1"/>
    <xf numFmtId="49" fontId="9" fillId="0" borderId="0" xfId="30" applyNumberFormat="1" applyBorder="1" applyAlignment="1">
      <alignment horizontal="right"/>
    </xf>
    <xf numFmtId="0" fontId="9" fillId="6" borderId="80" xfId="30" applyFill="1" applyBorder="1" applyAlignment="1">
      <alignment horizontal="center"/>
    </xf>
    <xf numFmtId="0" fontId="44" fillId="0" borderId="63" xfId="30" applyFont="1" applyBorder="1"/>
    <xf numFmtId="0" fontId="44" fillId="0" borderId="62" xfId="30" applyFont="1" applyBorder="1"/>
    <xf numFmtId="0" fontId="9" fillId="0" borderId="62" xfId="30" applyBorder="1"/>
    <xf numFmtId="0" fontId="48" fillId="0" borderId="62" xfId="30" applyFont="1" applyBorder="1"/>
    <xf numFmtId="49" fontId="49" fillId="0" borderId="62" xfId="30" applyNumberFormat="1" applyFont="1" applyBorder="1" applyAlignment="1">
      <alignment horizontal="right"/>
    </xf>
    <xf numFmtId="42" fontId="9" fillId="0" borderId="61" xfId="30" applyNumberFormat="1" applyBorder="1"/>
    <xf numFmtId="0" fontId="40" fillId="0" borderId="6" xfId="30" applyFont="1" applyBorder="1" applyAlignment="1">
      <alignment horizontal="left"/>
    </xf>
    <xf numFmtId="0" fontId="40" fillId="0" borderId="8" xfId="30" applyFont="1" applyBorder="1" applyAlignment="1">
      <alignment horizontal="center"/>
    </xf>
    <xf numFmtId="0" fontId="40" fillId="0" borderId="0" xfId="30" applyFont="1" applyAlignment="1">
      <alignment horizontal="center"/>
    </xf>
    <xf numFmtId="0" fontId="9" fillId="0" borderId="1" xfId="30" applyBorder="1"/>
    <xf numFmtId="0" fontId="9" fillId="0" borderId="2" xfId="30" applyBorder="1"/>
    <xf numFmtId="0" fontId="9" fillId="0" borderId="3" xfId="30" applyBorder="1"/>
    <xf numFmtId="0" fontId="9" fillId="6" borderId="42" xfId="30" applyFill="1" applyBorder="1" applyAlignment="1">
      <alignment horizontal="center"/>
    </xf>
    <xf numFmtId="0" fontId="9" fillId="0" borderId="5" xfId="30" applyBorder="1"/>
    <xf numFmtId="0" fontId="8" fillId="0" borderId="0" xfId="32"/>
    <xf numFmtId="0" fontId="41" fillId="0" borderId="79" xfId="32" applyFont="1" applyBorder="1"/>
    <xf numFmtId="0" fontId="42" fillId="0" borderId="78" xfId="32" applyFont="1" applyBorder="1"/>
    <xf numFmtId="0" fontId="8" fillId="0" borderId="78" xfId="32" applyBorder="1"/>
    <xf numFmtId="0" fontId="8" fillId="0" borderId="78" xfId="32" applyBorder="1" applyAlignment="1">
      <alignment horizontal="right"/>
    </xf>
    <xf numFmtId="14" fontId="8" fillId="0" borderId="77" xfId="32" applyNumberFormat="1" applyBorder="1"/>
    <xf numFmtId="0" fontId="8" fillId="0" borderId="65" xfId="32" applyBorder="1"/>
    <xf numFmtId="0" fontId="8" fillId="0" borderId="0" xfId="32" applyBorder="1"/>
    <xf numFmtId="0" fontId="8" fillId="0" borderId="0" xfId="32" applyBorder="1" applyAlignment="1">
      <alignment horizontal="right"/>
    </xf>
    <xf numFmtId="0" fontId="8" fillId="0" borderId="64" xfId="32" applyBorder="1" applyAlignment="1">
      <alignment horizontal="right"/>
    </xf>
    <xf numFmtId="0" fontId="8" fillId="0" borderId="76" xfId="32" applyBorder="1"/>
    <xf numFmtId="0" fontId="8" fillId="0" borderId="4" xfId="32" applyBorder="1"/>
    <xf numFmtId="0" fontId="8" fillId="0" borderId="4" xfId="32" applyBorder="1" applyAlignment="1">
      <alignment horizontal="right"/>
    </xf>
    <xf numFmtId="0" fontId="8" fillId="0" borderId="75" xfId="32" applyBorder="1" applyAlignment="1">
      <alignment horizontal="right"/>
    </xf>
    <xf numFmtId="0" fontId="41" fillId="0" borderId="71" xfId="32" applyFont="1" applyBorder="1"/>
    <xf numFmtId="0" fontId="8" fillId="0" borderId="70" xfId="32" applyBorder="1"/>
    <xf numFmtId="0" fontId="40" fillId="0" borderId="70" xfId="32" applyFont="1" applyBorder="1" applyAlignment="1">
      <alignment horizontal="center"/>
    </xf>
    <xf numFmtId="0" fontId="43" fillId="0" borderId="70" xfId="32" applyFont="1" applyBorder="1" applyAlignment="1">
      <alignment horizontal="center"/>
    </xf>
    <xf numFmtId="0" fontId="40" fillId="0" borderId="70" xfId="32" applyFont="1" applyFill="1" applyBorder="1" applyAlignment="1">
      <alignment horizontal="center"/>
    </xf>
    <xf numFmtId="0" fontId="8" fillId="0" borderId="69" xfId="32" applyBorder="1"/>
    <xf numFmtId="0" fontId="44" fillId="0" borderId="65" xfId="32" applyFont="1" applyBorder="1"/>
    <xf numFmtId="0" fontId="40" fillId="0" borderId="0" xfId="32" applyFont="1" applyBorder="1" applyAlignment="1">
      <alignment horizontal="center"/>
    </xf>
    <xf numFmtId="0" fontId="43" fillId="0" borderId="0" xfId="32" applyFont="1" applyBorder="1" applyAlignment="1">
      <alignment horizontal="center"/>
    </xf>
    <xf numFmtId="0" fontId="40" fillId="0" borderId="0" xfId="32" applyFont="1" applyFill="1" applyBorder="1" applyAlignment="1">
      <alignment horizontal="center"/>
    </xf>
    <xf numFmtId="0" fontId="40" fillId="0" borderId="64" xfId="32" applyFont="1" applyBorder="1" applyAlignment="1">
      <alignment horizontal="center"/>
    </xf>
    <xf numFmtId="49" fontId="44" fillId="0" borderId="65" xfId="32" applyNumberFormat="1" applyFont="1" applyBorder="1"/>
    <xf numFmtId="0" fontId="44" fillId="0" borderId="0" xfId="32" applyFont="1" applyBorder="1"/>
    <xf numFmtId="49" fontId="8" fillId="0" borderId="0" xfId="32" applyNumberFormat="1" applyBorder="1" applyAlignment="1">
      <alignment horizontal="center"/>
    </xf>
    <xf numFmtId="0" fontId="8" fillId="0" borderId="64" xfId="32" applyBorder="1"/>
    <xf numFmtId="49" fontId="40" fillId="0" borderId="0" xfId="32" applyNumberFormat="1" applyFont="1" applyBorder="1" applyAlignment="1">
      <alignment horizontal="right"/>
    </xf>
    <xf numFmtId="42" fontId="40" fillId="0" borderId="64" xfId="32" applyNumberFormat="1" applyFont="1" applyBorder="1"/>
    <xf numFmtId="0" fontId="40" fillId="0" borderId="65" xfId="32" applyFont="1" applyBorder="1"/>
    <xf numFmtId="0" fontId="40" fillId="0" borderId="0" xfId="32" applyFont="1" applyBorder="1"/>
    <xf numFmtId="0" fontId="8" fillId="0" borderId="0" xfId="32" applyFont="1" applyBorder="1"/>
    <xf numFmtId="0" fontId="8" fillId="6" borderId="20" xfId="32" applyFill="1" applyBorder="1" applyAlignment="1">
      <alignment horizontal="center"/>
    </xf>
    <xf numFmtId="0" fontId="8" fillId="0" borderId="0" xfId="32" applyBorder="1" applyAlignment="1">
      <alignment horizontal="center"/>
    </xf>
    <xf numFmtId="42" fontId="8" fillId="0" borderId="0" xfId="32" applyNumberFormat="1" applyBorder="1"/>
    <xf numFmtId="44" fontId="8" fillId="0" borderId="0" xfId="32" applyNumberFormat="1" applyBorder="1" applyAlignment="1">
      <alignment horizontal="right"/>
    </xf>
    <xf numFmtId="44" fontId="8" fillId="0" borderId="64" xfId="32" applyNumberFormat="1" applyBorder="1"/>
    <xf numFmtId="0" fontId="40" fillId="0" borderId="65" xfId="32" applyFont="1" applyFill="1" applyBorder="1"/>
    <xf numFmtId="0" fontId="40" fillId="0" borderId="0" xfId="32" applyFont="1" applyFill="1" applyBorder="1"/>
    <xf numFmtId="0" fontId="8" fillId="0" borderId="0" xfId="32" applyFont="1" applyFill="1" applyBorder="1"/>
    <xf numFmtId="0" fontId="8" fillId="0" borderId="0" xfId="32" applyFill="1" applyBorder="1" applyAlignment="1">
      <alignment horizontal="center"/>
    </xf>
    <xf numFmtId="44" fontId="8" fillId="0" borderId="0" xfId="32" applyNumberFormat="1" applyFill="1" applyBorder="1"/>
    <xf numFmtId="42" fontId="8" fillId="0" borderId="0" xfId="32" applyNumberFormat="1" applyFill="1" applyBorder="1"/>
    <xf numFmtId="44" fontId="40" fillId="0" borderId="0" xfId="32" applyNumberFormat="1" applyFont="1" applyBorder="1" applyAlignment="1">
      <alignment horizontal="right"/>
    </xf>
    <xf numFmtId="0" fontId="44" fillId="0" borderId="0" xfId="32" applyFont="1" applyFill="1" applyBorder="1"/>
    <xf numFmtId="42" fontId="8" fillId="0" borderId="64" xfId="32" applyNumberFormat="1" applyBorder="1"/>
    <xf numFmtId="0" fontId="43" fillId="0" borderId="65" xfId="32" applyFont="1" applyFill="1" applyBorder="1"/>
    <xf numFmtId="0" fontId="43" fillId="0" borderId="0" xfId="32" applyFont="1" applyFill="1" applyBorder="1"/>
    <xf numFmtId="0" fontId="45" fillId="0" borderId="0" xfId="32" applyFont="1" applyFill="1" applyBorder="1"/>
    <xf numFmtId="0" fontId="45" fillId="0" borderId="0" xfId="32" applyFont="1" applyFill="1" applyBorder="1" applyAlignment="1">
      <alignment horizontal="center"/>
    </xf>
    <xf numFmtId="42" fontId="45" fillId="0" borderId="0" xfId="32" applyNumberFormat="1" applyFont="1" applyFill="1" applyBorder="1"/>
    <xf numFmtId="1" fontId="8" fillId="6" borderId="20" xfId="32" applyNumberFormat="1" applyFill="1" applyBorder="1" applyAlignment="1">
      <alignment horizontal="center"/>
    </xf>
    <xf numFmtId="3" fontId="0" fillId="6" borderId="20" xfId="33" applyNumberFormat="1" applyFont="1" applyFill="1" applyBorder="1" applyAlignment="1">
      <alignment horizontal="center"/>
    </xf>
    <xf numFmtId="0" fontId="8" fillId="0" borderId="65" xfId="32" applyFont="1" applyFill="1" applyBorder="1"/>
    <xf numFmtId="0" fontId="8" fillId="0" borderId="0" xfId="32" applyFont="1" applyFill="1" applyBorder="1" applyAlignment="1">
      <alignment horizontal="center"/>
    </xf>
    <xf numFmtId="42" fontId="8" fillId="0" borderId="0" xfId="32" applyNumberFormat="1" applyFont="1" applyFill="1" applyBorder="1"/>
    <xf numFmtId="0" fontId="8" fillId="0" borderId="65" xfId="32" applyFont="1" applyBorder="1"/>
    <xf numFmtId="0" fontId="8" fillId="6" borderId="20" xfId="32" applyFont="1" applyFill="1" applyBorder="1" applyAlignment="1">
      <alignment horizontal="center"/>
    </xf>
    <xf numFmtId="0" fontId="8" fillId="0" borderId="0" xfId="32" applyFont="1" applyBorder="1" applyAlignment="1">
      <alignment horizontal="center"/>
    </xf>
    <xf numFmtId="44" fontId="8" fillId="6" borderId="20" xfId="32" applyNumberFormat="1" applyFont="1" applyFill="1" applyBorder="1"/>
    <xf numFmtId="42" fontId="8" fillId="0" borderId="0" xfId="32" applyNumberFormat="1" applyFont="1" applyBorder="1"/>
    <xf numFmtId="44" fontId="8" fillId="0" borderId="0" xfId="32" applyNumberFormat="1" applyFont="1" applyBorder="1" applyAlignment="1">
      <alignment horizontal="right"/>
    </xf>
    <xf numFmtId="42" fontId="8" fillId="0" borderId="64" xfId="32" applyNumberFormat="1" applyFont="1" applyBorder="1"/>
    <xf numFmtId="10" fontId="8" fillId="6" borderId="20" xfId="32" applyNumberFormat="1" applyFont="1" applyFill="1" applyBorder="1" applyAlignment="1">
      <alignment horizontal="center"/>
    </xf>
    <xf numFmtId="0" fontId="46" fillId="0" borderId="67" xfId="32" applyFont="1" applyBorder="1"/>
    <xf numFmtId="0" fontId="47" fillId="0" borderId="21" xfId="32" applyFont="1" applyBorder="1"/>
    <xf numFmtId="0" fontId="8" fillId="0" borderId="21" xfId="32" applyBorder="1" applyAlignment="1"/>
    <xf numFmtId="42" fontId="8" fillId="0" borderId="21" xfId="32" applyNumberFormat="1" applyBorder="1"/>
    <xf numFmtId="44" fontId="48" fillId="0" borderId="21" xfId="32" applyNumberFormat="1" applyFont="1" applyBorder="1" applyAlignment="1">
      <alignment horizontal="right"/>
    </xf>
    <xf numFmtId="41" fontId="40" fillId="0" borderId="66" xfId="32" applyNumberFormat="1" applyFont="1" applyBorder="1"/>
    <xf numFmtId="0" fontId="47" fillId="0" borderId="65" xfId="32" applyFont="1" applyBorder="1"/>
    <xf numFmtId="0" fontId="47" fillId="0" borderId="0" xfId="32" applyFont="1" applyBorder="1"/>
    <xf numFmtId="44" fontId="8" fillId="0" borderId="0" xfId="32" applyNumberFormat="1" applyBorder="1"/>
    <xf numFmtId="9" fontId="0" fillId="6" borderId="20" xfId="33" applyFont="1" applyFill="1" applyBorder="1" applyAlignment="1">
      <alignment horizontal="center"/>
    </xf>
    <xf numFmtId="42" fontId="8" fillId="0" borderId="0" xfId="32" applyNumberFormat="1"/>
    <xf numFmtId="10" fontId="0" fillId="6" borderId="20" xfId="33" applyNumberFormat="1" applyFont="1" applyFill="1" applyBorder="1" applyAlignment="1">
      <alignment horizontal="center"/>
    </xf>
    <xf numFmtId="0" fontId="44" fillId="0" borderId="21" xfId="32" applyFont="1" applyBorder="1"/>
    <xf numFmtId="42" fontId="40" fillId="0" borderId="21" xfId="32" applyNumberFormat="1" applyFont="1" applyBorder="1"/>
    <xf numFmtId="0" fontId="46" fillId="0" borderId="21" xfId="32" applyFont="1" applyBorder="1"/>
    <xf numFmtId="44" fontId="40" fillId="0" borderId="21" xfId="32" applyNumberFormat="1" applyFont="1" applyBorder="1"/>
    <xf numFmtId="49" fontId="47" fillId="0" borderId="65" xfId="32" applyNumberFormat="1" applyFont="1" applyBorder="1"/>
    <xf numFmtId="9" fontId="0" fillId="0" borderId="0" xfId="33" applyFont="1" applyBorder="1"/>
    <xf numFmtId="44" fontId="8" fillId="0" borderId="64" xfId="32" applyNumberFormat="1" applyBorder="1" applyAlignment="1">
      <alignment horizontal="right"/>
    </xf>
    <xf numFmtId="3" fontId="8" fillId="6" borderId="20" xfId="32" applyNumberFormat="1" applyFont="1" applyFill="1" applyBorder="1" applyAlignment="1">
      <alignment horizontal="center"/>
    </xf>
    <xf numFmtId="0" fontId="40" fillId="0" borderId="21" xfId="32" applyFont="1" applyBorder="1"/>
    <xf numFmtId="0" fontId="40" fillId="0" borderId="21" xfId="32" applyFont="1" applyBorder="1" applyAlignment="1">
      <alignment horizontal="center"/>
    </xf>
    <xf numFmtId="44" fontId="8" fillId="0" borderId="0" xfId="32" applyNumberFormat="1" applyBorder="1" applyAlignment="1">
      <alignment horizontal="center"/>
    </xf>
    <xf numFmtId="9" fontId="0" fillId="6" borderId="20" xfId="33" applyFont="1" applyFill="1" applyBorder="1"/>
    <xf numFmtId="0" fontId="48" fillId="0" borderId="21" xfId="32" applyFont="1" applyBorder="1"/>
    <xf numFmtId="0" fontId="49" fillId="0" borderId="21" xfId="32" applyFont="1" applyBorder="1"/>
    <xf numFmtId="44" fontId="49" fillId="0" borderId="21" xfId="32" applyNumberFormat="1" applyFont="1" applyBorder="1"/>
    <xf numFmtId="41" fontId="49" fillId="0" borderId="66" xfId="32" applyNumberFormat="1" applyFont="1" applyBorder="1"/>
    <xf numFmtId="0" fontId="50" fillId="0" borderId="63" xfId="32" applyFont="1" applyBorder="1"/>
    <xf numFmtId="0" fontId="51" fillId="0" borderId="62" xfId="32" applyFont="1" applyBorder="1"/>
    <xf numFmtId="0" fontId="50" fillId="0" borderId="62" xfId="32" applyFont="1" applyBorder="1"/>
    <xf numFmtId="44" fontId="51" fillId="0" borderId="62" xfId="32" applyNumberFormat="1" applyFont="1" applyBorder="1"/>
    <xf numFmtId="44" fontId="52" fillId="0" borderId="62" xfId="32" applyNumberFormat="1" applyFont="1" applyBorder="1"/>
    <xf numFmtId="44" fontId="48" fillId="0" borderId="62" xfId="32" applyNumberFormat="1" applyFont="1" applyBorder="1" applyAlignment="1">
      <alignment horizontal="right"/>
    </xf>
    <xf numFmtId="41" fontId="50" fillId="0" borderId="61" xfId="32" applyNumberFormat="1" applyFont="1" applyBorder="1"/>
    <xf numFmtId="0" fontId="41" fillId="0" borderId="78" xfId="32" applyFont="1" applyBorder="1"/>
    <xf numFmtId="0" fontId="44" fillId="0" borderId="85" xfId="32" applyFont="1" applyBorder="1"/>
    <xf numFmtId="0" fontId="44" fillId="0" borderId="7" xfId="32" applyFont="1" applyBorder="1"/>
    <xf numFmtId="0" fontId="8" fillId="0" borderId="7" xfId="32" applyBorder="1"/>
    <xf numFmtId="0" fontId="40" fillId="0" borderId="7" xfId="32" applyFont="1" applyBorder="1" applyAlignment="1">
      <alignment horizontal="center"/>
    </xf>
    <xf numFmtId="0" fontId="43" fillId="0" borderId="7" xfId="32" applyFont="1" applyBorder="1" applyAlignment="1">
      <alignment horizontal="center"/>
    </xf>
    <xf numFmtId="0" fontId="40" fillId="0" borderId="7" xfId="32" applyFont="1" applyFill="1" applyBorder="1" applyAlignment="1">
      <alignment horizontal="center"/>
    </xf>
    <xf numFmtId="0" fontId="40" fillId="0" borderId="84" xfId="32" applyFont="1" applyBorder="1" applyAlignment="1">
      <alignment horizontal="center"/>
    </xf>
    <xf numFmtId="49" fontId="8" fillId="0" borderId="65" xfId="32" applyNumberFormat="1" applyBorder="1"/>
    <xf numFmtId="42" fontId="8" fillId="0" borderId="0" xfId="32" applyNumberFormat="1" applyBorder="1" applyAlignment="1">
      <alignment horizontal="right"/>
    </xf>
    <xf numFmtId="44" fontId="8" fillId="0" borderId="0" xfId="32" applyNumberFormat="1" applyBorder="1" applyAlignment="1"/>
    <xf numFmtId="0" fontId="8" fillId="0" borderId="0" xfId="32" applyFill="1" applyBorder="1"/>
    <xf numFmtId="2" fontId="8" fillId="6" borderId="20" xfId="32" applyNumberFormat="1" applyFill="1" applyBorder="1" applyAlignment="1">
      <alignment horizontal="center"/>
    </xf>
    <xf numFmtId="2" fontId="8" fillId="0" borderId="0" xfId="32" applyNumberFormat="1" applyFill="1" applyBorder="1" applyAlignment="1">
      <alignment horizontal="center"/>
    </xf>
    <xf numFmtId="3" fontId="8" fillId="6" borderId="20" xfId="32" applyNumberFormat="1" applyFill="1" applyBorder="1" applyAlignment="1">
      <alignment horizontal="center"/>
    </xf>
    <xf numFmtId="49" fontId="8" fillId="0" borderId="0" xfId="32" applyNumberFormat="1" applyBorder="1"/>
    <xf numFmtId="37" fontId="8" fillId="0" borderId="0" xfId="32" applyNumberFormat="1" applyBorder="1"/>
    <xf numFmtId="9" fontId="0" fillId="0" borderId="0" xfId="33" applyFont="1" applyFill="1" applyBorder="1" applyAlignment="1">
      <alignment horizontal="center"/>
    </xf>
    <xf numFmtId="0" fontId="8" fillId="0" borderId="65" xfId="32" applyBorder="1" applyAlignment="1">
      <alignment horizontal="left"/>
    </xf>
    <xf numFmtId="49" fontId="49" fillId="0" borderId="0" xfId="32" applyNumberFormat="1" applyFont="1" applyBorder="1"/>
    <xf numFmtId="168" fontId="8" fillId="0" borderId="0" xfId="32" applyNumberFormat="1" applyFill="1" applyBorder="1"/>
    <xf numFmtId="42" fontId="53" fillId="0" borderId="0" xfId="32" applyNumberFormat="1" applyFont="1" applyBorder="1"/>
    <xf numFmtId="49" fontId="49" fillId="0" borderId="67" xfId="32" applyNumberFormat="1" applyFont="1" applyBorder="1"/>
    <xf numFmtId="49" fontId="49" fillId="0" borderId="21" xfId="32" applyNumberFormat="1" applyFont="1" applyBorder="1"/>
    <xf numFmtId="0" fontId="8" fillId="0" borderId="21" xfId="32" applyBorder="1" applyAlignment="1">
      <alignment horizontal="left"/>
    </xf>
    <xf numFmtId="168" fontId="8" fillId="0" borderId="21" xfId="32" applyNumberFormat="1" applyBorder="1" applyAlignment="1">
      <alignment horizontal="center"/>
    </xf>
    <xf numFmtId="44" fontId="8" fillId="0" borderId="21" xfId="32" applyNumberFormat="1" applyBorder="1" applyAlignment="1">
      <alignment horizontal="right"/>
    </xf>
    <xf numFmtId="42" fontId="8" fillId="0" borderId="21" xfId="32" applyNumberFormat="1" applyBorder="1" applyAlignment="1">
      <alignment horizontal="right"/>
    </xf>
    <xf numFmtId="42" fontId="53" fillId="0" borderId="21" xfId="32" applyNumberFormat="1" applyFont="1" applyBorder="1"/>
    <xf numFmtId="42" fontId="49" fillId="0" borderId="21" xfId="32" applyNumberFormat="1" applyFont="1" applyBorder="1" applyAlignment="1">
      <alignment horizontal="right"/>
    </xf>
    <xf numFmtId="42" fontId="8" fillId="0" borderId="66" xfId="32" applyNumberFormat="1" applyBorder="1"/>
    <xf numFmtId="42" fontId="49" fillId="0" borderId="0" xfId="32" applyNumberFormat="1" applyFont="1" applyBorder="1" applyAlignment="1">
      <alignment horizontal="right"/>
    </xf>
    <xf numFmtId="0" fontId="44" fillId="0" borderId="65" xfId="32" applyFont="1" applyBorder="1" applyAlignment="1">
      <alignment horizontal="left"/>
    </xf>
    <xf numFmtId="0" fontId="8" fillId="0" borderId="64" xfId="32" applyFill="1" applyBorder="1" applyAlignment="1">
      <alignment horizontal="center"/>
    </xf>
    <xf numFmtId="0" fontId="54" fillId="0" borderId="0" xfId="32" applyFont="1"/>
    <xf numFmtId="42" fontId="49" fillId="0" borderId="0" xfId="32" applyNumberFormat="1" applyFont="1" applyBorder="1"/>
    <xf numFmtId="42" fontId="43" fillId="0" borderId="0" xfId="32" applyNumberFormat="1" applyFont="1" applyBorder="1" applyAlignment="1">
      <alignment horizontal="right"/>
    </xf>
    <xf numFmtId="0" fontId="53" fillId="0" borderId="21" xfId="32" applyFont="1" applyBorder="1"/>
    <xf numFmtId="0" fontId="53" fillId="0" borderId="21" xfId="32" applyFont="1" applyBorder="1" applyAlignment="1">
      <alignment horizontal="center"/>
    </xf>
    <xf numFmtId="42" fontId="8" fillId="0" borderId="21" xfId="32" applyNumberFormat="1" applyFill="1" applyBorder="1"/>
    <xf numFmtId="49" fontId="40" fillId="0" borderId="65" xfId="32" applyNumberFormat="1" applyFont="1" applyBorder="1"/>
    <xf numFmtId="49" fontId="40" fillId="0" borderId="0" xfId="32" applyNumberFormat="1" applyFont="1" applyBorder="1"/>
    <xf numFmtId="49" fontId="55" fillId="0" borderId="67" xfId="32" applyNumberFormat="1" applyFont="1" applyBorder="1"/>
    <xf numFmtId="49" fontId="55" fillId="0" borderId="21" xfId="32" applyNumberFormat="1" applyFont="1" applyBorder="1"/>
    <xf numFmtId="0" fontId="8" fillId="0" borderId="21" xfId="32" applyBorder="1"/>
    <xf numFmtId="0" fontId="8" fillId="0" borderId="21" xfId="32" applyBorder="1" applyAlignment="1">
      <alignment horizontal="center"/>
    </xf>
    <xf numFmtId="42" fontId="49" fillId="0" borderId="21" xfId="32" applyNumberFormat="1" applyFont="1" applyBorder="1"/>
    <xf numFmtId="49" fontId="8" fillId="0" borderId="0" xfId="32" applyNumberFormat="1" applyBorder="1" applyAlignment="1">
      <alignment horizontal="right"/>
    </xf>
    <xf numFmtId="0" fontId="8" fillId="6" borderId="80" xfId="32" applyFill="1" applyBorder="1" applyAlignment="1">
      <alignment horizontal="center"/>
    </xf>
    <xf numFmtId="0" fontId="44" fillId="0" borderId="63" xfId="32" applyFont="1" applyBorder="1"/>
    <xf numFmtId="0" fontId="44" fillId="0" borderId="62" xfId="32" applyFont="1" applyBorder="1"/>
    <xf numFmtId="0" fontId="8" fillId="0" borderId="62" xfId="32" applyBorder="1"/>
    <xf numFmtId="0" fontId="48" fillId="0" borderId="62" xfId="32" applyFont="1" applyBorder="1"/>
    <xf numFmtId="49" fontId="49" fillId="0" borderId="62" xfId="32" applyNumberFormat="1" applyFont="1" applyBorder="1" applyAlignment="1">
      <alignment horizontal="right"/>
    </xf>
    <xf numFmtId="42" fontId="8" fillId="0" borderId="61" xfId="32" applyNumberFormat="1" applyBorder="1"/>
    <xf numFmtId="0" fontId="40" fillId="0" borderId="6" xfId="32" applyFont="1" applyBorder="1" applyAlignment="1">
      <alignment horizontal="left"/>
    </xf>
    <xf numFmtId="0" fontId="40" fillId="0" borderId="8" xfId="32" applyFont="1" applyBorder="1" applyAlignment="1">
      <alignment horizontal="center"/>
    </xf>
    <xf numFmtId="0" fontId="40" fillId="0" borderId="0" xfId="32" applyFont="1" applyAlignment="1">
      <alignment horizontal="center"/>
    </xf>
    <xf numFmtId="0" fontId="8" fillId="0" borderId="1" xfId="32" applyBorder="1"/>
    <xf numFmtId="0" fontId="8" fillId="0" borderId="2" xfId="32" applyBorder="1"/>
    <xf numFmtId="0" fontId="8" fillId="0" borderId="3" xfId="32" applyBorder="1"/>
    <xf numFmtId="0" fontId="8" fillId="6" borderId="42" xfId="32" applyFill="1" applyBorder="1" applyAlignment="1">
      <alignment horizontal="center"/>
    </xf>
    <xf numFmtId="0" fontId="8" fillId="0" borderId="5" xfId="32" applyBorder="1"/>
    <xf numFmtId="2" fontId="8" fillId="0" borderId="20" xfId="32" applyNumberFormat="1" applyFill="1" applyBorder="1" applyAlignment="1">
      <alignment horizontal="center"/>
    </xf>
    <xf numFmtId="0" fontId="8" fillId="0" borderId="20" xfId="32" applyFill="1" applyBorder="1" applyAlignment="1">
      <alignment horizontal="center"/>
    </xf>
    <xf numFmtId="0" fontId="7" fillId="0" borderId="0" xfId="34"/>
    <xf numFmtId="0" fontId="41" fillId="0" borderId="79" xfId="34" applyFont="1" applyBorder="1"/>
    <xf numFmtId="0" fontId="42" fillId="0" borderId="78" xfId="34" applyFont="1" applyBorder="1"/>
    <xf numFmtId="0" fontId="7" fillId="0" borderId="78" xfId="34" applyBorder="1"/>
    <xf numFmtId="0" fontId="7" fillId="0" borderId="78" xfId="34" applyBorder="1" applyAlignment="1">
      <alignment horizontal="right"/>
    </xf>
    <xf numFmtId="14" fontId="7" fillId="0" borderId="77" xfId="34" applyNumberFormat="1" applyBorder="1"/>
    <xf numFmtId="0" fontId="7" fillId="0" borderId="65" xfId="34" applyBorder="1"/>
    <xf numFmtId="0" fontId="7" fillId="0" borderId="0" xfId="34" applyBorder="1"/>
    <xf numFmtId="0" fontId="7" fillId="0" borderId="0" xfId="34" applyBorder="1" applyAlignment="1">
      <alignment horizontal="right"/>
    </xf>
    <xf numFmtId="0" fontId="7" fillId="0" borderId="64" xfId="34" applyBorder="1" applyAlignment="1">
      <alignment horizontal="right"/>
    </xf>
    <xf numFmtId="0" fontId="7" fillId="0" borderId="76" xfId="34" applyBorder="1"/>
    <xf numFmtId="0" fontId="7" fillId="0" borderId="4" xfId="34" applyBorder="1"/>
    <xf numFmtId="0" fontId="7" fillId="0" borderId="4" xfId="34" applyBorder="1" applyAlignment="1">
      <alignment horizontal="right"/>
    </xf>
    <xf numFmtId="0" fontId="7" fillId="0" borderId="75" xfId="34" applyBorder="1" applyAlignment="1">
      <alignment horizontal="right"/>
    </xf>
    <xf numFmtId="0" fontId="41" fillId="0" borderId="71" xfId="34" applyFont="1" applyBorder="1"/>
    <xf numFmtId="0" fontId="7" fillId="0" borderId="70" xfId="34" applyBorder="1"/>
    <xf numFmtId="0" fontId="40" fillId="0" borderId="70" xfId="34" applyFont="1" applyBorder="1" applyAlignment="1">
      <alignment horizontal="center"/>
    </xf>
    <xf numFmtId="0" fontId="43" fillId="0" borderId="70" xfId="34" applyFont="1" applyBorder="1" applyAlignment="1">
      <alignment horizontal="center"/>
    </xf>
    <xf numFmtId="0" fontId="40" fillId="0" borderId="70" xfId="34" applyFont="1" applyFill="1" applyBorder="1" applyAlignment="1">
      <alignment horizontal="center"/>
    </xf>
    <xf numFmtId="0" fontId="7" fillId="0" borderId="69" xfId="34" applyBorder="1"/>
    <xf numFmtId="0" fontId="44" fillId="0" borderId="65" xfId="34" applyFont="1" applyBorder="1"/>
    <xf numFmtId="0" fontId="40" fillId="0" borderId="0" xfId="34" applyFont="1" applyBorder="1" applyAlignment="1">
      <alignment horizontal="center"/>
    </xf>
    <xf numFmtId="0" fontId="43" fillId="0" borderId="0" xfId="34" applyFont="1" applyBorder="1" applyAlignment="1">
      <alignment horizontal="center"/>
    </xf>
    <xf numFmtId="0" fontId="40" fillId="0" borderId="0" xfId="34" applyFont="1" applyFill="1" applyBorder="1" applyAlignment="1">
      <alignment horizontal="center"/>
    </xf>
    <xf numFmtId="0" fontId="40" fillId="0" borderId="64" xfId="34" applyFont="1" applyBorder="1" applyAlignment="1">
      <alignment horizontal="center"/>
    </xf>
    <xf numFmtId="49" fontId="44" fillId="0" borderId="65" xfId="34" applyNumberFormat="1" applyFont="1" applyBorder="1"/>
    <xf numFmtId="0" fontId="44" fillId="0" borderId="0" xfId="34" applyFont="1" applyBorder="1"/>
    <xf numFmtId="49" fontId="7" fillId="0" borderId="0" xfId="34" applyNumberFormat="1" applyBorder="1" applyAlignment="1">
      <alignment horizontal="center"/>
    </xf>
    <xf numFmtId="0" fontId="7" fillId="0" borderId="64" xfId="34" applyBorder="1"/>
    <xf numFmtId="49" fontId="40" fillId="0" borderId="0" xfId="34" applyNumberFormat="1" applyFont="1" applyBorder="1" applyAlignment="1">
      <alignment horizontal="right"/>
    </xf>
    <xf numFmtId="42" fontId="40" fillId="0" borderId="64" xfId="34" applyNumberFormat="1" applyFont="1" applyBorder="1"/>
    <xf numFmtId="0" fontId="40" fillId="0" borderId="65" xfId="34" applyFont="1" applyBorder="1"/>
    <xf numFmtId="0" fontId="40" fillId="0" borderId="0" xfId="34" applyFont="1" applyBorder="1"/>
    <xf numFmtId="0" fontId="7" fillId="0" borderId="0" xfId="34" applyFont="1" applyBorder="1"/>
    <xf numFmtId="0" fontId="7" fillId="6" borderId="20" xfId="34" applyFill="1" applyBorder="1" applyAlignment="1">
      <alignment horizontal="center"/>
    </xf>
    <xf numFmtId="0" fontId="7" fillId="0" borderId="0" xfId="34" applyBorder="1" applyAlignment="1">
      <alignment horizontal="center"/>
    </xf>
    <xf numFmtId="42" fontId="7" fillId="0" borderId="0" xfId="34" applyNumberFormat="1" applyBorder="1"/>
    <xf numFmtId="44" fontId="7" fillId="0" borderId="0" xfId="34" applyNumberFormat="1" applyBorder="1" applyAlignment="1">
      <alignment horizontal="right"/>
    </xf>
    <xf numFmtId="44" fontId="7" fillId="0" borderId="64" xfId="34" applyNumberFormat="1" applyBorder="1"/>
    <xf numFmtId="0" fontId="40" fillId="0" borderId="65" xfId="34" applyFont="1" applyFill="1" applyBorder="1"/>
    <xf numFmtId="0" fontId="40" fillId="0" borderId="0" xfId="34" applyFont="1" applyFill="1" applyBorder="1"/>
    <xf numFmtId="0" fontId="7" fillId="0" borderId="0" xfId="34" applyFont="1" applyFill="1" applyBorder="1"/>
    <xf numFmtId="0" fontId="7" fillId="0" borderId="0" xfId="34" applyFill="1" applyBorder="1" applyAlignment="1">
      <alignment horizontal="center"/>
    </xf>
    <xf numFmtId="44" fontId="7" fillId="0" borderId="0" xfId="34" applyNumberFormat="1" applyFill="1" applyBorder="1"/>
    <xf numFmtId="42" fontId="7" fillId="0" borderId="0" xfId="34" applyNumberFormat="1" applyFill="1" applyBorder="1"/>
    <xf numFmtId="44" fontId="40" fillId="0" borderId="0" xfId="34" applyNumberFormat="1" applyFont="1" applyBorder="1" applyAlignment="1">
      <alignment horizontal="right"/>
    </xf>
    <xf numFmtId="0" fontId="44" fillId="0" borderId="0" xfId="34" applyFont="1" applyFill="1" applyBorder="1"/>
    <xf numFmtId="42" fontId="7" fillId="0" borderId="64" xfId="34" applyNumberFormat="1" applyBorder="1"/>
    <xf numFmtId="0" fontId="43" fillId="0" borderId="65" xfId="34" applyFont="1" applyFill="1" applyBorder="1"/>
    <xf numFmtId="0" fontId="43" fillId="0" borderId="0" xfId="34" applyFont="1" applyFill="1" applyBorder="1"/>
    <xf numFmtId="0" fontId="45" fillId="0" borderId="0" xfId="34" applyFont="1" applyFill="1" applyBorder="1"/>
    <xf numFmtId="0" fontId="45" fillId="0" borderId="0" xfId="34" applyFont="1" applyFill="1" applyBorder="1" applyAlignment="1">
      <alignment horizontal="center"/>
    </xf>
    <xf numFmtId="42" fontId="45" fillId="0" borderId="0" xfId="34" applyNumberFormat="1" applyFont="1" applyFill="1" applyBorder="1"/>
    <xf numFmtId="10" fontId="7" fillId="6" borderId="20" xfId="34" applyNumberFormat="1" applyFill="1" applyBorder="1" applyAlignment="1">
      <alignment horizontal="center"/>
    </xf>
    <xf numFmtId="1" fontId="0" fillId="6" borderId="20" xfId="35" applyNumberFormat="1" applyFont="1" applyFill="1" applyBorder="1" applyAlignment="1">
      <alignment horizontal="center"/>
    </xf>
    <xf numFmtId="0" fontId="7" fillId="0" borderId="65" xfId="34" applyFont="1" applyFill="1" applyBorder="1"/>
    <xf numFmtId="0" fontId="7" fillId="0" borderId="0" xfId="34" applyFont="1" applyFill="1" applyBorder="1" applyAlignment="1">
      <alignment horizontal="center"/>
    </xf>
    <xf numFmtId="42" fontId="7" fillId="0" borderId="0" xfId="34" applyNumberFormat="1" applyFont="1" applyFill="1" applyBorder="1"/>
    <xf numFmtId="0" fontId="7" fillId="0" borderId="65" xfId="34" applyFont="1" applyBorder="1"/>
    <xf numFmtId="0" fontId="7" fillId="6" borderId="20" xfId="34" applyFont="1" applyFill="1" applyBorder="1" applyAlignment="1">
      <alignment horizontal="center"/>
    </xf>
    <xf numFmtId="0" fontId="7" fillId="0" borderId="0" xfId="34" applyFont="1" applyBorder="1" applyAlignment="1">
      <alignment horizontal="center"/>
    </xf>
    <xf numFmtId="44" fontId="7" fillId="6" borderId="20" xfId="34" applyNumberFormat="1" applyFont="1" applyFill="1" applyBorder="1"/>
    <xf numFmtId="42" fontId="7" fillId="0" borderId="0" xfId="34" applyNumberFormat="1" applyFont="1" applyBorder="1"/>
    <xf numFmtId="44" fontId="7" fillId="0" borderId="0" xfId="34" applyNumberFormat="1" applyFont="1" applyBorder="1" applyAlignment="1">
      <alignment horizontal="right"/>
    </xf>
    <xf numFmtId="42" fontId="7" fillId="0" borderId="64" xfId="34" applyNumberFormat="1" applyFont="1" applyBorder="1"/>
    <xf numFmtId="10" fontId="7" fillId="6" borderId="20" xfId="34" applyNumberFormat="1" applyFont="1" applyFill="1" applyBorder="1" applyAlignment="1">
      <alignment horizontal="center"/>
    </xf>
    <xf numFmtId="0" fontId="46" fillId="0" borderId="67" xfId="34" applyFont="1" applyBorder="1"/>
    <xf numFmtId="0" fontId="47" fillId="0" borderId="21" xfId="34" applyFont="1" applyBorder="1"/>
    <xf numFmtId="0" fontId="7" fillId="0" borderId="21" xfId="34" applyBorder="1" applyAlignment="1"/>
    <xf numFmtId="42" fontId="7" fillId="0" borderId="21" xfId="34" applyNumberFormat="1" applyBorder="1"/>
    <xf numFmtId="44" fontId="48" fillId="0" borderId="21" xfId="34" applyNumberFormat="1" applyFont="1" applyBorder="1" applyAlignment="1">
      <alignment horizontal="right"/>
    </xf>
    <xf numFmtId="41" fontId="40" fillId="0" borderId="66" xfId="34" applyNumberFormat="1" applyFont="1" applyBorder="1"/>
    <xf numFmtId="0" fontId="47" fillId="0" borderId="65" xfId="34" applyFont="1" applyBorder="1"/>
    <xf numFmtId="0" fontId="47" fillId="0" borderId="0" xfId="34" applyFont="1" applyBorder="1"/>
    <xf numFmtId="44" fontId="7" fillId="0" borderId="0" xfId="34" applyNumberFormat="1" applyBorder="1"/>
    <xf numFmtId="9" fontId="0" fillId="6" borderId="20" xfId="35" applyFont="1" applyFill="1" applyBorder="1" applyAlignment="1">
      <alignment horizontal="center"/>
    </xf>
    <xf numFmtId="42" fontId="7" fillId="0" borderId="0" xfId="34" applyNumberFormat="1"/>
    <xf numFmtId="10" fontId="0" fillId="6" borderId="20" xfId="35" applyNumberFormat="1" applyFont="1" applyFill="1" applyBorder="1" applyAlignment="1">
      <alignment horizontal="center"/>
    </xf>
    <xf numFmtId="0" fontId="44" fillId="0" borderId="21" xfId="34" applyFont="1" applyBorder="1"/>
    <xf numFmtId="42" fontId="40" fillId="0" borderId="21" xfId="34" applyNumberFormat="1" applyFont="1" applyBorder="1"/>
    <xf numFmtId="0" fontId="46" fillId="0" borderId="21" xfId="34" applyFont="1" applyBorder="1"/>
    <xf numFmtId="44" fontId="40" fillId="0" borderId="21" xfId="34" applyNumberFormat="1" applyFont="1" applyBorder="1"/>
    <xf numFmtId="49" fontId="47" fillId="0" borderId="65" xfId="34" applyNumberFormat="1" applyFont="1" applyBorder="1"/>
    <xf numFmtId="9" fontId="0" fillId="0" borderId="0" xfId="35" applyFont="1" applyBorder="1"/>
    <xf numFmtId="44" fontId="7" fillId="0" borderId="64" xfId="34" applyNumberFormat="1" applyBorder="1" applyAlignment="1">
      <alignment horizontal="right"/>
    </xf>
    <xf numFmtId="0" fontId="40" fillId="0" borderId="21" xfId="34" applyFont="1" applyBorder="1"/>
    <xf numFmtId="0" fontId="40" fillId="0" borderId="21" xfId="34" applyFont="1" applyBorder="1" applyAlignment="1">
      <alignment horizontal="center"/>
    </xf>
    <xf numFmtId="44" fontId="7" fillId="0" borderId="0" xfId="34" applyNumberFormat="1" applyBorder="1" applyAlignment="1">
      <alignment horizontal="center"/>
    </xf>
    <xf numFmtId="9" fontId="0" fillId="6" borderId="20" xfId="35" applyFont="1" applyFill="1" applyBorder="1"/>
    <xf numFmtId="0" fontId="48" fillId="0" borderId="21" xfId="34" applyFont="1" applyBorder="1"/>
    <xf numFmtId="0" fontId="49" fillId="0" borderId="21" xfId="34" applyFont="1" applyBorder="1"/>
    <xf numFmtId="44" fontId="49" fillId="0" borderId="21" xfId="34" applyNumberFormat="1" applyFont="1" applyBorder="1"/>
    <xf numFmtId="41" fontId="49" fillId="0" borderId="66" xfId="34" applyNumberFormat="1" applyFont="1" applyBorder="1"/>
    <xf numFmtId="0" fontId="50" fillId="0" borderId="63" xfId="34" applyFont="1" applyBorder="1"/>
    <xf numFmtId="0" fontId="51" fillId="0" borderId="62" xfId="34" applyFont="1" applyBorder="1"/>
    <xf numFmtId="0" fontId="50" fillId="0" borderId="62" xfId="34" applyFont="1" applyBorder="1"/>
    <xf numFmtId="44" fontId="51" fillId="0" borderId="62" xfId="34" applyNumberFormat="1" applyFont="1" applyBorder="1"/>
    <xf numFmtId="44" fontId="52" fillId="0" borderId="62" xfId="34" applyNumberFormat="1" applyFont="1" applyBorder="1"/>
    <xf numFmtId="44" fontId="48" fillId="0" borderId="62" xfId="34" applyNumberFormat="1" applyFont="1" applyBorder="1" applyAlignment="1">
      <alignment horizontal="right"/>
    </xf>
    <xf numFmtId="41" fontId="50" fillId="0" borderId="61" xfId="34" applyNumberFormat="1" applyFont="1" applyBorder="1"/>
    <xf numFmtId="0" fontId="41" fillId="0" borderId="78" xfId="34" applyFont="1" applyBorder="1"/>
    <xf numFmtId="0" fontId="44" fillId="0" borderId="85" xfId="34" applyFont="1" applyBorder="1"/>
    <xf numFmtId="0" fontId="44" fillId="0" borderId="7" xfId="34" applyFont="1" applyBorder="1"/>
    <xf numFmtId="0" fontId="7" fillId="0" borderId="7" xfId="34" applyBorder="1"/>
    <xf numFmtId="0" fontId="40" fillId="0" borderId="7" xfId="34" applyFont="1" applyBorder="1" applyAlignment="1">
      <alignment horizontal="center"/>
    </xf>
    <xf numFmtId="0" fontId="43" fillId="0" borderId="7" xfId="34" applyFont="1" applyBorder="1" applyAlignment="1">
      <alignment horizontal="center"/>
    </xf>
    <xf numFmtId="0" fontId="40" fillId="0" borderId="7" xfId="34" applyFont="1" applyFill="1" applyBorder="1" applyAlignment="1">
      <alignment horizontal="center"/>
    </xf>
    <xf numFmtId="0" fontId="40" fillId="0" borderId="84" xfId="34" applyFont="1" applyBorder="1" applyAlignment="1">
      <alignment horizontal="center"/>
    </xf>
    <xf numFmtId="49" fontId="7" fillId="0" borderId="65" xfId="34" applyNumberFormat="1" applyBorder="1"/>
    <xf numFmtId="1" fontId="7" fillId="6" borderId="20" xfId="34" applyNumberFormat="1" applyFill="1" applyBorder="1" applyAlignment="1">
      <alignment horizontal="center"/>
    </xf>
    <xf numFmtId="44" fontId="7" fillId="0" borderId="0" xfId="34" applyNumberFormat="1" applyBorder="1" applyAlignment="1"/>
    <xf numFmtId="42" fontId="7" fillId="0" borderId="0" xfId="34" applyNumberFormat="1" applyBorder="1" applyAlignment="1">
      <alignment horizontal="right"/>
    </xf>
    <xf numFmtId="0" fontId="7" fillId="0" borderId="0" xfId="34" applyFill="1" applyBorder="1"/>
    <xf numFmtId="2" fontId="7" fillId="6" borderId="20" xfId="34" applyNumberFormat="1" applyFill="1" applyBorder="1" applyAlignment="1">
      <alignment horizontal="center"/>
    </xf>
    <xf numFmtId="49" fontId="7" fillId="0" borderId="0" xfId="34" applyNumberFormat="1" applyBorder="1"/>
    <xf numFmtId="9" fontId="0" fillId="0" borderId="0" xfId="35" applyFont="1" applyFill="1" applyBorder="1" applyAlignment="1">
      <alignment horizontal="center"/>
    </xf>
    <xf numFmtId="0" fontId="7" fillId="0" borderId="65" xfId="34" applyBorder="1" applyAlignment="1">
      <alignment horizontal="left"/>
    </xf>
    <xf numFmtId="49" fontId="49" fillId="0" borderId="0" xfId="34" applyNumberFormat="1" applyFont="1" applyBorder="1"/>
    <xf numFmtId="168" fontId="7" fillId="0" borderId="0" xfId="34" applyNumberFormat="1" applyFill="1" applyBorder="1"/>
    <xf numFmtId="42" fontId="53" fillId="0" borderId="0" xfId="34" applyNumberFormat="1" applyFont="1" applyBorder="1"/>
    <xf numFmtId="49" fontId="49" fillId="0" borderId="67" xfId="34" applyNumberFormat="1" applyFont="1" applyBorder="1"/>
    <xf numFmtId="49" fontId="49" fillId="0" borderId="21" xfId="34" applyNumberFormat="1" applyFont="1" applyBorder="1"/>
    <xf numFmtId="0" fontId="7" fillId="0" borderId="21" xfId="34" applyBorder="1" applyAlignment="1">
      <alignment horizontal="left"/>
    </xf>
    <xf numFmtId="168" fontId="7" fillId="0" borderId="21" xfId="34" applyNumberFormat="1" applyBorder="1" applyAlignment="1">
      <alignment horizontal="center"/>
    </xf>
    <xf numFmtId="44" fontId="7" fillId="0" borderId="21" xfId="34" applyNumberFormat="1" applyBorder="1" applyAlignment="1">
      <alignment horizontal="right"/>
    </xf>
    <xf numFmtId="42" fontId="7" fillId="0" borderId="21" xfId="34" applyNumberFormat="1" applyBorder="1" applyAlignment="1">
      <alignment horizontal="right"/>
    </xf>
    <xf numFmtId="42" fontId="53" fillId="0" borderId="21" xfId="34" applyNumberFormat="1" applyFont="1" applyBorder="1"/>
    <xf numFmtId="42" fontId="49" fillId="0" borderId="21" xfId="34" applyNumberFormat="1" applyFont="1" applyBorder="1" applyAlignment="1">
      <alignment horizontal="right"/>
    </xf>
    <xf numFmtId="42" fontId="7" fillId="0" borderId="66" xfId="34" applyNumberFormat="1" applyBorder="1"/>
    <xf numFmtId="42" fontId="49" fillId="0" borderId="0" xfId="34" applyNumberFormat="1" applyFont="1" applyBorder="1" applyAlignment="1">
      <alignment horizontal="right"/>
    </xf>
    <xf numFmtId="0" fontId="44" fillId="0" borderId="65" xfId="34" applyFont="1" applyBorder="1" applyAlignment="1">
      <alignment horizontal="left"/>
    </xf>
    <xf numFmtId="0" fontId="7" fillId="0" borderId="64" xfId="34" applyFill="1" applyBorder="1" applyAlignment="1">
      <alignment horizontal="center"/>
    </xf>
    <xf numFmtId="0" fontId="54" fillId="0" borderId="0" xfId="34" applyFont="1"/>
    <xf numFmtId="42" fontId="49" fillId="0" borderId="0" xfId="34" applyNumberFormat="1" applyFont="1" applyBorder="1"/>
    <xf numFmtId="42" fontId="43" fillId="0" borderId="0" xfId="34" applyNumberFormat="1" applyFont="1" applyBorder="1" applyAlignment="1">
      <alignment horizontal="right"/>
    </xf>
    <xf numFmtId="0" fontId="53" fillId="0" borderId="21" xfId="34" applyFont="1" applyBorder="1"/>
    <xf numFmtId="0" fontId="53" fillId="0" borderId="21" xfId="34" applyFont="1" applyBorder="1" applyAlignment="1">
      <alignment horizontal="center"/>
    </xf>
    <xf numFmtId="42" fontId="7" fillId="0" borderId="21" xfId="34" applyNumberFormat="1" applyFill="1" applyBorder="1"/>
    <xf numFmtId="49" fontId="40" fillId="0" borderId="65" xfId="34" applyNumberFormat="1" applyFont="1" applyBorder="1"/>
    <xf numFmtId="49" fontId="40" fillId="0" borderId="0" xfId="34" applyNumberFormat="1" applyFont="1" applyBorder="1"/>
    <xf numFmtId="49" fontId="55" fillId="0" borderId="67" xfId="34" applyNumberFormat="1" applyFont="1" applyBorder="1"/>
    <xf numFmtId="49" fontId="55" fillId="0" borderId="21" xfId="34" applyNumberFormat="1" applyFont="1" applyBorder="1"/>
    <xf numFmtId="0" fontId="7" fillId="0" borderId="21" xfId="34" applyBorder="1"/>
    <xf numFmtId="0" fontId="7" fillId="0" borderId="21" xfId="34" applyBorder="1" applyAlignment="1">
      <alignment horizontal="center"/>
    </xf>
    <xf numFmtId="42" fontId="49" fillId="0" borderId="21" xfId="34" applyNumberFormat="1" applyFont="1" applyBorder="1"/>
    <xf numFmtId="49" fontId="7" fillId="0" borderId="0" xfId="34" applyNumberFormat="1" applyBorder="1" applyAlignment="1">
      <alignment horizontal="right"/>
    </xf>
    <xf numFmtId="0" fontId="7" fillId="6" borderId="80" xfId="34" applyFill="1" applyBorder="1" applyAlignment="1">
      <alignment horizontal="center"/>
    </xf>
    <xf numFmtId="0" fontId="44" fillId="0" borderId="63" xfId="34" applyFont="1" applyBorder="1"/>
    <xf numFmtId="0" fontId="44" fillId="0" borderId="62" xfId="34" applyFont="1" applyBorder="1"/>
    <xf numFmtId="0" fontId="7" fillId="0" borderId="62" xfId="34" applyBorder="1"/>
    <xf numFmtId="0" fontId="48" fillId="0" borderId="62" xfId="34" applyFont="1" applyBorder="1"/>
    <xf numFmtId="49" fontId="49" fillId="0" borderId="62" xfId="34" applyNumberFormat="1" applyFont="1" applyBorder="1" applyAlignment="1">
      <alignment horizontal="right"/>
    </xf>
    <xf numFmtId="42" fontId="7" fillId="0" borderId="61" xfId="34" applyNumberFormat="1" applyBorder="1"/>
    <xf numFmtId="0" fontId="40" fillId="0" borderId="6" xfId="34" applyFont="1" applyBorder="1" applyAlignment="1">
      <alignment horizontal="left"/>
    </xf>
    <xf numFmtId="0" fontId="40" fillId="0" borderId="8" xfId="34" applyFont="1" applyBorder="1" applyAlignment="1">
      <alignment horizontal="center"/>
    </xf>
    <xf numFmtId="0" fontId="40" fillId="0" borderId="0" xfId="34" applyFont="1" applyAlignment="1">
      <alignment horizontal="center"/>
    </xf>
    <xf numFmtId="0" fontId="7" fillId="0" borderId="1" xfId="34" applyBorder="1"/>
    <xf numFmtId="0" fontId="7" fillId="0" borderId="2" xfId="34" applyBorder="1"/>
    <xf numFmtId="0" fontId="7" fillId="0" borderId="3" xfId="34" applyBorder="1"/>
    <xf numFmtId="0" fontId="7" fillId="6" borderId="42" xfId="34" applyFill="1" applyBorder="1" applyAlignment="1">
      <alignment horizontal="center"/>
    </xf>
    <xf numFmtId="0" fontId="7" fillId="0" borderId="5" xfId="34" applyBorder="1"/>
    <xf numFmtId="0" fontId="6" fillId="0" borderId="0" xfId="36"/>
    <xf numFmtId="0" fontId="41" fillId="0" borderId="79" xfId="36" applyFont="1" applyBorder="1"/>
    <xf numFmtId="0" fontId="41" fillId="0" borderId="78" xfId="36" applyFont="1" applyBorder="1"/>
    <xf numFmtId="0" fontId="6" fillId="0" borderId="78" xfId="36" applyBorder="1"/>
    <xf numFmtId="0" fontId="6" fillId="0" borderId="78" xfId="36" applyBorder="1" applyAlignment="1">
      <alignment horizontal="right"/>
    </xf>
    <xf numFmtId="14" fontId="6" fillId="0" borderId="77" xfId="36" applyNumberFormat="1" applyBorder="1" applyAlignment="1">
      <alignment horizontal="right"/>
    </xf>
    <xf numFmtId="0" fontId="6" fillId="0" borderId="65" xfId="36" applyBorder="1"/>
    <xf numFmtId="0" fontId="6" fillId="0" borderId="0" xfId="36" applyBorder="1"/>
    <xf numFmtId="0" fontId="6" fillId="0" borderId="0" xfId="36" applyBorder="1" applyAlignment="1">
      <alignment horizontal="right"/>
    </xf>
    <xf numFmtId="0" fontId="6" fillId="0" borderId="64" xfId="36" applyBorder="1" applyAlignment="1">
      <alignment horizontal="right"/>
    </xf>
    <xf numFmtId="0" fontId="6" fillId="0" borderId="76" xfId="36" applyBorder="1"/>
    <xf numFmtId="0" fontId="6" fillId="0" borderId="4" xfId="36" applyBorder="1"/>
    <xf numFmtId="0" fontId="6" fillId="0" borderId="4" xfId="36" applyBorder="1" applyAlignment="1">
      <alignment horizontal="right"/>
    </xf>
    <xf numFmtId="0" fontId="6" fillId="0" borderId="75" xfId="36" applyBorder="1" applyAlignment="1">
      <alignment horizontal="right"/>
    </xf>
    <xf numFmtId="0" fontId="44" fillId="0" borderId="85" xfId="36" applyFont="1" applyBorder="1"/>
    <xf numFmtId="0" fontId="44" fillId="0" borderId="7" xfId="36" applyFont="1" applyBorder="1"/>
    <xf numFmtId="0" fontId="6" fillId="0" borderId="7" xfId="36" applyBorder="1"/>
    <xf numFmtId="0" fontId="40" fillId="0" borderId="7" xfId="36" applyFont="1" applyBorder="1" applyAlignment="1">
      <alignment horizontal="center"/>
    </xf>
    <xf numFmtId="0" fontId="43" fillId="0" borderId="7" xfId="36" applyFont="1" applyBorder="1" applyAlignment="1">
      <alignment horizontal="center"/>
    </xf>
    <xf numFmtId="0" fontId="40" fillId="0" borderId="7" xfId="36" applyFont="1" applyFill="1" applyBorder="1" applyAlignment="1">
      <alignment horizontal="center"/>
    </xf>
    <xf numFmtId="0" fontId="40" fillId="0" borderId="84" xfId="36" applyFont="1" applyBorder="1" applyAlignment="1">
      <alignment horizontal="center"/>
    </xf>
    <xf numFmtId="49" fontId="6" fillId="0" borderId="65" xfId="36" applyNumberFormat="1" applyBorder="1"/>
    <xf numFmtId="0" fontId="6" fillId="6" borderId="20" xfId="36" applyFill="1" applyBorder="1" applyAlignment="1">
      <alignment horizontal="center"/>
    </xf>
    <xf numFmtId="0" fontId="6" fillId="0" borderId="0" xfId="36" applyBorder="1" applyAlignment="1">
      <alignment horizontal="center"/>
    </xf>
    <xf numFmtId="44" fontId="6" fillId="0" borderId="0" xfId="36" applyNumberFormat="1" applyBorder="1" applyAlignment="1">
      <alignment horizontal="right"/>
    </xf>
    <xf numFmtId="42" fontId="6" fillId="0" borderId="0" xfId="36" applyNumberFormat="1" applyBorder="1"/>
    <xf numFmtId="42" fontId="6" fillId="0" borderId="0" xfId="36" applyNumberFormat="1" applyBorder="1" applyAlignment="1">
      <alignment horizontal="right"/>
    </xf>
    <xf numFmtId="42" fontId="6" fillId="0" borderId="64" xfId="36" applyNumberFormat="1" applyBorder="1"/>
    <xf numFmtId="0" fontId="6" fillId="0" borderId="0" xfId="36" applyFill="1" applyBorder="1" applyAlignment="1">
      <alignment horizontal="center"/>
    </xf>
    <xf numFmtId="0" fontId="6" fillId="0" borderId="65" xfId="36" applyBorder="1" applyAlignment="1">
      <alignment horizontal="left"/>
    </xf>
    <xf numFmtId="49" fontId="49" fillId="0" borderId="0" xfId="36" applyNumberFormat="1" applyFont="1" applyBorder="1"/>
    <xf numFmtId="168" fontId="6" fillId="0" borderId="0" xfId="36" applyNumberFormat="1" applyFill="1" applyBorder="1"/>
    <xf numFmtId="42" fontId="53" fillId="0" borderId="0" xfId="36" applyNumberFormat="1" applyFont="1" applyBorder="1"/>
    <xf numFmtId="49" fontId="49" fillId="0" borderId="67" xfId="36" applyNumberFormat="1" applyFont="1" applyBorder="1"/>
    <xf numFmtId="49" fontId="49" fillId="0" borderId="21" xfId="36" applyNumberFormat="1" applyFont="1" applyBorder="1"/>
    <xf numFmtId="0" fontId="6" fillId="0" borderId="21" xfId="36" applyBorder="1" applyAlignment="1">
      <alignment horizontal="left"/>
    </xf>
    <xf numFmtId="168" fontId="6" fillId="0" borderId="21" xfId="36" applyNumberFormat="1" applyBorder="1" applyAlignment="1">
      <alignment horizontal="center"/>
    </xf>
    <xf numFmtId="0" fontId="6" fillId="0" borderId="21" xfId="36" applyBorder="1" applyAlignment="1">
      <alignment horizontal="right"/>
    </xf>
    <xf numFmtId="42" fontId="6" fillId="0" borderId="21" xfId="36" applyNumberFormat="1" applyBorder="1" applyAlignment="1">
      <alignment horizontal="right"/>
    </xf>
    <xf numFmtId="42" fontId="6" fillId="0" borderId="21" xfId="36" applyNumberFormat="1" applyBorder="1"/>
    <xf numFmtId="42" fontId="53" fillId="0" borderId="21" xfId="36" applyNumberFormat="1" applyFont="1" applyBorder="1"/>
    <xf numFmtId="42" fontId="49" fillId="0" borderId="21" xfId="36" applyNumberFormat="1" applyFont="1" applyBorder="1" applyAlignment="1">
      <alignment horizontal="right"/>
    </xf>
    <xf numFmtId="42" fontId="6" fillId="0" borderId="66" xfId="36" applyNumberFormat="1" applyBorder="1"/>
    <xf numFmtId="42" fontId="49" fillId="0" borderId="0" xfId="36" applyNumberFormat="1" applyFont="1" applyBorder="1" applyAlignment="1">
      <alignment horizontal="right"/>
    </xf>
    <xf numFmtId="0" fontId="44" fillId="0" borderId="65" xfId="36" applyFont="1" applyBorder="1"/>
    <xf numFmtId="0" fontId="44" fillId="0" borderId="0" xfId="36" applyFont="1" applyBorder="1"/>
    <xf numFmtId="0" fontId="6" fillId="0" borderId="86" xfId="36" applyFill="1" applyBorder="1" applyAlignment="1">
      <alignment horizontal="center"/>
    </xf>
    <xf numFmtId="0" fontId="6" fillId="0" borderId="0" xfId="36" applyFill="1" applyBorder="1"/>
    <xf numFmtId="0" fontId="6" fillId="0" borderId="64" xfId="36" applyFill="1" applyBorder="1" applyAlignment="1">
      <alignment horizontal="center"/>
    </xf>
    <xf numFmtId="0" fontId="54" fillId="0" borderId="0" xfId="36" applyFont="1"/>
    <xf numFmtId="42" fontId="49" fillId="0" borderId="0" xfId="36" applyNumberFormat="1" applyFont="1" applyBorder="1"/>
    <xf numFmtId="42" fontId="43" fillId="0" borderId="0" xfId="36" applyNumberFormat="1" applyFont="1" applyBorder="1" applyAlignment="1">
      <alignment horizontal="right"/>
    </xf>
    <xf numFmtId="0" fontId="53" fillId="0" borderId="21" xfId="36" applyFont="1" applyBorder="1"/>
    <xf numFmtId="0" fontId="53" fillId="0" borderId="21" xfId="36" applyFont="1" applyBorder="1" applyAlignment="1">
      <alignment horizontal="center"/>
    </xf>
    <xf numFmtId="42" fontId="6" fillId="0" borderId="21" xfId="36" applyNumberFormat="1" applyFill="1" applyBorder="1"/>
    <xf numFmtId="49" fontId="40" fillId="0" borderId="65" xfId="36" applyNumberFormat="1" applyFont="1" applyBorder="1"/>
    <xf numFmtId="49" fontId="40" fillId="0" borderId="0" xfId="36" applyNumberFormat="1" applyFont="1" applyBorder="1"/>
    <xf numFmtId="49" fontId="55" fillId="0" borderId="67" xfId="36" applyNumberFormat="1" applyFont="1" applyBorder="1"/>
    <xf numFmtId="49" fontId="55" fillId="0" borderId="21" xfId="36" applyNumberFormat="1" applyFont="1" applyBorder="1"/>
    <xf numFmtId="0" fontId="6" fillId="0" borderId="21" xfId="36" applyBorder="1"/>
    <xf numFmtId="0" fontId="6" fillId="0" borderId="21" xfId="36" applyBorder="1" applyAlignment="1">
      <alignment horizontal="center"/>
    </xf>
    <xf numFmtId="42" fontId="49" fillId="0" borderId="21" xfId="36" applyNumberFormat="1" applyFont="1" applyBorder="1"/>
    <xf numFmtId="0" fontId="6" fillId="0" borderId="64" xfId="36" applyBorder="1"/>
    <xf numFmtId="49" fontId="6" fillId="0" borderId="0" xfId="36" applyNumberFormat="1" applyBorder="1" applyAlignment="1">
      <alignment horizontal="right"/>
    </xf>
    <xf numFmtId="2" fontId="6" fillId="6" borderId="80" xfId="36" applyNumberFormat="1" applyFill="1" applyBorder="1" applyAlignment="1">
      <alignment horizontal="center"/>
    </xf>
    <xf numFmtId="0" fontId="44" fillId="0" borderId="63" xfId="36" applyFont="1" applyBorder="1"/>
    <xf numFmtId="0" fontId="44" fillId="0" borderId="62" xfId="36" applyFont="1" applyBorder="1"/>
    <xf numFmtId="0" fontId="6" fillId="0" borderId="62" xfId="36" applyBorder="1"/>
    <xf numFmtId="0" fontId="48" fillId="0" borderId="62" xfId="36" applyFont="1" applyBorder="1"/>
    <xf numFmtId="49" fontId="49" fillId="0" borderId="62" xfId="36" applyNumberFormat="1" applyFont="1" applyBorder="1" applyAlignment="1">
      <alignment horizontal="right"/>
    </xf>
    <xf numFmtId="42" fontId="6" fillId="0" borderId="61" xfId="36" applyNumberFormat="1" applyBorder="1"/>
    <xf numFmtId="0" fontId="40" fillId="0" borderId="6" xfId="36" applyFont="1" applyBorder="1" applyAlignment="1">
      <alignment horizontal="left"/>
    </xf>
    <xf numFmtId="0" fontId="40" fillId="0" borderId="8" xfId="36" applyFont="1" applyBorder="1" applyAlignment="1">
      <alignment horizontal="center"/>
    </xf>
    <xf numFmtId="0" fontId="40" fillId="0" borderId="0" xfId="36" applyFont="1" applyAlignment="1">
      <alignment horizontal="center"/>
    </xf>
    <xf numFmtId="0" fontId="6" fillId="0" borderId="1" xfId="36" applyBorder="1"/>
    <xf numFmtId="2" fontId="6" fillId="6" borderId="20" xfId="36" applyNumberFormat="1" applyFill="1" applyBorder="1" applyAlignment="1">
      <alignment horizontal="center"/>
    </xf>
    <xf numFmtId="0" fontId="6" fillId="0" borderId="2" xfId="36" applyBorder="1"/>
    <xf numFmtId="0" fontId="6" fillId="0" borderId="3" xfId="36" applyBorder="1"/>
    <xf numFmtId="0" fontId="6" fillId="6" borderId="42" xfId="36" applyFill="1" applyBorder="1" applyAlignment="1">
      <alignment horizontal="center"/>
    </xf>
    <xf numFmtId="0" fontId="6" fillId="0" borderId="5" xfId="36" applyBorder="1"/>
    <xf numFmtId="0" fontId="42" fillId="0" borderId="78" xfId="36" applyFont="1" applyBorder="1"/>
    <xf numFmtId="0" fontId="41" fillId="0" borderId="71" xfId="36" applyFont="1" applyBorder="1"/>
    <xf numFmtId="0" fontId="6" fillId="0" borderId="70" xfId="36" applyBorder="1"/>
    <xf numFmtId="0" fontId="40" fillId="0" borderId="70" xfId="36" applyFont="1" applyBorder="1" applyAlignment="1">
      <alignment horizontal="center"/>
    </xf>
    <xf numFmtId="0" fontId="43" fillId="0" borderId="70" xfId="36" applyFont="1" applyBorder="1" applyAlignment="1">
      <alignment horizontal="center"/>
    </xf>
    <xf numFmtId="0" fontId="40" fillId="0" borderId="70" xfId="36" applyFont="1" applyFill="1" applyBorder="1" applyAlignment="1">
      <alignment horizontal="center"/>
    </xf>
    <xf numFmtId="0" fontId="6" fillId="0" borderId="69" xfId="36" applyBorder="1"/>
    <xf numFmtId="0" fontId="40" fillId="0" borderId="0" xfId="36" applyFont="1" applyBorder="1" applyAlignment="1">
      <alignment horizontal="center"/>
    </xf>
    <xf numFmtId="0" fontId="43" fillId="0" borderId="0" xfId="36" applyFont="1" applyBorder="1" applyAlignment="1">
      <alignment horizontal="center"/>
    </xf>
    <xf numFmtId="0" fontId="40" fillId="0" borderId="0" xfId="36" applyFont="1" applyFill="1" applyBorder="1" applyAlignment="1">
      <alignment horizontal="center"/>
    </xf>
    <xf numFmtId="0" fontId="40" fillId="0" borderId="64" xfId="36" applyFont="1" applyBorder="1" applyAlignment="1">
      <alignment horizontal="center"/>
    </xf>
    <xf numFmtId="49" fontId="44" fillId="0" borderId="65" xfId="36" applyNumberFormat="1" applyFont="1" applyBorder="1"/>
    <xf numFmtId="49" fontId="6" fillId="0" borderId="0" xfId="36" applyNumberFormat="1" applyBorder="1" applyAlignment="1">
      <alignment horizontal="center"/>
    </xf>
    <xf numFmtId="49" fontId="40" fillId="0" borderId="0" xfId="36" applyNumberFormat="1" applyFont="1" applyBorder="1" applyAlignment="1">
      <alignment horizontal="right"/>
    </xf>
    <xf numFmtId="42" fontId="40" fillId="0" borderId="64" xfId="36" applyNumberFormat="1" applyFont="1" applyBorder="1"/>
    <xf numFmtId="0" fontId="40" fillId="0" borderId="65" xfId="36" applyFont="1" applyBorder="1"/>
    <xf numFmtId="0" fontId="40" fillId="0" borderId="0" xfId="36" applyFont="1" applyBorder="1"/>
    <xf numFmtId="0" fontId="6" fillId="0" borderId="0" xfId="36" applyFont="1" applyBorder="1"/>
    <xf numFmtId="44" fontId="6" fillId="0" borderId="64" xfId="36" applyNumberFormat="1" applyBorder="1"/>
    <xf numFmtId="0" fontId="40" fillId="0" borderId="65" xfId="36" applyFont="1" applyFill="1" applyBorder="1"/>
    <xf numFmtId="0" fontId="40" fillId="0" borderId="0" xfId="36" applyFont="1" applyFill="1" applyBorder="1"/>
    <xf numFmtId="0" fontId="6" fillId="0" borderId="0" xfId="36" applyFont="1" applyFill="1" applyBorder="1"/>
    <xf numFmtId="42" fontId="6" fillId="0" borderId="0" xfId="36" applyNumberFormat="1" applyFill="1" applyBorder="1"/>
    <xf numFmtId="44" fontId="40" fillId="0" borderId="0" xfId="36" applyNumberFormat="1" applyFont="1" applyBorder="1" applyAlignment="1">
      <alignment horizontal="right"/>
    </xf>
    <xf numFmtId="44" fontId="6" fillId="0" borderId="0" xfId="36" applyNumberFormat="1" applyFill="1" applyBorder="1"/>
    <xf numFmtId="0" fontId="44" fillId="0" borderId="0" xfId="36" applyFont="1" applyFill="1" applyBorder="1"/>
    <xf numFmtId="0" fontId="43" fillId="0" borderId="65" xfId="36" applyFont="1" applyFill="1" applyBorder="1"/>
    <xf numFmtId="0" fontId="43" fillId="0" borderId="0" xfId="36" applyFont="1" applyFill="1" applyBorder="1"/>
    <xf numFmtId="0" fontId="45" fillId="0" borderId="0" xfId="36" applyFont="1" applyFill="1" applyBorder="1"/>
    <xf numFmtId="0" fontId="45" fillId="0" borderId="0" xfId="36" applyFont="1" applyFill="1" applyBorder="1" applyAlignment="1">
      <alignment horizontal="center"/>
    </xf>
    <xf numFmtId="42" fontId="45" fillId="0" borderId="0" xfId="36" applyNumberFormat="1" applyFont="1" applyFill="1" applyBorder="1"/>
    <xf numFmtId="9" fontId="0" fillId="6" borderId="20" xfId="37" applyFont="1" applyFill="1" applyBorder="1" applyAlignment="1">
      <alignment horizontal="center"/>
    </xf>
    <xf numFmtId="0" fontId="6" fillId="0" borderId="65" xfId="36" applyFont="1" applyFill="1" applyBorder="1"/>
    <xf numFmtId="0" fontId="6" fillId="0" borderId="0" xfId="36" applyFont="1" applyFill="1" applyBorder="1" applyAlignment="1">
      <alignment horizontal="center"/>
    </xf>
    <xf numFmtId="42" fontId="6" fillId="0" borderId="0" xfId="36" applyNumberFormat="1" applyFont="1" applyFill="1" applyBorder="1"/>
    <xf numFmtId="0" fontId="6" fillId="0" borderId="65" xfId="36" applyFont="1" applyBorder="1"/>
    <xf numFmtId="0" fontId="6" fillId="6" borderId="20" xfId="36" applyFont="1" applyFill="1" applyBorder="1" applyAlignment="1">
      <alignment horizontal="center"/>
    </xf>
    <xf numFmtId="0" fontId="6" fillId="0" borderId="0" xfId="36" applyFont="1" applyBorder="1" applyAlignment="1">
      <alignment horizontal="center"/>
    </xf>
    <xf numFmtId="44" fontId="6" fillId="6" borderId="20" xfId="36" applyNumberFormat="1" applyFont="1" applyFill="1" applyBorder="1"/>
    <xf numFmtId="42" fontId="6" fillId="0" borderId="0" xfId="36" applyNumberFormat="1" applyFont="1" applyBorder="1"/>
    <xf numFmtId="44" fontId="6" fillId="0" borderId="0" xfId="36" applyNumberFormat="1" applyFont="1" applyBorder="1" applyAlignment="1">
      <alignment horizontal="right"/>
    </xf>
    <xf numFmtId="42" fontId="6" fillId="0" borderId="64" xfId="36" applyNumberFormat="1" applyFont="1" applyBorder="1"/>
    <xf numFmtId="0" fontId="46" fillId="0" borderId="67" xfId="36" applyFont="1" applyBorder="1"/>
    <xf numFmtId="0" fontId="47" fillId="0" borderId="21" xfId="36" applyFont="1" applyBorder="1"/>
    <xf numFmtId="44" fontId="48" fillId="0" borderId="21" xfId="36" applyNumberFormat="1" applyFont="1" applyBorder="1" applyAlignment="1">
      <alignment horizontal="right"/>
    </xf>
    <xf numFmtId="42" fontId="40" fillId="0" borderId="66" xfId="36" applyNumberFormat="1" applyFont="1" applyBorder="1"/>
    <xf numFmtId="0" fontId="47" fillId="0" borderId="65" xfId="36" applyFont="1" applyBorder="1"/>
    <xf numFmtId="0" fontId="47" fillId="0" borderId="0" xfId="36" applyFont="1" applyBorder="1"/>
    <xf numFmtId="44" fontId="6" fillId="0" borderId="0" xfId="36" applyNumberFormat="1" applyBorder="1"/>
    <xf numFmtId="0" fontId="44" fillId="0" borderId="21" xfId="36" applyFont="1" applyBorder="1"/>
    <xf numFmtId="0" fontId="40" fillId="0" borderId="21" xfId="36" applyFont="1" applyBorder="1" applyAlignment="1">
      <alignment horizontal="center"/>
    </xf>
    <xf numFmtId="0" fontId="40" fillId="0" borderId="21" xfId="36" applyFont="1" applyBorder="1"/>
    <xf numFmtId="42" fontId="40" fillId="0" borderId="21" xfId="36" applyNumberFormat="1" applyFont="1" applyBorder="1"/>
    <xf numFmtId="0" fontId="46" fillId="0" borderId="21" xfId="36" applyFont="1" applyBorder="1"/>
    <xf numFmtId="44" fontId="40" fillId="0" borderId="21" xfId="36" applyNumberFormat="1" applyFont="1" applyBorder="1"/>
    <xf numFmtId="49" fontId="47" fillId="0" borderId="65" xfId="36" applyNumberFormat="1" applyFont="1" applyBorder="1"/>
    <xf numFmtId="9" fontId="0" fillId="0" borderId="0" xfId="37" applyFont="1" applyBorder="1"/>
    <xf numFmtId="44" fontId="6" fillId="0" borderId="64" xfId="36" applyNumberFormat="1" applyBorder="1" applyAlignment="1">
      <alignment horizontal="right"/>
    </xf>
    <xf numFmtId="44" fontId="6" fillId="0" borderId="0" xfId="36" applyNumberFormat="1" applyBorder="1" applyAlignment="1">
      <alignment horizontal="center"/>
    </xf>
    <xf numFmtId="9" fontId="0" fillId="6" borderId="20" xfId="37" applyFont="1" applyFill="1" applyBorder="1"/>
    <xf numFmtId="0" fontId="48" fillId="0" borderId="21" xfId="36" applyFont="1" applyBorder="1"/>
    <xf numFmtId="0" fontId="49" fillId="0" borderId="21" xfId="36" applyFont="1" applyBorder="1"/>
    <xf numFmtId="44" fontId="49" fillId="0" borderId="21" xfId="36" applyNumberFormat="1" applyFont="1" applyBorder="1"/>
    <xf numFmtId="42" fontId="49" fillId="0" borderId="66" xfId="36" applyNumberFormat="1" applyFont="1" applyBorder="1"/>
    <xf numFmtId="0" fontId="50" fillId="0" borderId="63" xfId="36" applyFont="1" applyBorder="1"/>
    <xf numFmtId="0" fontId="51" fillId="0" borderId="62" xfId="36" applyFont="1" applyBorder="1"/>
    <xf numFmtId="0" fontId="50" fillId="0" borderId="62" xfId="36" applyFont="1" applyBorder="1"/>
    <xf numFmtId="44" fontId="51" fillId="0" borderId="62" xfId="36" applyNumberFormat="1" applyFont="1" applyBorder="1"/>
    <xf numFmtId="44" fontId="52" fillId="0" borderId="62" xfId="36" applyNumberFormat="1" applyFont="1" applyBorder="1"/>
    <xf numFmtId="44" fontId="48" fillId="0" borderId="62" xfId="36" applyNumberFormat="1" applyFont="1" applyBorder="1" applyAlignment="1">
      <alignment horizontal="right"/>
    </xf>
    <xf numFmtId="42" fontId="50" fillId="0" borderId="61" xfId="36" applyNumberFormat="1" applyFont="1" applyBorder="1"/>
    <xf numFmtId="0" fontId="5" fillId="0" borderId="19" xfId="34" applyFont="1" applyBorder="1"/>
    <xf numFmtId="0" fontId="5" fillId="0" borderId="19" xfId="30" applyFont="1" applyBorder="1"/>
    <xf numFmtId="0" fontId="5" fillId="0" borderId="19" xfId="32" applyFont="1" applyBorder="1"/>
    <xf numFmtId="0" fontId="5" fillId="0" borderId="19" xfId="36" applyFont="1" applyBorder="1"/>
    <xf numFmtId="0" fontId="36" fillId="0" borderId="0" xfId="24" applyFont="1" applyAlignment="1">
      <alignment horizontal="center"/>
    </xf>
    <xf numFmtId="0" fontId="4" fillId="0" borderId="0" xfId="38"/>
    <xf numFmtId="0" fontId="41" fillId="0" borderId="79" xfId="38" applyFont="1" applyBorder="1"/>
    <xf numFmtId="0" fontId="42" fillId="0" borderId="78" xfId="38" applyFont="1" applyBorder="1"/>
    <xf numFmtId="0" fontId="4" fillId="0" borderId="78" xfId="38" applyBorder="1"/>
    <xf numFmtId="0" fontId="4" fillId="0" borderId="78" xfId="38" applyBorder="1" applyAlignment="1">
      <alignment horizontal="right"/>
    </xf>
    <xf numFmtId="14" fontId="4" fillId="0" borderId="77" xfId="38" applyNumberFormat="1" applyBorder="1" applyAlignment="1">
      <alignment horizontal="right"/>
    </xf>
    <xf numFmtId="0" fontId="4" fillId="0" borderId="65" xfId="38" applyBorder="1"/>
    <xf numFmtId="0" fontId="4" fillId="0" borderId="0" xfId="38" applyBorder="1"/>
    <xf numFmtId="0" fontId="4" fillId="0" borderId="19" xfId="38" applyBorder="1"/>
    <xf numFmtId="0" fontId="4" fillId="0" borderId="0" xfId="38" applyBorder="1" applyAlignment="1">
      <alignment horizontal="right"/>
    </xf>
    <xf numFmtId="0" fontId="4" fillId="0" borderId="64" xfId="38" applyBorder="1" applyAlignment="1">
      <alignment horizontal="right"/>
    </xf>
    <xf numFmtId="0" fontId="4" fillId="0" borderId="76" xfId="38" applyBorder="1"/>
    <xf numFmtId="0" fontId="4" fillId="0" borderId="4" xfId="38" applyBorder="1"/>
    <xf numFmtId="0" fontId="4" fillId="0" borderId="4" xfId="38" applyBorder="1" applyAlignment="1">
      <alignment horizontal="right"/>
    </xf>
    <xf numFmtId="0" fontId="4" fillId="0" borderId="75" xfId="38" applyBorder="1" applyAlignment="1">
      <alignment horizontal="right"/>
    </xf>
    <xf numFmtId="0" fontId="41" fillId="0" borderId="71" xfId="38" applyFont="1" applyBorder="1"/>
    <xf numFmtId="0" fontId="4" fillId="0" borderId="70" xfId="38" applyBorder="1"/>
    <xf numFmtId="0" fontId="40" fillId="0" borderId="70" xfId="38" applyFont="1" applyBorder="1" applyAlignment="1">
      <alignment horizontal="center"/>
    </xf>
    <xf numFmtId="0" fontId="43" fillId="0" borderId="70" xfId="38" applyFont="1" applyBorder="1" applyAlignment="1">
      <alignment horizontal="center"/>
    </xf>
    <xf numFmtId="0" fontId="40" fillId="0" borderId="70" xfId="38" applyFont="1" applyFill="1" applyBorder="1" applyAlignment="1">
      <alignment horizontal="center"/>
    </xf>
    <xf numFmtId="0" fontId="4" fillId="0" borderId="69" xfId="38" applyBorder="1"/>
    <xf numFmtId="0" fontId="44" fillId="0" borderId="65" xfId="38" applyFont="1" applyBorder="1"/>
    <xf numFmtId="0" fontId="40" fillId="0" borderId="0" xfId="38" applyFont="1" applyBorder="1" applyAlignment="1">
      <alignment horizontal="center"/>
    </xf>
    <xf numFmtId="0" fontId="43" fillId="0" borderId="0" xfId="38" applyFont="1" applyBorder="1" applyAlignment="1">
      <alignment horizontal="center"/>
    </xf>
    <xf numFmtId="0" fontId="40" fillId="0" borderId="0" xfId="38" applyFont="1" applyFill="1" applyBorder="1" applyAlignment="1">
      <alignment horizontal="center"/>
    </xf>
    <xf numFmtId="0" fontId="40" fillId="0" borderId="64" xfId="38" applyFont="1" applyBorder="1" applyAlignment="1">
      <alignment horizontal="center"/>
    </xf>
    <xf numFmtId="49" fontId="44" fillId="0" borderId="65" xfId="38" applyNumberFormat="1" applyFont="1" applyBorder="1"/>
    <xf numFmtId="0" fontId="44" fillId="0" borderId="0" xfId="38" applyFont="1" applyBorder="1"/>
    <xf numFmtId="49" fontId="4" fillId="0" borderId="0" xfId="38" applyNumberFormat="1" applyBorder="1" applyAlignment="1">
      <alignment horizontal="center"/>
    </xf>
    <xf numFmtId="0" fontId="4" fillId="0" borderId="64" xfId="38" applyBorder="1"/>
    <xf numFmtId="49" fontId="40" fillId="0" borderId="0" xfId="38" applyNumberFormat="1" applyFont="1" applyBorder="1" applyAlignment="1">
      <alignment horizontal="right"/>
    </xf>
    <xf numFmtId="42" fontId="40" fillId="0" borderId="64" xfId="38" applyNumberFormat="1" applyFont="1" applyBorder="1"/>
    <xf numFmtId="0" fontId="40" fillId="0" borderId="65" xfId="38" applyFont="1" applyBorder="1"/>
    <xf numFmtId="0" fontId="40" fillId="0" borderId="0" xfId="38" applyFont="1" applyBorder="1"/>
    <xf numFmtId="0" fontId="4" fillId="0" borderId="0" xfId="38" applyFont="1" applyBorder="1"/>
    <xf numFmtId="0" fontId="4" fillId="6" borderId="20" xfId="38" applyFill="1" applyBorder="1" applyAlignment="1">
      <alignment horizontal="center"/>
    </xf>
    <xf numFmtId="0" fontId="4" fillId="0" borderId="0" xfId="38" applyBorder="1" applyAlignment="1">
      <alignment horizontal="center"/>
    </xf>
    <xf numFmtId="42" fontId="4" fillId="0" borderId="0" xfId="38" applyNumberFormat="1" applyBorder="1"/>
    <xf numFmtId="44" fontId="4" fillId="0" borderId="0" xfId="38" applyNumberFormat="1" applyBorder="1" applyAlignment="1">
      <alignment horizontal="right"/>
    </xf>
    <xf numFmtId="44" fontId="4" fillId="0" borderId="64" xfId="38" applyNumberFormat="1" applyBorder="1"/>
    <xf numFmtId="0" fontId="40" fillId="0" borderId="65" xfId="38" applyFont="1" applyFill="1" applyBorder="1"/>
    <xf numFmtId="0" fontId="40" fillId="0" borderId="0" xfId="38" applyFont="1" applyFill="1" applyBorder="1"/>
    <xf numFmtId="0" fontId="4" fillId="0" borderId="0" xfId="38" applyFont="1" applyFill="1" applyBorder="1"/>
    <xf numFmtId="42" fontId="4" fillId="0" borderId="0" xfId="38" applyNumberFormat="1" applyFill="1" applyBorder="1"/>
    <xf numFmtId="44" fontId="40" fillId="0" borderId="0" xfId="38" applyNumberFormat="1" applyFont="1" applyBorder="1" applyAlignment="1">
      <alignment horizontal="right"/>
    </xf>
    <xf numFmtId="0" fontId="4" fillId="0" borderId="0" xfId="38" applyFill="1" applyBorder="1" applyAlignment="1">
      <alignment horizontal="center"/>
    </xf>
    <xf numFmtId="44" fontId="4" fillId="0" borderId="0" xfId="38" applyNumberFormat="1" applyFill="1" applyBorder="1"/>
    <xf numFmtId="0" fontId="44" fillId="0" borderId="0" xfId="38" applyFont="1" applyFill="1" applyBorder="1"/>
    <xf numFmtId="42" fontId="4" fillId="0" borderId="64" xfId="38" applyNumberFormat="1" applyBorder="1"/>
    <xf numFmtId="0" fontId="43" fillId="0" borderId="65" xfId="38" applyFont="1" applyFill="1" applyBorder="1"/>
    <xf numFmtId="0" fontId="43" fillId="0" borderId="0" xfId="38" applyFont="1" applyFill="1" applyBorder="1"/>
    <xf numFmtId="0" fontId="45" fillId="0" borderId="0" xfId="38" applyFont="1" applyFill="1" applyBorder="1"/>
    <xf numFmtId="0" fontId="45" fillId="0" borderId="0" xfId="38" applyFont="1" applyFill="1" applyBorder="1" applyAlignment="1">
      <alignment horizontal="center"/>
    </xf>
    <xf numFmtId="42" fontId="45" fillId="0" borderId="0" xfId="38" applyNumberFormat="1" applyFont="1" applyFill="1" applyBorder="1"/>
    <xf numFmtId="9" fontId="0" fillId="6" borderId="20" xfId="39" applyFont="1" applyFill="1" applyBorder="1" applyAlignment="1">
      <alignment horizontal="center"/>
    </xf>
    <xf numFmtId="44" fontId="4" fillId="0" borderId="0" xfId="38" applyNumberFormat="1" applyBorder="1"/>
    <xf numFmtId="0" fontId="4" fillId="0" borderId="65" xfId="38" applyFont="1" applyFill="1" applyBorder="1"/>
    <xf numFmtId="0" fontId="4" fillId="0" borderId="0" xfId="38" applyFont="1" applyFill="1" applyBorder="1" applyAlignment="1">
      <alignment horizontal="center"/>
    </xf>
    <xf numFmtId="42" fontId="4" fillId="0" borderId="0" xfId="38" applyNumberFormat="1" applyFont="1" applyFill="1" applyBorder="1"/>
    <xf numFmtId="0" fontId="4" fillId="0" borderId="65" xfId="38" applyFont="1" applyBorder="1"/>
    <xf numFmtId="0" fontId="4" fillId="6" borderId="20" xfId="38" applyFont="1" applyFill="1" applyBorder="1" applyAlignment="1">
      <alignment horizontal="center"/>
    </xf>
    <xf numFmtId="0" fontId="4" fillId="0" borderId="0" xfId="38" applyFont="1" applyBorder="1" applyAlignment="1">
      <alignment horizontal="center"/>
    </xf>
    <xf numFmtId="44" fontId="4" fillId="6" borderId="20" xfId="38" applyNumberFormat="1" applyFont="1" applyFill="1" applyBorder="1"/>
    <xf numFmtId="42" fontId="4" fillId="0" borderId="0" xfId="38" applyNumberFormat="1" applyFont="1" applyBorder="1"/>
    <xf numFmtId="44" fontId="4" fillId="0" borderId="0" xfId="38" applyNumberFormat="1" applyFont="1" applyBorder="1" applyAlignment="1">
      <alignment horizontal="right"/>
    </xf>
    <xf numFmtId="42" fontId="4" fillId="0" borderId="64" xfId="38" applyNumberFormat="1" applyFont="1" applyBorder="1"/>
    <xf numFmtId="170" fontId="4" fillId="6" borderId="20" xfId="38" applyNumberFormat="1" applyFont="1" applyFill="1" applyBorder="1" applyAlignment="1">
      <alignment horizontal="center"/>
    </xf>
    <xf numFmtId="0" fontId="4" fillId="0" borderId="21" xfId="38" applyFont="1" applyFill="1" applyBorder="1" applyAlignment="1">
      <alignment horizontal="center"/>
    </xf>
    <xf numFmtId="0" fontId="4" fillId="0" borderId="21" xfId="38" applyFill="1" applyBorder="1" applyAlignment="1">
      <alignment horizontal="center"/>
    </xf>
    <xf numFmtId="0" fontId="46" fillId="0" borderId="67" xfId="38" applyFont="1" applyBorder="1"/>
    <xf numFmtId="0" fontId="47" fillId="0" borderId="21" xfId="38" applyFont="1" applyBorder="1"/>
    <xf numFmtId="0" fontId="4" fillId="0" borderId="21" xfId="38" applyBorder="1" applyAlignment="1">
      <alignment horizontal="center"/>
    </xf>
    <xf numFmtId="0" fontId="4" fillId="0" borderId="21" xfId="38" applyBorder="1"/>
    <xf numFmtId="42" fontId="4" fillId="0" borderId="21" xfId="38" applyNumberFormat="1" applyBorder="1"/>
    <xf numFmtId="44" fontId="48" fillId="0" borderId="21" xfId="38" applyNumberFormat="1" applyFont="1" applyBorder="1" applyAlignment="1">
      <alignment horizontal="right"/>
    </xf>
    <xf numFmtId="42" fontId="40" fillId="0" borderId="66" xfId="38" applyNumberFormat="1" applyFont="1" applyBorder="1"/>
    <xf numFmtId="0" fontId="47" fillId="0" borderId="65" xfId="38" applyFont="1" applyBorder="1"/>
    <xf numFmtId="0" fontId="47" fillId="0" borderId="0" xfId="38" applyFont="1" applyBorder="1"/>
    <xf numFmtId="0" fontId="44" fillId="0" borderId="21" xfId="38" applyFont="1" applyBorder="1"/>
    <xf numFmtId="0" fontId="40" fillId="0" borderId="21" xfId="38" applyFont="1" applyBorder="1" applyAlignment="1">
      <alignment horizontal="center"/>
    </xf>
    <xf numFmtId="0" fontId="40" fillId="0" borderId="21" xfId="38" applyFont="1" applyBorder="1"/>
    <xf numFmtId="42" fontId="40" fillId="0" borderId="21" xfId="38" applyNumberFormat="1" applyFont="1" applyBorder="1"/>
    <xf numFmtId="0" fontId="46" fillId="0" borderId="21" xfId="38" applyFont="1" applyBorder="1"/>
    <xf numFmtId="44" fontId="40" fillId="0" borderId="21" xfId="38" applyNumberFormat="1" applyFont="1" applyBorder="1"/>
    <xf numFmtId="49" fontId="47" fillId="0" borderId="65" xfId="38" applyNumberFormat="1" applyFont="1" applyBorder="1"/>
    <xf numFmtId="9" fontId="0" fillId="0" borderId="0" xfId="39" applyFont="1" applyBorder="1"/>
    <xf numFmtId="44" fontId="4" fillId="0" borderId="64" xfId="38" applyNumberFormat="1" applyBorder="1" applyAlignment="1">
      <alignment horizontal="right"/>
    </xf>
    <xf numFmtId="44" fontId="4" fillId="0" borderId="0" xfId="38" applyNumberFormat="1" applyBorder="1" applyAlignment="1">
      <alignment horizontal="center"/>
    </xf>
    <xf numFmtId="9" fontId="0" fillId="6" borderId="20" xfId="39" applyFont="1" applyFill="1" applyBorder="1"/>
    <xf numFmtId="0" fontId="48" fillId="0" borderId="21" xfId="38" applyFont="1" applyBorder="1"/>
    <xf numFmtId="0" fontId="49" fillId="0" borderId="21" xfId="38" applyFont="1" applyBorder="1"/>
    <xf numFmtId="44" fontId="49" fillId="0" borderId="21" xfId="38" applyNumberFormat="1" applyFont="1" applyBorder="1"/>
    <xf numFmtId="42" fontId="49" fillId="0" borderId="66" xfId="38" applyNumberFormat="1" applyFont="1" applyBorder="1"/>
    <xf numFmtId="0" fontId="50" fillId="0" borderId="63" xfId="38" applyFont="1" applyBorder="1"/>
    <xf numFmtId="0" fontId="51" fillId="0" borderId="62" xfId="38" applyFont="1" applyBorder="1"/>
    <xf numFmtId="0" fontId="50" fillId="0" borderId="62" xfId="38" applyFont="1" applyBorder="1"/>
    <xf numFmtId="44" fontId="51" fillId="0" borderId="62" xfId="38" applyNumberFormat="1" applyFont="1" applyBorder="1"/>
    <xf numFmtId="44" fontId="52" fillId="0" borderId="62" xfId="38" applyNumberFormat="1" applyFont="1" applyBorder="1"/>
    <xf numFmtId="44" fontId="48" fillId="0" borderId="62" xfId="38" applyNumberFormat="1" applyFont="1" applyBorder="1" applyAlignment="1">
      <alignment horizontal="right"/>
    </xf>
    <xf numFmtId="42" fontId="50" fillId="0" borderId="61" xfId="38" applyNumberFormat="1" applyFont="1" applyBorder="1"/>
    <xf numFmtId="0" fontId="41" fillId="0" borderId="78" xfId="38" applyFont="1" applyBorder="1"/>
    <xf numFmtId="0" fontId="44" fillId="0" borderId="85" xfId="38" applyFont="1" applyBorder="1"/>
    <xf numFmtId="0" fontId="44" fillId="0" borderId="7" xfId="38" applyFont="1" applyBorder="1"/>
    <xf numFmtId="0" fontId="4" fillId="0" borderId="7" xfId="38" applyBorder="1"/>
    <xf numFmtId="0" fontId="40" fillId="0" borderId="7" xfId="38" applyFont="1" applyBorder="1" applyAlignment="1">
      <alignment horizontal="center"/>
    </xf>
    <xf numFmtId="0" fontId="43" fillId="0" borderId="7" xfId="38" applyFont="1" applyBorder="1" applyAlignment="1">
      <alignment horizontal="center"/>
    </xf>
    <xf numFmtId="0" fontId="40" fillId="0" borderId="7" xfId="38" applyFont="1" applyFill="1" applyBorder="1" applyAlignment="1">
      <alignment horizontal="center"/>
    </xf>
    <xf numFmtId="0" fontId="40" fillId="0" borderId="84" xfId="38" applyFont="1" applyBorder="1" applyAlignment="1">
      <alignment horizontal="center"/>
    </xf>
    <xf numFmtId="49" fontId="4" fillId="0" borderId="65" xfId="38" applyNumberFormat="1" applyBorder="1"/>
    <xf numFmtId="42" fontId="4" fillId="0" borderId="0" xfId="38" applyNumberFormat="1" applyBorder="1" applyAlignment="1">
      <alignment horizontal="right"/>
    </xf>
    <xf numFmtId="0" fontId="4" fillId="0" borderId="65" xfId="38" applyBorder="1" applyAlignment="1">
      <alignment horizontal="left"/>
    </xf>
    <xf numFmtId="49" fontId="49" fillId="0" borderId="0" xfId="38" applyNumberFormat="1" applyFont="1" applyBorder="1"/>
    <xf numFmtId="168" fontId="4" fillId="0" borderId="0" xfId="38" applyNumberFormat="1" applyFill="1" applyBorder="1"/>
    <xf numFmtId="42" fontId="53" fillId="0" borderId="0" xfId="38" applyNumberFormat="1" applyFont="1" applyBorder="1"/>
    <xf numFmtId="49" fontId="49" fillId="0" borderId="67" xfId="38" applyNumberFormat="1" applyFont="1" applyBorder="1"/>
    <xf numFmtId="49" fontId="49" fillId="0" borderId="21" xfId="38" applyNumberFormat="1" applyFont="1" applyBorder="1"/>
    <xf numFmtId="0" fontId="4" fillId="0" borderId="21" xfId="38" applyBorder="1" applyAlignment="1">
      <alignment horizontal="left"/>
    </xf>
    <xf numFmtId="168" fontId="4" fillId="0" borderId="21" xfId="38" applyNumberFormat="1" applyBorder="1" applyAlignment="1">
      <alignment horizontal="center"/>
    </xf>
    <xf numFmtId="0" fontId="4" fillId="0" borderId="21" xfId="38" applyBorder="1" applyAlignment="1">
      <alignment horizontal="right"/>
    </xf>
    <xf numFmtId="42" fontId="4" fillId="0" borderId="21" xfId="38" applyNumberFormat="1" applyBorder="1" applyAlignment="1">
      <alignment horizontal="right"/>
    </xf>
    <xf numFmtId="42" fontId="53" fillId="0" borderId="21" xfId="38" applyNumberFormat="1" applyFont="1" applyBorder="1"/>
    <xf numFmtId="42" fontId="49" fillId="0" borderId="21" xfId="38" applyNumberFormat="1" applyFont="1" applyBorder="1" applyAlignment="1">
      <alignment horizontal="right"/>
    </xf>
    <xf numFmtId="42" fontId="4" fillId="0" borderId="66" xfId="38" applyNumberFormat="1" applyBorder="1"/>
    <xf numFmtId="42" fontId="49" fillId="0" borderId="0" xfId="38" applyNumberFormat="1" applyFont="1" applyBorder="1" applyAlignment="1">
      <alignment horizontal="right"/>
    </xf>
    <xf numFmtId="0" fontId="4" fillId="0" borderId="86" xfId="38" applyFill="1" applyBorder="1" applyAlignment="1">
      <alignment horizontal="center"/>
    </xf>
    <xf numFmtId="0" fontId="4" fillId="0" borderId="0" xfId="38" applyFill="1" applyBorder="1"/>
    <xf numFmtId="0" fontId="4" fillId="0" borderId="64" xfId="38" applyFill="1" applyBorder="1" applyAlignment="1">
      <alignment horizontal="center"/>
    </xf>
    <xf numFmtId="0" fontId="54" fillId="0" borderId="0" xfId="38" applyFont="1"/>
    <xf numFmtId="42" fontId="49" fillId="0" borderId="0" xfId="38" applyNumberFormat="1" applyFont="1" applyBorder="1"/>
    <xf numFmtId="42" fontId="43" fillId="0" borderId="0" xfId="38" applyNumberFormat="1" applyFont="1" applyBorder="1" applyAlignment="1">
      <alignment horizontal="right"/>
    </xf>
    <xf numFmtId="0" fontId="53" fillId="0" borderId="21" xfId="38" applyFont="1" applyBorder="1"/>
    <xf numFmtId="0" fontId="53" fillId="0" borderId="21" xfId="38" applyFont="1" applyBorder="1" applyAlignment="1">
      <alignment horizontal="center"/>
    </xf>
    <xf numFmtId="42" fontId="4" fillId="0" borderId="21" xfId="38" applyNumberFormat="1" applyFill="1" applyBorder="1"/>
    <xf numFmtId="49" fontId="40" fillId="0" borderId="65" xfId="38" applyNumberFormat="1" applyFont="1" applyBorder="1"/>
    <xf numFmtId="49" fontId="40" fillId="0" borderId="0" xfId="38" applyNumberFormat="1" applyFont="1" applyBorder="1"/>
    <xf numFmtId="49" fontId="55" fillId="0" borderId="67" xfId="38" applyNumberFormat="1" applyFont="1" applyBorder="1"/>
    <xf numFmtId="49" fontId="55" fillId="0" borderId="21" xfId="38" applyNumberFormat="1" applyFont="1" applyBorder="1"/>
    <xf numFmtId="42" fontId="49" fillId="0" borderId="21" xfId="38" applyNumberFormat="1" applyFont="1" applyBorder="1"/>
    <xf numFmtId="49" fontId="4" fillId="0" borderId="0" xfId="38" applyNumberFormat="1" applyBorder="1" applyAlignment="1">
      <alignment horizontal="right"/>
    </xf>
    <xf numFmtId="2" fontId="4" fillId="6" borderId="80" xfId="38" applyNumberFormat="1" applyFill="1" applyBorder="1" applyAlignment="1">
      <alignment horizontal="center"/>
    </xf>
    <xf numFmtId="0" fontId="44" fillId="0" borderId="63" xfId="38" applyFont="1" applyBorder="1"/>
    <xf numFmtId="0" fontId="44" fillId="0" borderId="62" xfId="38" applyFont="1" applyBorder="1"/>
    <xf numFmtId="0" fontId="4" fillId="0" borderId="62" xfId="38" applyBorder="1"/>
    <xf numFmtId="0" fontId="48" fillId="0" borderId="62" xfId="38" applyFont="1" applyBorder="1"/>
    <xf numFmtId="49" fontId="49" fillId="0" borderId="62" xfId="38" applyNumberFormat="1" applyFont="1" applyBorder="1" applyAlignment="1">
      <alignment horizontal="right"/>
    </xf>
    <xf numFmtId="42" fontId="4" fillId="0" borderId="61" xfId="38" applyNumberFormat="1" applyBorder="1"/>
    <xf numFmtId="0" fontId="40" fillId="0" borderId="6" xfId="38" applyFont="1" applyBorder="1" applyAlignment="1">
      <alignment horizontal="left"/>
    </xf>
    <xf numFmtId="0" fontId="40" fillId="0" borderId="8" xfId="38" applyFont="1" applyBorder="1" applyAlignment="1">
      <alignment horizontal="center"/>
    </xf>
    <xf numFmtId="0" fontId="40" fillId="0" borderId="0" xfId="38" applyFont="1" applyAlignment="1">
      <alignment horizontal="center"/>
    </xf>
    <xf numFmtId="0" fontId="4" fillId="0" borderId="1" xfId="38" applyBorder="1"/>
    <xf numFmtId="2" fontId="4" fillId="6" borderId="20" xfId="38" applyNumberFormat="1" applyFill="1" applyBorder="1" applyAlignment="1">
      <alignment horizontal="center"/>
    </xf>
    <xf numFmtId="0" fontId="4" fillId="0" borderId="2" xfId="38" applyBorder="1"/>
    <xf numFmtId="0" fontId="4" fillId="0" borderId="3" xfId="38" applyBorder="1"/>
    <xf numFmtId="0" fontId="4" fillId="6" borderId="42" xfId="38" applyFill="1" applyBorder="1" applyAlignment="1">
      <alignment horizontal="center"/>
    </xf>
    <xf numFmtId="0" fontId="4" fillId="0" borderId="5" xfId="38" applyBorder="1"/>
    <xf numFmtId="0" fontId="60" fillId="0" borderId="0" xfId="0" applyFont="1" applyAlignment="1">
      <alignment horizontal="centerContinuous"/>
    </xf>
    <xf numFmtId="0" fontId="62" fillId="0" borderId="0" xfId="0" applyFont="1"/>
    <xf numFmtId="0" fontId="62" fillId="0" borderId="0" xfId="0" applyFont="1" applyAlignment="1">
      <alignment horizontal="center"/>
    </xf>
    <xf numFmtId="0" fontId="60" fillId="3" borderId="32" xfId="0" applyFont="1" applyFill="1" applyBorder="1" applyAlignment="1">
      <alignment horizontal="centerContinuous" vertical="center"/>
    </xf>
    <xf numFmtId="0" fontId="60" fillId="3" borderId="33" xfId="0" applyFont="1" applyFill="1" applyBorder="1" applyAlignment="1">
      <alignment horizontal="centerContinuous" vertical="center"/>
    </xf>
    <xf numFmtId="0" fontId="60" fillId="3" borderId="8" xfId="0" applyFont="1" applyFill="1" applyBorder="1" applyAlignment="1">
      <alignment horizontal="center" vertical="top" wrapText="1"/>
    </xf>
    <xf numFmtId="0" fontId="60" fillId="3" borderId="34" xfId="0" applyFont="1" applyFill="1" applyBorder="1" applyAlignment="1">
      <alignment horizontal="center" vertical="center" wrapText="1"/>
    </xf>
    <xf numFmtId="0" fontId="60" fillId="3" borderId="35" xfId="0" applyFont="1" applyFill="1" applyBorder="1" applyAlignment="1">
      <alignment horizontal="center" vertical="center" wrapText="1"/>
    </xf>
    <xf numFmtId="0" fontId="60" fillId="3" borderId="36" xfId="0" applyFont="1" applyFill="1" applyBorder="1" applyAlignment="1">
      <alignment horizontal="center" vertical="top" wrapText="1"/>
    </xf>
    <xf numFmtId="0" fontId="60" fillId="4" borderId="15" xfId="0" applyFont="1" applyFill="1" applyBorder="1" applyAlignment="1">
      <alignment horizontal="center" vertical="center" wrapText="1"/>
    </xf>
    <xf numFmtId="0" fontId="60" fillId="4" borderId="37" xfId="0" applyFont="1" applyFill="1" applyBorder="1" applyAlignment="1">
      <alignment horizontal="center" vertical="center" wrapText="1"/>
    </xf>
    <xf numFmtId="0" fontId="60" fillId="4" borderId="17" xfId="0" applyFont="1" applyFill="1" applyBorder="1" applyAlignment="1">
      <alignment horizontal="center" vertical="top" wrapText="1"/>
    </xf>
    <xf numFmtId="0" fontId="62" fillId="0" borderId="22" xfId="0" applyFont="1" applyFill="1" applyBorder="1" applyAlignment="1">
      <alignment horizontal="center"/>
    </xf>
    <xf numFmtId="0" fontId="62" fillId="0" borderId="26" xfId="0" applyFont="1" applyFill="1" applyBorder="1" applyAlignment="1">
      <alignment horizontal="center"/>
    </xf>
    <xf numFmtId="0" fontId="62" fillId="0" borderId="26" xfId="0" applyFont="1" applyFill="1" applyBorder="1" applyAlignment="1">
      <alignment horizontal="center" wrapText="1"/>
    </xf>
    <xf numFmtId="0" fontId="62" fillId="0" borderId="55" xfId="0" applyFont="1" applyFill="1" applyBorder="1" applyAlignment="1">
      <alignment horizontal="center"/>
    </xf>
    <xf numFmtId="0" fontId="62" fillId="0" borderId="59" xfId="0" applyFont="1" applyBorder="1" applyAlignment="1">
      <alignment horizontal="center"/>
    </xf>
    <xf numFmtId="0" fontId="62" fillId="0" borderId="26" xfId="0" applyFont="1" applyBorder="1" applyAlignment="1">
      <alignment horizontal="center"/>
    </xf>
    <xf numFmtId="0" fontId="62" fillId="0" borderId="26" xfId="0" applyFont="1" applyBorder="1" applyAlignment="1">
      <alignment horizontal="center" wrapText="1"/>
    </xf>
    <xf numFmtId="0" fontId="62" fillId="0" borderId="22" xfId="0" applyFont="1" applyBorder="1" applyAlignment="1">
      <alignment horizontal="center" wrapText="1"/>
    </xf>
    <xf numFmtId="0" fontId="62" fillId="0" borderId="55" xfId="0" applyFont="1" applyBorder="1" applyAlignment="1">
      <alignment horizontal="center"/>
    </xf>
    <xf numFmtId="0" fontId="62" fillId="0" borderId="22" xfId="0" applyFont="1" applyBorder="1" applyAlignment="1">
      <alignment horizontal="center"/>
    </xf>
    <xf numFmtId="0" fontId="62" fillId="0" borderId="50" xfId="0" applyFont="1" applyBorder="1" applyAlignment="1">
      <alignment horizontal="center"/>
    </xf>
    <xf numFmtId="0" fontId="63" fillId="5" borderId="59" xfId="0" applyFont="1" applyFill="1" applyBorder="1" applyAlignment="1">
      <alignment horizontal="center"/>
    </xf>
    <xf numFmtId="0" fontId="62" fillId="0" borderId="88" xfId="0" applyFont="1" applyBorder="1" applyAlignment="1">
      <alignment horizontal="center"/>
    </xf>
    <xf numFmtId="0" fontId="62" fillId="0" borderId="50" xfId="0" applyFont="1" applyFill="1" applyBorder="1" applyAlignment="1">
      <alignment horizontal="center"/>
    </xf>
    <xf numFmtId="0" fontId="60" fillId="0" borderId="0" xfId="0" applyFont="1" applyAlignment="1">
      <alignment horizontal="center"/>
    </xf>
    <xf numFmtId="0" fontId="60" fillId="3" borderId="8" xfId="0" applyFont="1" applyFill="1" applyBorder="1" applyAlignment="1">
      <alignment horizontal="center" vertical="center" wrapText="1"/>
    </xf>
    <xf numFmtId="0" fontId="60" fillId="3" borderId="2" xfId="0" applyFont="1" applyFill="1" applyBorder="1" applyAlignment="1">
      <alignment horizontal="center" vertical="center" wrapText="1"/>
    </xf>
    <xf numFmtId="0" fontId="62" fillId="0" borderId="59" xfId="0" applyFont="1" applyFill="1" applyBorder="1" applyAlignment="1">
      <alignment horizontal="center"/>
    </xf>
    <xf numFmtId="0" fontId="62" fillId="0" borderId="5" xfId="0" applyFont="1" applyBorder="1" applyAlignment="1">
      <alignment horizontal="center" vertical="center" wrapText="1"/>
    </xf>
    <xf numFmtId="0" fontId="60" fillId="3" borderId="9" xfId="0" applyFont="1" applyFill="1" applyBorder="1" applyAlignment="1">
      <alignment horizontal="center" vertical="center" wrapText="1"/>
    </xf>
    <xf numFmtId="0" fontId="60" fillId="3" borderId="45" xfId="0" applyFont="1" applyFill="1" applyBorder="1" applyAlignment="1">
      <alignment horizontal="center" vertical="center" wrapText="1"/>
    </xf>
    <xf numFmtId="0" fontId="60" fillId="3" borderId="10" xfId="0" applyFont="1" applyFill="1" applyBorder="1" applyAlignment="1">
      <alignment horizontal="center" vertical="center" wrapText="1"/>
    </xf>
    <xf numFmtId="0" fontId="60" fillId="3" borderId="46" xfId="0" applyFont="1" applyFill="1" applyBorder="1" applyAlignment="1">
      <alignment horizontal="center" vertical="center" wrapText="1"/>
    </xf>
    <xf numFmtId="0" fontId="60" fillId="3" borderId="13" xfId="0" applyFont="1" applyFill="1" applyBorder="1" applyAlignment="1">
      <alignment horizontal="center" vertical="center" wrapText="1"/>
    </xf>
    <xf numFmtId="0" fontId="60" fillId="3" borderId="47" xfId="0" applyFont="1" applyFill="1" applyBorder="1" applyAlignment="1">
      <alignment horizontal="center" vertical="center" wrapText="1"/>
    </xf>
    <xf numFmtId="0" fontId="60" fillId="3" borderId="48" xfId="0" applyFont="1" applyFill="1" applyBorder="1" applyAlignment="1">
      <alignment horizontal="center" vertical="center" wrapText="1"/>
    </xf>
    <xf numFmtId="0" fontId="60" fillId="3" borderId="14" xfId="0" applyFont="1" applyFill="1" applyBorder="1" applyAlignment="1">
      <alignment horizontal="center" vertical="center" wrapText="1"/>
    </xf>
    <xf numFmtId="0" fontId="63" fillId="0" borderId="34" xfId="0" applyFont="1" applyBorder="1" applyAlignment="1">
      <alignment vertical="center"/>
    </xf>
    <xf numFmtId="0" fontId="60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0" fillId="4" borderId="19" xfId="0" applyNumberFormat="1" applyFont="1" applyFill="1" applyBorder="1" applyAlignment="1" applyProtection="1">
      <alignment horizontal="center" vertical="center" wrapText="1"/>
      <protection locked="0"/>
    </xf>
    <xf numFmtId="0" fontId="60" fillId="4" borderId="25" xfId="0" applyNumberFormat="1" applyFont="1" applyFill="1" applyBorder="1" applyAlignment="1" applyProtection="1">
      <alignment horizontal="center" vertical="center" wrapText="1"/>
      <protection locked="0"/>
    </xf>
    <xf numFmtId="0" fontId="60" fillId="4" borderId="26" xfId="0" applyNumberFormat="1" applyFont="1" applyFill="1" applyBorder="1" applyAlignment="1" applyProtection="1">
      <alignment horizontal="center" vertical="center" wrapText="1"/>
      <protection locked="0"/>
    </xf>
    <xf numFmtId="0" fontId="62" fillId="4" borderId="20" xfId="0" applyNumberFormat="1" applyFont="1" applyFill="1" applyBorder="1" applyAlignment="1" applyProtection="1">
      <alignment horizontal="center" vertical="center" wrapText="1"/>
      <protection locked="0"/>
    </xf>
    <xf numFmtId="0" fontId="62" fillId="4" borderId="25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21" xfId="0" applyNumberFormat="1" applyFont="1" applyBorder="1" applyAlignment="1" applyProtection="1">
      <alignment horizontal="center" vertical="center" wrapText="1"/>
      <protection locked="0"/>
    </xf>
    <xf numFmtId="0" fontId="62" fillId="0" borderId="22" xfId="0" applyNumberFormat="1" applyFont="1" applyBorder="1" applyAlignment="1" applyProtection="1">
      <alignment horizontal="center" vertical="center" wrapText="1"/>
      <protection locked="0"/>
    </xf>
    <xf numFmtId="0" fontId="62" fillId="4" borderId="43" xfId="0" applyNumberFormat="1" applyFont="1" applyFill="1" applyBorder="1" applyAlignment="1" applyProtection="1">
      <alignment horizontal="center" vertical="center" wrapText="1"/>
      <protection locked="0"/>
    </xf>
    <xf numFmtId="0" fontId="62" fillId="4" borderId="60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42" xfId="0" applyNumberFormat="1" applyFont="1" applyBorder="1" applyAlignment="1" applyProtection="1">
      <alignment horizontal="center" vertical="top" wrapText="1"/>
      <protection locked="0"/>
    </xf>
    <xf numFmtId="0" fontId="62" fillId="0" borderId="49" xfId="0" applyNumberFormat="1" applyFont="1" applyBorder="1" applyAlignment="1" applyProtection="1">
      <alignment horizontal="center" vertical="top" wrapText="1"/>
      <protection locked="0"/>
    </xf>
    <xf numFmtId="0" fontId="62" fillId="0" borderId="50" xfId="0" applyNumberFormat="1" applyFont="1" applyBorder="1" applyAlignment="1" applyProtection="1">
      <alignment horizontal="center" vertical="top" wrapText="1"/>
      <protection locked="0"/>
    </xf>
    <xf numFmtId="165" fontId="62" fillId="0" borderId="21" xfId="0" applyNumberFormat="1" applyFont="1" applyBorder="1" applyAlignment="1" applyProtection="1">
      <alignment horizontal="center" vertical="top" wrapText="1"/>
      <protection locked="0"/>
    </xf>
    <xf numFmtId="165" fontId="62" fillId="0" borderId="22" xfId="0" applyNumberFormat="1" applyFont="1" applyBorder="1" applyAlignment="1" applyProtection="1">
      <alignment horizontal="center" vertical="top" wrapText="1"/>
      <protection locked="0"/>
    </xf>
    <xf numFmtId="0" fontId="62" fillId="0" borderId="20" xfId="0" applyNumberFormat="1" applyFont="1" applyFill="1" applyBorder="1" applyAlignment="1" applyProtection="1">
      <alignment horizontal="center" vertical="center" wrapText="1"/>
      <protection locked="0"/>
    </xf>
    <xf numFmtId="165" fontId="62" fillId="0" borderId="20" xfId="0" applyNumberFormat="1" applyFont="1" applyFill="1" applyBorder="1" applyAlignment="1" applyProtection="1">
      <alignment horizontal="center" vertical="center" wrapText="1"/>
      <protection locked="0"/>
    </xf>
    <xf numFmtId="165" fontId="62" fillId="0" borderId="21" xfId="0" applyNumberFormat="1" applyFont="1" applyFill="1" applyBorder="1" applyAlignment="1" applyProtection="1">
      <alignment horizontal="center" vertical="top" wrapText="1"/>
      <protection locked="0"/>
    </xf>
    <xf numFmtId="165" fontId="62" fillId="0" borderId="22" xfId="0" applyNumberFormat="1" applyFont="1" applyFill="1" applyBorder="1" applyAlignment="1" applyProtection="1">
      <alignment horizontal="center" vertical="top" wrapText="1"/>
      <protection locked="0"/>
    </xf>
    <xf numFmtId="0" fontId="62" fillId="0" borderId="42" xfId="0" applyNumberFormat="1" applyFont="1" applyFill="1" applyBorder="1" applyAlignment="1" applyProtection="1">
      <alignment horizontal="center" vertical="top" wrapText="1"/>
      <protection locked="0"/>
    </xf>
    <xf numFmtId="0" fontId="62" fillId="0" borderId="49" xfId="0" applyNumberFormat="1" applyFont="1" applyFill="1" applyBorder="1" applyAlignment="1" applyProtection="1">
      <alignment horizontal="center" vertical="top" wrapText="1"/>
      <protection locked="0"/>
    </xf>
    <xf numFmtId="0" fontId="62" fillId="0" borderId="50" xfId="0" applyNumberFormat="1" applyFont="1" applyFill="1" applyBorder="1" applyAlignment="1" applyProtection="1">
      <alignment horizontal="center" vertical="top" wrapText="1"/>
      <protection locked="0"/>
    </xf>
    <xf numFmtId="165" fontId="62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62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49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50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0" xfId="0" applyFont="1" applyAlignment="1">
      <alignment horizontal="left"/>
    </xf>
    <xf numFmtId="165" fontId="62" fillId="0" borderId="49" xfId="0" applyNumberFormat="1" applyFont="1" applyBorder="1" applyAlignment="1" applyProtection="1">
      <alignment horizontal="center" vertical="top" wrapText="1"/>
      <protection locked="0"/>
    </xf>
    <xf numFmtId="0" fontId="62" fillId="0" borderId="20" xfId="0" applyFont="1" applyBorder="1" applyAlignment="1">
      <alignment horizontal="center" wrapText="1"/>
    </xf>
    <xf numFmtId="0" fontId="62" fillId="0" borderId="57" xfId="0" applyNumberFormat="1" applyFont="1" applyFill="1" applyBorder="1" applyAlignment="1" applyProtection="1">
      <alignment horizontal="center" vertical="center" wrapText="1"/>
      <protection locked="0"/>
    </xf>
    <xf numFmtId="165" fontId="62" fillId="0" borderId="21" xfId="0" applyNumberFormat="1" applyFont="1" applyBorder="1" applyAlignment="1" applyProtection="1">
      <alignment horizontal="center" vertical="center" wrapText="1"/>
      <protection locked="0"/>
    </xf>
    <xf numFmtId="165" fontId="62" fillId="0" borderId="22" xfId="0" applyNumberFormat="1" applyFont="1" applyBorder="1" applyAlignment="1" applyProtection="1">
      <alignment horizontal="center" vertical="center" wrapText="1"/>
      <protection locked="0"/>
    </xf>
    <xf numFmtId="0" fontId="62" fillId="0" borderId="42" xfId="0" applyFont="1" applyBorder="1" applyAlignment="1">
      <alignment horizontal="center" wrapText="1"/>
    </xf>
    <xf numFmtId="0" fontId="62" fillId="0" borderId="42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49" xfId="0" applyNumberFormat="1" applyFont="1" applyBorder="1" applyAlignment="1" applyProtection="1">
      <alignment horizontal="center" vertical="center" wrapText="1"/>
      <protection locked="0"/>
    </xf>
    <xf numFmtId="0" fontId="62" fillId="0" borderId="50" xfId="0" applyNumberFormat="1" applyFont="1" applyBorder="1" applyAlignment="1" applyProtection="1">
      <alignment horizontal="center" vertical="center" wrapText="1"/>
      <protection locked="0"/>
    </xf>
    <xf numFmtId="0" fontId="62" fillId="0" borderId="0" xfId="0" applyNumberFormat="1" applyFont="1" applyBorder="1" applyAlignment="1" applyProtection="1">
      <alignment horizontal="center" vertical="center"/>
      <protection locked="0"/>
    </xf>
    <xf numFmtId="0" fontId="62" fillId="4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0" xfId="0" applyFont="1" applyBorder="1" applyAlignment="1">
      <alignment horizontal="center" wrapText="1"/>
    </xf>
    <xf numFmtId="0" fontId="62" fillId="0" borderId="0" xfId="0" applyNumberFormat="1" applyFont="1" applyFill="1" applyBorder="1" applyAlignment="1" applyProtection="1">
      <alignment horizontal="center" vertical="top" wrapText="1"/>
      <protection locked="0"/>
    </xf>
    <xf numFmtId="0" fontId="62" fillId="0" borderId="0" xfId="0" applyNumberFormat="1" applyFont="1" applyBorder="1" applyAlignment="1" applyProtection="1">
      <alignment horizontal="center" vertical="top" wrapText="1"/>
      <protection locked="0"/>
    </xf>
    <xf numFmtId="0" fontId="62" fillId="0" borderId="0" xfId="1" applyFont="1"/>
    <xf numFmtId="0" fontId="66" fillId="0" borderId="0" xfId="1" applyFont="1" applyBorder="1"/>
    <xf numFmtId="0" fontId="62" fillId="0" borderId="0" xfId="1" applyFont="1" applyBorder="1"/>
    <xf numFmtId="0" fontId="60" fillId="3" borderId="51" xfId="1" applyFont="1" applyFill="1" applyBorder="1" applyAlignment="1">
      <alignment horizontal="center" vertical="center" wrapText="1"/>
    </xf>
    <xf numFmtId="0" fontId="60" fillId="3" borderId="9" xfId="1" applyFont="1" applyFill="1" applyBorder="1" applyAlignment="1">
      <alignment horizontal="center" vertical="center" wrapText="1"/>
    </xf>
    <xf numFmtId="0" fontId="66" fillId="3" borderId="52" xfId="1" applyFont="1" applyFill="1" applyBorder="1" applyAlignment="1">
      <alignment horizontal="center" vertical="center" wrapText="1"/>
    </xf>
    <xf numFmtId="0" fontId="62" fillId="0" borderId="0" xfId="1" applyFont="1" applyAlignment="1">
      <alignment horizontal="center" vertical="center" wrapText="1"/>
    </xf>
    <xf numFmtId="0" fontId="60" fillId="4" borderId="53" xfId="1" applyFont="1" applyFill="1" applyBorder="1" applyAlignment="1">
      <alignment horizontal="center" vertical="center" wrapText="1"/>
    </xf>
    <xf numFmtId="0" fontId="60" fillId="4" borderId="54" xfId="1" applyFont="1" applyFill="1" applyBorder="1" applyAlignment="1">
      <alignment horizontal="center" vertical="center" wrapText="1"/>
    </xf>
    <xf numFmtId="0" fontId="66" fillId="4" borderId="37" xfId="1" applyFont="1" applyFill="1" applyBorder="1" applyAlignment="1">
      <alignment horizontal="center" vertical="top" wrapText="1"/>
    </xf>
    <xf numFmtId="0" fontId="60" fillId="4" borderId="17" xfId="1" applyFont="1" applyFill="1" applyBorder="1" applyAlignment="1">
      <alignment horizontal="center" vertical="top" wrapText="1"/>
    </xf>
    <xf numFmtId="0" fontId="62" fillId="0" borderId="0" xfId="1" applyFont="1" applyAlignment="1"/>
    <xf numFmtId="0" fontId="63" fillId="0" borderId="23" xfId="1" applyFont="1" applyFill="1" applyBorder="1" applyAlignment="1">
      <alignment horizontal="center" vertical="top" wrapText="1"/>
    </xf>
    <xf numFmtId="164" fontId="63" fillId="0" borderId="20" xfId="1" applyNumberFormat="1" applyFont="1" applyFill="1" applyBorder="1" applyAlignment="1">
      <alignment horizontal="center" vertical="top" wrapText="1"/>
    </xf>
    <xf numFmtId="164" fontId="63" fillId="0" borderId="22" xfId="1" applyNumberFormat="1" applyFont="1" applyFill="1" applyBorder="1" applyAlignment="1">
      <alignment horizontal="center" vertical="top" wrapText="1"/>
    </xf>
    <xf numFmtId="0" fontId="63" fillId="0" borderId="18" xfId="1" applyFont="1" applyFill="1" applyBorder="1" applyAlignment="1">
      <alignment horizontal="center" vertical="center" wrapText="1"/>
    </xf>
    <xf numFmtId="164" fontId="63" fillId="0" borderId="20" xfId="1" applyNumberFormat="1" applyFont="1" applyFill="1" applyBorder="1" applyAlignment="1">
      <alignment horizontal="center" vertical="center" wrapText="1"/>
    </xf>
    <xf numFmtId="0" fontId="62" fillId="0" borderId="18" xfId="0" applyFont="1" applyFill="1" applyBorder="1" applyAlignment="1">
      <alignment horizontal="center" wrapText="1"/>
    </xf>
    <xf numFmtId="0" fontId="63" fillId="0" borderId="20" xfId="1" applyFont="1" applyFill="1" applyBorder="1" applyAlignment="1">
      <alignment horizontal="center" vertical="top" wrapText="1"/>
    </xf>
    <xf numFmtId="0" fontId="63" fillId="0" borderId="22" xfId="1" applyFont="1" applyFill="1" applyBorder="1" applyAlignment="1">
      <alignment horizontal="center" vertical="top" wrapText="1"/>
    </xf>
    <xf numFmtId="0" fontId="62" fillId="0" borderId="0" xfId="1" applyFont="1" applyFill="1" applyAlignment="1">
      <alignment horizontal="center"/>
    </xf>
    <xf numFmtId="0" fontId="62" fillId="0" borderId="0" xfId="1" applyFont="1" applyFill="1" applyAlignment="1"/>
    <xf numFmtId="0" fontId="63" fillId="0" borderId="23" xfId="1" applyFont="1" applyFill="1" applyBorder="1" applyAlignment="1">
      <alignment horizontal="center" vertical="center" wrapText="1"/>
    </xf>
    <xf numFmtId="166" fontId="63" fillId="0" borderId="19" xfId="1" applyNumberFormat="1" applyFont="1" applyFill="1" applyBorder="1" applyAlignment="1">
      <alignment horizontal="center" vertical="center" wrapText="1"/>
    </xf>
    <xf numFmtId="0" fontId="63" fillId="0" borderId="41" xfId="1" applyNumberFormat="1" applyFont="1" applyFill="1" applyBorder="1" applyAlignment="1">
      <alignment horizontal="center" vertical="top" wrapText="1"/>
    </xf>
    <xf numFmtId="0" fontId="62" fillId="0" borderId="18" xfId="0" applyFont="1" applyBorder="1" applyAlignment="1">
      <alignment horizontal="center" wrapText="1"/>
    </xf>
    <xf numFmtId="164" fontId="62" fillId="0" borderId="20" xfId="1" applyNumberFormat="1" applyFont="1" applyFill="1" applyBorder="1" applyAlignment="1">
      <alignment horizontal="center" vertical="top" wrapText="1"/>
    </xf>
    <xf numFmtId="0" fontId="62" fillId="0" borderId="23" xfId="0" applyFont="1" applyFill="1" applyBorder="1" applyAlignment="1">
      <alignment horizontal="center" wrapText="1"/>
    </xf>
    <xf numFmtId="0" fontId="63" fillId="0" borderId="19" xfId="1" applyFont="1" applyFill="1" applyBorder="1" applyAlignment="1">
      <alignment horizontal="center" vertical="top" wrapText="1"/>
    </xf>
    <xf numFmtId="0" fontId="63" fillId="0" borderId="40" xfId="1" applyFont="1" applyFill="1" applyBorder="1" applyAlignment="1">
      <alignment horizontal="center" vertical="top" wrapText="1"/>
    </xf>
    <xf numFmtId="0" fontId="62" fillId="0" borderId="0" xfId="1" applyFont="1" applyAlignment="1">
      <alignment horizontal="center"/>
    </xf>
    <xf numFmtId="0" fontId="62" fillId="0" borderId="0" xfId="1" applyFont="1" applyAlignment="1">
      <alignment horizontal="left"/>
    </xf>
    <xf numFmtId="0" fontId="62" fillId="0" borderId="56" xfId="0" applyFont="1" applyFill="1" applyBorder="1" applyAlignment="1">
      <alignment horizontal="center" wrapText="1"/>
    </xf>
    <xf numFmtId="0" fontId="63" fillId="0" borderId="42" xfId="1" applyFont="1" applyFill="1" applyBorder="1" applyAlignment="1">
      <alignment horizontal="center" vertical="top" wrapText="1"/>
    </xf>
    <xf numFmtId="0" fontId="63" fillId="0" borderId="50" xfId="1" applyFont="1" applyFill="1" applyBorder="1" applyAlignment="1">
      <alignment horizontal="center" vertical="top" wrapText="1"/>
    </xf>
    <xf numFmtId="0" fontId="62" fillId="0" borderId="0" xfId="1" applyFont="1" applyAlignment="1">
      <alignment wrapText="1"/>
    </xf>
    <xf numFmtId="0" fontId="64" fillId="0" borderId="0" xfId="1" applyFont="1" applyAlignment="1"/>
    <xf numFmtId="0" fontId="62" fillId="0" borderId="0" xfId="1" applyFont="1" applyAlignment="1">
      <alignment horizontal="left" indent="8"/>
    </xf>
    <xf numFmtId="0" fontId="66" fillId="0" borderId="4" xfId="1" applyFont="1" applyBorder="1" applyAlignment="1">
      <alignment wrapText="1"/>
    </xf>
    <xf numFmtId="0" fontId="62" fillId="0" borderId="4" xfId="1" applyFont="1" applyBorder="1" applyAlignment="1">
      <alignment wrapText="1"/>
    </xf>
    <xf numFmtId="0" fontId="60" fillId="3" borderId="32" xfId="1" applyFont="1" applyFill="1" applyBorder="1" applyAlignment="1">
      <alignment horizontal="centerContinuous" vertical="center" wrapText="1"/>
    </xf>
    <xf numFmtId="0" fontId="60" fillId="3" borderId="33" xfId="1" applyFont="1" applyFill="1" applyBorder="1" applyAlignment="1">
      <alignment horizontal="centerContinuous" vertical="center" wrapText="1"/>
    </xf>
    <xf numFmtId="0" fontId="66" fillId="3" borderId="11" xfId="1" applyFont="1" applyFill="1" applyBorder="1" applyAlignment="1">
      <alignment horizontal="centerContinuous" vertical="top" wrapText="1"/>
    </xf>
    <xf numFmtId="0" fontId="66" fillId="3" borderId="12" xfId="1" applyFont="1" applyFill="1" applyBorder="1" applyAlignment="1">
      <alignment horizontal="centerContinuous" vertical="top" wrapText="1"/>
    </xf>
    <xf numFmtId="0" fontId="60" fillId="3" borderId="34" xfId="1" applyFont="1" applyFill="1" applyBorder="1" applyAlignment="1">
      <alignment horizontal="center" vertical="center" wrapText="1"/>
    </xf>
    <xf numFmtId="0" fontId="60" fillId="3" borderId="35" xfId="1" applyFont="1" applyFill="1" applyBorder="1" applyAlignment="1">
      <alignment horizontal="center" vertical="center" wrapText="1"/>
    </xf>
    <xf numFmtId="0" fontId="60" fillId="3" borderId="35" xfId="1" applyFont="1" applyFill="1" applyBorder="1" applyAlignment="1">
      <alignment horizontal="center" vertical="top" wrapText="1"/>
    </xf>
    <xf numFmtId="0" fontId="60" fillId="3" borderId="28" xfId="1" applyFont="1" applyFill="1" applyBorder="1" applyAlignment="1">
      <alignment horizontal="center" vertical="top" wrapText="1"/>
    </xf>
    <xf numFmtId="0" fontId="60" fillId="4" borderId="15" xfId="1" applyFont="1" applyFill="1" applyBorder="1" applyAlignment="1">
      <alignment horizontal="center" vertical="center" wrapText="1"/>
    </xf>
    <xf numFmtId="0" fontId="66" fillId="4" borderId="16" xfId="1" applyFont="1" applyFill="1" applyBorder="1" applyAlignment="1">
      <alignment horizontal="center" vertical="top" wrapText="1"/>
    </xf>
    <xf numFmtId="0" fontId="60" fillId="4" borderId="37" xfId="1" applyFont="1" applyFill="1" applyBorder="1" applyAlignment="1">
      <alignment horizontal="center" vertical="top" wrapText="1"/>
    </xf>
    <xf numFmtId="0" fontId="62" fillId="0" borderId="39" xfId="1" applyFont="1" applyFill="1" applyBorder="1" applyAlignment="1">
      <alignment horizontal="center" vertical="center" wrapText="1"/>
    </xf>
    <xf numFmtId="0" fontId="62" fillId="0" borderId="19" xfId="1" applyFont="1" applyFill="1" applyBorder="1" applyAlignment="1">
      <alignment horizontal="center" vertical="center" wrapText="1"/>
    </xf>
    <xf numFmtId="0" fontId="63" fillId="0" borderId="43" xfId="1" applyFont="1" applyFill="1" applyBorder="1" applyAlignment="1">
      <alignment horizontal="center" vertical="center" wrapText="1"/>
    </xf>
    <xf numFmtId="0" fontId="62" fillId="0" borderId="35" xfId="1" applyFont="1" applyFill="1" applyBorder="1" applyAlignment="1">
      <alignment horizontal="center" vertical="center" wrapText="1"/>
    </xf>
    <xf numFmtId="0" fontId="62" fillId="0" borderId="26" xfId="1" applyFont="1" applyFill="1" applyBorder="1" applyAlignment="1">
      <alignment horizontal="center" vertical="center" wrapText="1"/>
    </xf>
    <xf numFmtId="0" fontId="63" fillId="0" borderId="20" xfId="1" applyFont="1" applyFill="1" applyBorder="1" applyAlignment="1">
      <alignment horizontal="center" vertical="center" wrapText="1"/>
    </xf>
    <xf numFmtId="0" fontId="63" fillId="0" borderId="27" xfId="1" applyFont="1" applyFill="1" applyBorder="1" applyAlignment="1">
      <alignment horizontal="center" vertical="center" wrapText="1"/>
    </xf>
    <xf numFmtId="0" fontId="63" fillId="0" borderId="24" xfId="1" applyFont="1" applyFill="1" applyBorder="1" applyAlignment="1">
      <alignment horizontal="center" vertical="center" wrapText="1"/>
    </xf>
    <xf numFmtId="0" fontId="63" fillId="0" borderId="25" xfId="1" applyFont="1" applyFill="1" applyBorder="1" applyAlignment="1">
      <alignment horizontal="center" vertical="center" wrapText="1"/>
    </xf>
    <xf numFmtId="0" fontId="63" fillId="0" borderId="39" xfId="1" applyFont="1" applyFill="1" applyBorder="1" applyAlignment="1">
      <alignment horizontal="center" vertical="center" wrapText="1"/>
    </xf>
    <xf numFmtId="0" fontId="63" fillId="0" borderId="19" xfId="1" applyFont="1" applyFill="1" applyBorder="1" applyAlignment="1">
      <alignment horizontal="center" vertical="center" wrapText="1"/>
    </xf>
    <xf numFmtId="165" fontId="62" fillId="0" borderId="22" xfId="1" applyNumberFormat="1" applyFont="1" applyFill="1" applyBorder="1" applyAlignment="1">
      <alignment horizontal="center" vertical="center" wrapText="1"/>
    </xf>
    <xf numFmtId="0" fontId="62" fillId="0" borderId="24" xfId="1" applyFont="1" applyFill="1" applyBorder="1" applyAlignment="1">
      <alignment horizontal="center" vertical="center" wrapText="1"/>
    </xf>
    <xf numFmtId="0" fontId="62" fillId="0" borderId="20" xfId="0" applyFont="1" applyFill="1" applyBorder="1" applyAlignment="1">
      <alignment horizontal="center" wrapText="1"/>
    </xf>
    <xf numFmtId="0" fontId="62" fillId="0" borderId="20" xfId="1" applyFont="1" applyFill="1" applyBorder="1" applyAlignment="1">
      <alignment horizontal="center" vertical="center" wrapText="1"/>
    </xf>
    <xf numFmtId="0" fontId="62" fillId="0" borderId="44" xfId="1" applyFont="1" applyFill="1" applyBorder="1" applyAlignment="1">
      <alignment horizontal="center" vertical="center" wrapText="1"/>
    </xf>
    <xf numFmtId="0" fontId="62" fillId="0" borderId="4" xfId="1" applyFont="1" applyFill="1" applyBorder="1" applyAlignment="1">
      <alignment horizontal="center" vertical="center" wrapText="1"/>
    </xf>
    <xf numFmtId="0" fontId="62" fillId="0" borderId="31" xfId="1" applyFont="1" applyFill="1" applyBorder="1" applyAlignment="1">
      <alignment horizontal="center" vertical="center" wrapText="1"/>
    </xf>
    <xf numFmtId="0" fontId="63" fillId="0" borderId="42" xfId="1" applyFont="1" applyFill="1" applyBorder="1" applyAlignment="1">
      <alignment horizontal="center" vertical="center" wrapText="1"/>
    </xf>
    <xf numFmtId="165" fontId="62" fillId="0" borderId="50" xfId="1" applyNumberFormat="1" applyFont="1" applyFill="1" applyBorder="1" applyAlignment="1">
      <alignment horizontal="center" vertical="center" wrapText="1"/>
    </xf>
    <xf numFmtId="0" fontId="62" fillId="0" borderId="0" xfId="1" applyFont="1" applyAlignment="1">
      <alignment horizontal="left" wrapText="1"/>
    </xf>
    <xf numFmtId="0" fontId="62" fillId="0" borderId="0" xfId="1" applyFont="1" applyBorder="1" applyAlignment="1">
      <alignment wrapText="1"/>
    </xf>
    <xf numFmtId="0" fontId="62" fillId="0" borderId="0" xfId="1" applyFont="1" applyBorder="1" applyAlignment="1">
      <alignment horizontal="left" wrapText="1"/>
    </xf>
    <xf numFmtId="15" fontId="62" fillId="0" borderId="0" xfId="2" applyFont="1" applyFill="1" applyBorder="1" applyAlignment="1">
      <alignment wrapText="1"/>
    </xf>
    <xf numFmtId="0" fontId="64" fillId="0" borderId="0" xfId="1" applyFont="1" applyAlignment="1">
      <alignment wrapText="1"/>
    </xf>
    <xf numFmtId="165" fontId="62" fillId="0" borderId="0" xfId="1" applyNumberFormat="1" applyFont="1" applyFill="1" applyBorder="1" applyAlignment="1">
      <alignment wrapText="1"/>
    </xf>
    <xf numFmtId="0" fontId="3" fillId="0" borderId="0" xfId="34" applyFont="1" applyBorder="1"/>
    <xf numFmtId="49" fontId="3" fillId="0" borderId="65" xfId="34" applyNumberFormat="1" applyFont="1" applyBorder="1"/>
    <xf numFmtId="0" fontId="2" fillId="0" borderId="0" xfId="34" applyFont="1" applyFill="1" applyBorder="1"/>
    <xf numFmtId="0" fontId="69" fillId="0" borderId="0" xfId="0" applyFont="1" applyFill="1"/>
    <xf numFmtId="0" fontId="69" fillId="0" borderId="0" xfId="0" applyFont="1" applyFill="1" applyAlignment="1">
      <alignment horizontal="center"/>
    </xf>
    <xf numFmtId="0" fontId="69" fillId="0" borderId="0" xfId="1" applyFont="1" applyFill="1" applyAlignment="1">
      <alignment wrapText="1"/>
    </xf>
    <xf numFmtId="0" fontId="2" fillId="0" borderId="0" xfId="40"/>
    <xf numFmtId="0" fontId="41" fillId="0" borderId="79" xfId="40" applyFont="1" applyBorder="1"/>
    <xf numFmtId="0" fontId="42" fillId="0" borderId="78" xfId="40" applyFont="1" applyBorder="1"/>
    <xf numFmtId="0" fontId="2" fillId="0" borderId="78" xfId="40" applyBorder="1"/>
    <xf numFmtId="0" fontId="2" fillId="0" borderId="78" xfId="40" applyBorder="1" applyAlignment="1">
      <alignment horizontal="right"/>
    </xf>
    <xf numFmtId="14" fontId="2" fillId="0" borderId="77" xfId="40" applyNumberFormat="1" applyBorder="1"/>
    <xf numFmtId="0" fontId="2" fillId="0" borderId="65" xfId="40" applyBorder="1"/>
    <xf numFmtId="0" fontId="2" fillId="0" borderId="0" xfId="40" applyBorder="1"/>
    <xf numFmtId="0" fontId="2" fillId="0" borderId="19" xfId="40" applyBorder="1"/>
    <xf numFmtId="0" fontId="2" fillId="0" borderId="0" xfId="40" applyBorder="1" applyAlignment="1">
      <alignment horizontal="right"/>
    </xf>
    <xf numFmtId="0" fontId="2" fillId="0" borderId="64" xfId="40" applyBorder="1" applyAlignment="1">
      <alignment horizontal="right"/>
    </xf>
    <xf numFmtId="0" fontId="2" fillId="0" borderId="76" xfId="40" applyBorder="1"/>
    <xf numFmtId="0" fontId="2" fillId="0" borderId="4" xfId="40" applyBorder="1"/>
    <xf numFmtId="0" fontId="2" fillId="0" borderId="4" xfId="40" applyBorder="1" applyAlignment="1">
      <alignment horizontal="right"/>
    </xf>
    <xf numFmtId="0" fontId="2" fillId="0" borderId="75" xfId="40" applyBorder="1" applyAlignment="1">
      <alignment horizontal="right"/>
    </xf>
    <xf numFmtId="0" fontId="41" fillId="0" borderId="71" xfId="40" applyFont="1" applyBorder="1"/>
    <xf numFmtId="0" fontId="2" fillId="0" borderId="70" xfId="40" applyBorder="1"/>
    <xf numFmtId="0" fontId="40" fillId="0" borderId="70" xfId="40" applyFont="1" applyBorder="1" applyAlignment="1">
      <alignment horizontal="center"/>
    </xf>
    <xf numFmtId="0" fontId="43" fillId="0" borderId="70" xfId="40" applyFont="1" applyBorder="1" applyAlignment="1">
      <alignment horizontal="center"/>
    </xf>
    <xf numFmtId="0" fontId="40" fillId="0" borderId="70" xfId="40" applyFont="1" applyFill="1" applyBorder="1" applyAlignment="1">
      <alignment horizontal="center"/>
    </xf>
    <xf numFmtId="0" fontId="2" fillId="0" borderId="69" xfId="40" applyBorder="1"/>
    <xf numFmtId="0" fontId="44" fillId="0" borderId="65" xfId="40" applyFont="1" applyBorder="1"/>
    <xf numFmtId="0" fontId="40" fillId="0" borderId="0" xfId="40" applyFont="1" applyBorder="1" applyAlignment="1">
      <alignment horizontal="center"/>
    </xf>
    <xf numFmtId="0" fontId="43" fillId="0" borderId="0" xfId="40" applyFont="1" applyBorder="1" applyAlignment="1">
      <alignment horizontal="center"/>
    </xf>
    <xf numFmtId="0" fontId="40" fillId="0" borderId="0" xfId="40" applyFont="1" applyFill="1" applyBorder="1" applyAlignment="1">
      <alignment horizontal="center"/>
    </xf>
    <xf numFmtId="0" fontId="40" fillId="0" borderId="64" xfId="40" applyFont="1" applyBorder="1" applyAlignment="1">
      <alignment horizontal="center"/>
    </xf>
    <xf numFmtId="49" fontId="44" fillId="0" borderId="65" xfId="40" applyNumberFormat="1" applyFont="1" applyBorder="1"/>
    <xf numFmtId="0" fontId="44" fillId="0" borderId="0" xfId="40" applyFont="1" applyBorder="1"/>
    <xf numFmtId="49" fontId="2" fillId="0" borderId="0" xfId="40" applyNumberFormat="1" applyBorder="1" applyAlignment="1">
      <alignment horizontal="center"/>
    </xf>
    <xf numFmtId="0" fontId="2" fillId="0" borderId="64" xfId="40" applyBorder="1"/>
    <xf numFmtId="49" fontId="40" fillId="0" borderId="0" xfId="40" applyNumberFormat="1" applyFont="1" applyBorder="1" applyAlignment="1">
      <alignment horizontal="right"/>
    </xf>
    <xf numFmtId="42" fontId="40" fillId="0" borderId="64" xfId="40" applyNumberFormat="1" applyFont="1" applyBorder="1"/>
    <xf numFmtId="0" fontId="40" fillId="0" borderId="65" xfId="40" applyFont="1" applyBorder="1"/>
    <xf numFmtId="0" fontId="40" fillId="0" borderId="0" xfId="40" applyFont="1" applyBorder="1"/>
    <xf numFmtId="0" fontId="2" fillId="0" borderId="0" xfId="40" applyFont="1" applyBorder="1"/>
    <xf numFmtId="0" fontId="2" fillId="6" borderId="20" xfId="40" applyFill="1" applyBorder="1" applyAlignment="1">
      <alignment horizontal="center"/>
    </xf>
    <xf numFmtId="0" fontId="2" fillId="0" borderId="0" xfId="40" applyBorder="1" applyAlignment="1">
      <alignment horizontal="center"/>
    </xf>
    <xf numFmtId="166" fontId="2" fillId="6" borderId="20" xfId="40" applyNumberFormat="1" applyFill="1" applyBorder="1" applyAlignment="1">
      <alignment horizontal="center"/>
    </xf>
    <xf numFmtId="42" fontId="2" fillId="0" borderId="0" xfId="40" applyNumberFormat="1" applyBorder="1"/>
    <xf numFmtId="44" fontId="2" fillId="0" borderId="0" xfId="40" applyNumberFormat="1" applyBorder="1" applyAlignment="1">
      <alignment horizontal="right"/>
    </xf>
    <xf numFmtId="44" fontId="2" fillId="0" borderId="64" xfId="40" applyNumberFormat="1" applyBorder="1"/>
    <xf numFmtId="0" fontId="40" fillId="0" borderId="65" xfId="40" applyFont="1" applyFill="1" applyBorder="1"/>
    <xf numFmtId="0" fontId="40" fillId="0" borderId="0" xfId="40" applyFont="1" applyFill="1" applyBorder="1"/>
    <xf numFmtId="0" fontId="2" fillId="0" borderId="0" xfId="40" applyFont="1" applyFill="1" applyBorder="1"/>
    <xf numFmtId="0" fontId="2" fillId="0" borderId="0" xfId="40" applyFill="1" applyBorder="1" applyAlignment="1">
      <alignment horizontal="center"/>
    </xf>
    <xf numFmtId="44" fontId="2" fillId="0" borderId="0" xfId="40" applyNumberFormat="1" applyFill="1" applyBorder="1"/>
    <xf numFmtId="42" fontId="2" fillId="0" borderId="0" xfId="40" applyNumberFormat="1" applyFill="1" applyBorder="1"/>
    <xf numFmtId="44" fontId="40" fillId="0" borderId="0" xfId="40" applyNumberFormat="1" applyFont="1" applyBorder="1" applyAlignment="1">
      <alignment horizontal="right"/>
    </xf>
    <xf numFmtId="0" fontId="44" fillId="0" borderId="0" xfId="40" applyFont="1" applyFill="1" applyBorder="1"/>
    <xf numFmtId="42" fontId="2" fillId="0" borderId="64" xfId="40" applyNumberFormat="1" applyBorder="1"/>
    <xf numFmtId="0" fontId="43" fillId="0" borderId="65" xfId="40" applyFont="1" applyFill="1" applyBorder="1"/>
    <xf numFmtId="0" fontId="43" fillId="0" borderId="0" xfId="40" applyFont="1" applyFill="1" applyBorder="1"/>
    <xf numFmtId="0" fontId="45" fillId="0" borderId="0" xfId="40" applyFont="1" applyFill="1" applyBorder="1"/>
    <xf numFmtId="0" fontId="45" fillId="0" borderId="0" xfId="40" applyFont="1" applyFill="1" applyBorder="1" applyAlignment="1">
      <alignment horizontal="center"/>
    </xf>
    <xf numFmtId="42" fontId="45" fillId="0" borderId="0" xfId="40" applyNumberFormat="1" applyFont="1" applyFill="1" applyBorder="1"/>
    <xf numFmtId="1" fontId="2" fillId="6" borderId="20" xfId="40" applyNumberFormat="1" applyFill="1" applyBorder="1" applyAlignment="1">
      <alignment horizontal="center"/>
    </xf>
    <xf numFmtId="3" fontId="0" fillId="6" borderId="20" xfId="41" applyNumberFormat="1" applyFont="1" applyFill="1" applyBorder="1" applyAlignment="1">
      <alignment horizontal="center"/>
    </xf>
    <xf numFmtId="0" fontId="2" fillId="0" borderId="65" xfId="40" applyFont="1" applyFill="1" applyBorder="1"/>
    <xf numFmtId="0" fontId="2" fillId="0" borderId="0" xfId="40" applyFont="1" applyFill="1" applyBorder="1" applyAlignment="1">
      <alignment horizontal="center"/>
    </xf>
    <xf numFmtId="42" fontId="2" fillId="0" borderId="0" xfId="40" applyNumberFormat="1" applyFont="1" applyFill="1" applyBorder="1"/>
    <xf numFmtId="0" fontId="2" fillId="0" borderId="65" xfId="40" applyFont="1" applyBorder="1"/>
    <xf numFmtId="0" fontId="2" fillId="6" borderId="20" xfId="40" applyFont="1" applyFill="1" applyBorder="1" applyAlignment="1">
      <alignment horizontal="center"/>
    </xf>
    <xf numFmtId="0" fontId="2" fillId="0" borderId="0" xfId="40" applyFont="1" applyBorder="1" applyAlignment="1">
      <alignment horizontal="center"/>
    </xf>
    <xf numFmtId="44" fontId="2" fillId="6" borderId="20" xfId="40" applyNumberFormat="1" applyFont="1" applyFill="1" applyBorder="1"/>
    <xf numFmtId="42" fontId="2" fillId="0" borderId="0" xfId="40" applyNumberFormat="1" applyFont="1" applyBorder="1"/>
    <xf numFmtId="44" fontId="2" fillId="0" borderId="0" xfId="40" applyNumberFormat="1" applyFont="1" applyBorder="1" applyAlignment="1">
      <alignment horizontal="right"/>
    </xf>
    <xf numFmtId="42" fontId="2" fillId="0" borderId="64" xfId="40" applyNumberFormat="1" applyFont="1" applyBorder="1"/>
    <xf numFmtId="10" fontId="2" fillId="6" borderId="20" xfId="40" applyNumberFormat="1" applyFont="1" applyFill="1" applyBorder="1" applyAlignment="1">
      <alignment horizontal="center"/>
    </xf>
    <xf numFmtId="0" fontId="46" fillId="0" borderId="67" xfId="40" applyFont="1" applyBorder="1"/>
    <xf numFmtId="0" fontId="47" fillId="0" borderId="21" xfId="40" applyFont="1" applyBorder="1"/>
    <xf numFmtId="0" fontId="40" fillId="0" borderId="21" xfId="40" applyFont="1" applyBorder="1" applyAlignment="1"/>
    <xf numFmtId="0" fontId="2" fillId="0" borderId="21" xfId="40" applyBorder="1" applyAlignment="1"/>
    <xf numFmtId="42" fontId="2" fillId="0" borderId="21" xfId="40" applyNumberFormat="1" applyBorder="1"/>
    <xf numFmtId="44" fontId="48" fillId="0" borderId="21" xfId="40" applyNumberFormat="1" applyFont="1" applyBorder="1" applyAlignment="1">
      <alignment horizontal="right"/>
    </xf>
    <xf numFmtId="41" fontId="40" fillId="0" borderId="66" xfId="40" applyNumberFormat="1" applyFont="1" applyBorder="1"/>
    <xf numFmtId="0" fontId="47" fillId="0" borderId="65" xfId="40" applyFont="1" applyBorder="1"/>
    <xf numFmtId="0" fontId="47" fillId="0" borderId="0" xfId="40" applyFont="1" applyBorder="1"/>
    <xf numFmtId="44" fontId="2" fillId="0" borderId="0" xfId="40" applyNumberFormat="1" applyBorder="1"/>
    <xf numFmtId="9" fontId="0" fillId="6" borderId="20" xfId="41" applyFont="1" applyFill="1" applyBorder="1" applyAlignment="1">
      <alignment horizontal="center"/>
    </xf>
    <xf numFmtId="42" fontId="2" fillId="0" borderId="0" xfId="40" applyNumberFormat="1"/>
    <xf numFmtId="10" fontId="0" fillId="6" borderId="20" xfId="41" applyNumberFormat="1" applyFont="1" applyFill="1" applyBorder="1" applyAlignment="1">
      <alignment horizontal="center"/>
    </xf>
    <xf numFmtId="0" fontId="44" fillId="0" borderId="21" xfId="40" applyFont="1" applyBorder="1"/>
    <xf numFmtId="42" fontId="40" fillId="0" borderId="21" xfId="40" applyNumberFormat="1" applyFont="1" applyBorder="1"/>
    <xf numFmtId="0" fontId="46" fillId="0" borderId="21" xfId="40" applyFont="1" applyBorder="1"/>
    <xf numFmtId="44" fontId="40" fillId="0" borderId="21" xfId="40" applyNumberFormat="1" applyFont="1" applyBorder="1"/>
    <xf numFmtId="49" fontId="47" fillId="0" borderId="65" xfId="40" applyNumberFormat="1" applyFont="1" applyBorder="1"/>
    <xf numFmtId="9" fontId="0" fillId="0" borderId="0" xfId="41" applyFont="1" applyBorder="1"/>
    <xf numFmtId="44" fontId="40" fillId="0" borderId="0" xfId="40" applyNumberFormat="1" applyFont="1" applyBorder="1"/>
    <xf numFmtId="44" fontId="2" fillId="0" borderId="64" xfId="40" applyNumberFormat="1" applyBorder="1" applyAlignment="1">
      <alignment horizontal="right"/>
    </xf>
    <xf numFmtId="3" fontId="2" fillId="6" borderId="20" xfId="40" applyNumberFormat="1" applyFont="1" applyFill="1" applyBorder="1" applyAlignment="1">
      <alignment horizontal="center"/>
    </xf>
    <xf numFmtId="0" fontId="40" fillId="0" borderId="21" xfId="40" applyFont="1" applyBorder="1"/>
    <xf numFmtId="0" fontId="40" fillId="0" borderId="21" xfId="40" applyFont="1" applyBorder="1" applyAlignment="1">
      <alignment horizontal="center"/>
    </xf>
    <xf numFmtId="44" fontId="2" fillId="0" borderId="0" xfId="40" applyNumberFormat="1" applyBorder="1" applyAlignment="1">
      <alignment horizontal="center"/>
    </xf>
    <xf numFmtId="44" fontId="40" fillId="0" borderId="64" xfId="40" applyNumberFormat="1" applyFont="1" applyBorder="1" applyAlignment="1">
      <alignment horizontal="right"/>
    </xf>
    <xf numFmtId="9" fontId="0" fillId="6" borderId="20" xfId="41" applyFont="1" applyFill="1" applyBorder="1"/>
    <xf numFmtId="0" fontId="48" fillId="0" borderId="21" xfId="40" applyFont="1" applyBorder="1"/>
    <xf numFmtId="0" fontId="49" fillId="0" borderId="21" xfId="40" applyFont="1" applyBorder="1"/>
    <xf numFmtId="44" fontId="49" fillId="0" borderId="21" xfId="40" applyNumberFormat="1" applyFont="1" applyBorder="1"/>
    <xf numFmtId="41" fontId="49" fillId="0" borderId="66" xfId="40" applyNumberFormat="1" applyFont="1" applyBorder="1"/>
    <xf numFmtId="0" fontId="50" fillId="0" borderId="63" xfId="40" applyFont="1" applyBorder="1"/>
    <xf numFmtId="0" fontId="51" fillId="0" borderId="62" xfId="40" applyFont="1" applyBorder="1"/>
    <xf numFmtId="0" fontId="50" fillId="0" borderId="62" xfId="40" applyFont="1" applyBorder="1"/>
    <xf numFmtId="44" fontId="51" fillId="0" borderId="62" xfId="40" applyNumberFormat="1" applyFont="1" applyBorder="1"/>
    <xf numFmtId="44" fontId="52" fillId="0" borderId="62" xfId="40" applyNumberFormat="1" applyFont="1" applyBorder="1"/>
    <xf numFmtId="44" fontId="48" fillId="0" borderId="62" xfId="40" applyNumberFormat="1" applyFont="1" applyBorder="1" applyAlignment="1">
      <alignment horizontal="right"/>
    </xf>
    <xf numFmtId="41" fontId="50" fillId="0" borderId="61" xfId="40" applyNumberFormat="1" applyFont="1" applyBorder="1"/>
    <xf numFmtId="0" fontId="41" fillId="0" borderId="78" xfId="40" applyFont="1" applyBorder="1"/>
    <xf numFmtId="0" fontId="44" fillId="0" borderId="85" xfId="40" applyFont="1" applyBorder="1"/>
    <xf numFmtId="0" fontId="44" fillId="0" borderId="7" xfId="40" applyFont="1" applyBorder="1"/>
    <xf numFmtId="0" fontId="2" fillId="0" borderId="7" xfId="40" applyBorder="1"/>
    <xf numFmtId="0" fontId="40" fillId="0" borderId="7" xfId="40" applyFont="1" applyBorder="1" applyAlignment="1">
      <alignment horizontal="center"/>
    </xf>
    <xf numFmtId="0" fontId="43" fillId="0" borderId="7" xfId="40" applyFont="1" applyBorder="1" applyAlignment="1">
      <alignment horizontal="center"/>
    </xf>
    <xf numFmtId="0" fontId="40" fillId="0" borderId="7" xfId="40" applyFont="1" applyFill="1" applyBorder="1" applyAlignment="1">
      <alignment horizontal="center"/>
    </xf>
    <xf numFmtId="0" fontId="40" fillId="0" borderId="84" xfId="40" applyFont="1" applyBorder="1" applyAlignment="1">
      <alignment horizontal="center"/>
    </xf>
    <xf numFmtId="49" fontId="2" fillId="0" borderId="65" xfId="40" applyNumberFormat="1" applyBorder="1"/>
    <xf numFmtId="42" fontId="2" fillId="0" borderId="0" xfId="40" applyNumberFormat="1" applyBorder="1" applyAlignment="1">
      <alignment horizontal="right"/>
    </xf>
    <xf numFmtId="44" fontId="2" fillId="0" borderId="0" xfId="40" applyNumberFormat="1" applyBorder="1" applyAlignment="1"/>
    <xf numFmtId="0" fontId="2" fillId="0" borderId="0" xfId="40" applyFill="1" applyBorder="1"/>
    <xf numFmtId="2" fontId="2" fillId="6" borderId="20" xfId="40" applyNumberFormat="1" applyFill="1" applyBorder="1" applyAlignment="1">
      <alignment horizontal="center"/>
    </xf>
    <xf numFmtId="2" fontId="2" fillId="0" borderId="0" xfId="40" applyNumberFormat="1" applyFill="1" applyBorder="1" applyAlignment="1">
      <alignment horizontal="center"/>
    </xf>
    <xf numFmtId="3" fontId="2" fillId="6" borderId="20" xfId="40" applyNumberFormat="1" applyFill="1" applyBorder="1" applyAlignment="1">
      <alignment horizontal="center"/>
    </xf>
    <xf numFmtId="49" fontId="2" fillId="0" borderId="0" xfId="40" applyNumberFormat="1" applyBorder="1"/>
    <xf numFmtId="37" fontId="2" fillId="0" borderId="0" xfId="40" applyNumberFormat="1" applyBorder="1"/>
    <xf numFmtId="9" fontId="0" fillId="0" borderId="0" xfId="41" applyFont="1" applyFill="1" applyBorder="1" applyAlignment="1">
      <alignment horizontal="center"/>
    </xf>
    <xf numFmtId="0" fontId="2" fillId="0" borderId="65" xfId="40" applyBorder="1" applyAlignment="1">
      <alignment horizontal="left"/>
    </xf>
    <xf numFmtId="49" fontId="49" fillId="0" borderId="0" xfId="40" applyNumberFormat="1" applyFont="1" applyBorder="1"/>
    <xf numFmtId="168" fontId="2" fillId="0" borderId="0" xfId="40" applyNumberFormat="1" applyFill="1" applyBorder="1"/>
    <xf numFmtId="42" fontId="53" fillId="0" borderId="0" xfId="40" applyNumberFormat="1" applyFont="1" applyBorder="1"/>
    <xf numFmtId="49" fontId="49" fillId="0" borderId="67" xfId="40" applyNumberFormat="1" applyFont="1" applyBorder="1"/>
    <xf numFmtId="49" fontId="49" fillId="0" borderId="21" xfId="40" applyNumberFormat="1" applyFont="1" applyBorder="1"/>
    <xf numFmtId="0" fontId="2" fillId="0" borderId="21" xfId="40" applyBorder="1" applyAlignment="1">
      <alignment horizontal="left"/>
    </xf>
    <xf numFmtId="168" fontId="2" fillId="0" borderId="21" xfId="40" applyNumberFormat="1" applyBorder="1" applyAlignment="1">
      <alignment horizontal="center"/>
    </xf>
    <xf numFmtId="44" fontId="2" fillId="0" borderId="21" xfId="40" applyNumberFormat="1" applyBorder="1" applyAlignment="1">
      <alignment horizontal="right"/>
    </xf>
    <xf numFmtId="42" fontId="2" fillId="0" borderId="21" xfId="40" applyNumberFormat="1" applyBorder="1" applyAlignment="1">
      <alignment horizontal="right"/>
    </xf>
    <xf numFmtId="42" fontId="53" fillId="0" borderId="21" xfId="40" applyNumberFormat="1" applyFont="1" applyBorder="1"/>
    <xf numFmtId="42" fontId="49" fillId="0" borderId="21" xfId="40" applyNumberFormat="1" applyFont="1" applyBorder="1" applyAlignment="1">
      <alignment horizontal="right"/>
    </xf>
    <xf numFmtId="42" fontId="2" fillId="0" borderId="66" xfId="40" applyNumberFormat="1" applyBorder="1"/>
    <xf numFmtId="42" fontId="49" fillId="0" borderId="0" xfId="40" applyNumberFormat="1" applyFont="1" applyBorder="1" applyAlignment="1">
      <alignment horizontal="right"/>
    </xf>
    <xf numFmtId="0" fontId="44" fillId="0" borderId="65" xfId="40" applyFont="1" applyBorder="1" applyAlignment="1">
      <alignment horizontal="left"/>
    </xf>
    <xf numFmtId="10" fontId="2" fillId="6" borderId="20" xfId="40" applyNumberFormat="1" applyFill="1" applyBorder="1" applyAlignment="1">
      <alignment horizontal="center"/>
    </xf>
    <xf numFmtId="0" fontId="2" fillId="0" borderId="64" xfId="40" applyFill="1" applyBorder="1" applyAlignment="1">
      <alignment horizontal="center"/>
    </xf>
    <xf numFmtId="0" fontId="54" fillId="0" borderId="0" xfId="40" applyFont="1"/>
    <xf numFmtId="42" fontId="49" fillId="0" borderId="0" xfId="40" applyNumberFormat="1" applyFont="1" applyBorder="1"/>
    <xf numFmtId="42" fontId="43" fillId="0" borderId="0" xfId="40" applyNumberFormat="1" applyFont="1" applyBorder="1" applyAlignment="1">
      <alignment horizontal="right"/>
    </xf>
    <xf numFmtId="0" fontId="53" fillId="0" borderId="21" xfId="40" applyFont="1" applyBorder="1"/>
    <xf numFmtId="0" fontId="53" fillId="0" borderId="21" xfId="40" applyFont="1" applyBorder="1" applyAlignment="1">
      <alignment horizontal="center"/>
    </xf>
    <xf numFmtId="42" fontId="2" fillId="0" borderId="21" xfId="40" applyNumberFormat="1" applyFill="1" applyBorder="1"/>
    <xf numFmtId="49" fontId="40" fillId="0" borderId="65" xfId="40" applyNumberFormat="1" applyFont="1" applyBorder="1"/>
    <xf numFmtId="49" fontId="40" fillId="0" borderId="0" xfId="40" applyNumberFormat="1" applyFont="1" applyBorder="1"/>
    <xf numFmtId="49" fontId="55" fillId="0" borderId="67" xfId="40" applyNumberFormat="1" applyFont="1" applyBorder="1"/>
    <xf numFmtId="49" fontId="55" fillId="0" borderId="21" xfId="40" applyNumberFormat="1" applyFont="1" applyBorder="1"/>
    <xf numFmtId="0" fontId="2" fillId="0" borderId="21" xfId="40" applyBorder="1"/>
    <xf numFmtId="0" fontId="2" fillId="0" borderId="21" xfId="40" applyBorder="1" applyAlignment="1">
      <alignment horizontal="center"/>
    </xf>
    <xf numFmtId="42" fontId="49" fillId="0" borderId="21" xfId="40" applyNumberFormat="1" applyFont="1" applyBorder="1"/>
    <xf numFmtId="49" fontId="2" fillId="0" borderId="0" xfId="40" applyNumberFormat="1" applyBorder="1" applyAlignment="1">
      <alignment horizontal="right"/>
    </xf>
    <xf numFmtId="0" fontId="2" fillId="6" borderId="80" xfId="40" applyFill="1" applyBorder="1" applyAlignment="1">
      <alignment horizontal="center"/>
    </xf>
    <xf numFmtId="0" fontId="44" fillId="0" borderId="63" xfId="40" applyFont="1" applyBorder="1"/>
    <xf numFmtId="0" fontId="44" fillId="0" borderId="62" xfId="40" applyFont="1" applyBorder="1"/>
    <xf numFmtId="0" fontId="2" fillId="0" borderId="62" xfId="40" applyBorder="1"/>
    <xf numFmtId="0" fontId="48" fillId="0" borderId="62" xfId="40" applyFont="1" applyBorder="1"/>
    <xf numFmtId="49" fontId="49" fillId="0" borderId="62" xfId="40" applyNumberFormat="1" applyFont="1" applyBorder="1" applyAlignment="1">
      <alignment horizontal="right"/>
    </xf>
    <xf numFmtId="42" fontId="2" fillId="0" borderId="61" xfId="40" applyNumberFormat="1" applyBorder="1"/>
    <xf numFmtId="0" fontId="40" fillId="0" borderId="6" xfId="40" applyFont="1" applyBorder="1" applyAlignment="1">
      <alignment horizontal="left"/>
    </xf>
    <xf numFmtId="0" fontId="40" fillId="0" borderId="8" xfId="40" applyFont="1" applyBorder="1" applyAlignment="1">
      <alignment horizontal="center"/>
    </xf>
    <xf numFmtId="0" fontId="40" fillId="0" borderId="0" xfId="40" applyFont="1" applyAlignment="1">
      <alignment horizontal="center"/>
    </xf>
    <xf numFmtId="0" fontId="2" fillId="0" borderId="1" xfId="40" applyBorder="1"/>
    <xf numFmtId="0" fontId="2" fillId="0" borderId="2" xfId="40" applyBorder="1"/>
    <xf numFmtId="0" fontId="2" fillId="0" borderId="3" xfId="40" applyBorder="1"/>
    <xf numFmtId="0" fontId="2" fillId="6" borderId="42" xfId="40" applyFill="1" applyBorder="1" applyAlignment="1">
      <alignment horizontal="center"/>
    </xf>
    <xf numFmtId="0" fontId="2" fillId="0" borderId="5" xfId="40" applyBorder="1"/>
    <xf numFmtId="0" fontId="62" fillId="0" borderId="59" xfId="0" applyFont="1" applyFill="1" applyBorder="1" applyAlignment="1">
      <alignment horizontal="center" wrapText="1"/>
    </xf>
    <xf numFmtId="0" fontId="62" fillId="0" borderId="50" xfId="0" applyFont="1" applyFill="1" applyBorder="1" applyAlignment="1">
      <alignment horizontal="center" wrapText="1"/>
    </xf>
    <xf numFmtId="0" fontId="62" fillId="0" borderId="10" xfId="0" applyFont="1" applyBorder="1" applyAlignment="1">
      <alignment horizontal="center" vertical="center"/>
    </xf>
    <xf numFmtId="0" fontId="62" fillId="0" borderId="43" xfId="0" applyFont="1" applyBorder="1" applyAlignment="1">
      <alignment horizontal="center" vertical="center"/>
    </xf>
    <xf numFmtId="0" fontId="62" fillId="0" borderId="30" xfId="0" applyFont="1" applyBorder="1" applyAlignment="1">
      <alignment horizontal="center" vertical="center"/>
    </xf>
    <xf numFmtId="0" fontId="62" fillId="0" borderId="51" xfId="0" applyFont="1" applyBorder="1" applyAlignment="1">
      <alignment horizontal="center" vertical="center"/>
    </xf>
    <xf numFmtId="0" fontId="62" fillId="0" borderId="34" xfId="0" applyFont="1" applyBorder="1" applyAlignment="1">
      <alignment horizontal="center" vertical="center"/>
    </xf>
    <xf numFmtId="0" fontId="62" fillId="0" borderId="44" xfId="0" applyFont="1" applyBorder="1" applyAlignment="1">
      <alignment horizontal="center" vertical="center"/>
    </xf>
    <xf numFmtId="0" fontId="62" fillId="0" borderId="10" xfId="0" applyFont="1" applyBorder="1" applyAlignment="1">
      <alignment horizontal="center" vertical="center" wrapText="1"/>
    </xf>
    <xf numFmtId="0" fontId="62" fillId="0" borderId="43" xfId="0" applyFont="1" applyBorder="1" applyAlignment="1">
      <alignment horizontal="center" vertical="center" wrapText="1"/>
    </xf>
    <xf numFmtId="0" fontId="62" fillId="0" borderId="30" xfId="0" applyFont="1" applyBorder="1" applyAlignment="1">
      <alignment horizontal="center" vertical="center" wrapText="1"/>
    </xf>
    <xf numFmtId="0" fontId="62" fillId="0" borderId="38" xfId="0" applyFont="1" applyBorder="1" applyAlignment="1">
      <alignment horizontal="center" vertical="center"/>
    </xf>
    <xf numFmtId="0" fontId="62" fillId="0" borderId="27" xfId="0" applyFont="1" applyBorder="1" applyAlignment="1">
      <alignment horizontal="center" vertical="center"/>
    </xf>
    <xf numFmtId="0" fontId="62" fillId="0" borderId="51" xfId="0" applyFont="1" applyBorder="1" applyAlignment="1">
      <alignment horizontal="center" vertical="center" wrapText="1"/>
    </xf>
    <xf numFmtId="0" fontId="62" fillId="0" borderId="34" xfId="0" applyFont="1" applyBorder="1" applyAlignment="1">
      <alignment horizontal="center" vertical="center" wrapText="1"/>
    </xf>
    <xf numFmtId="0" fontId="62" fillId="0" borderId="44" xfId="0" applyFont="1" applyBorder="1" applyAlignment="1">
      <alignment horizontal="center" vertical="center" wrapText="1"/>
    </xf>
    <xf numFmtId="49" fontId="62" fillId="0" borderId="51" xfId="0" applyNumberFormat="1" applyFont="1" applyBorder="1" applyAlignment="1">
      <alignment horizontal="center" vertical="center"/>
    </xf>
    <xf numFmtId="49" fontId="62" fillId="0" borderId="44" xfId="0" applyNumberFormat="1" applyFont="1" applyBorder="1"/>
    <xf numFmtId="0" fontId="62" fillId="0" borderId="9" xfId="0" applyFont="1" applyBorder="1" applyAlignment="1">
      <alignment horizontal="center" vertical="center"/>
    </xf>
    <xf numFmtId="0" fontId="62" fillId="0" borderId="60" xfId="0" applyFont="1" applyBorder="1" applyAlignment="1">
      <alignment horizontal="center" vertical="center"/>
    </xf>
    <xf numFmtId="0" fontId="62" fillId="0" borderId="58" xfId="0" applyFont="1" applyBorder="1" applyAlignment="1">
      <alignment horizontal="center" vertical="center"/>
    </xf>
    <xf numFmtId="0" fontId="62" fillId="0" borderId="35" xfId="0" applyFont="1" applyBorder="1" applyAlignment="1">
      <alignment horizontal="center" vertical="center"/>
    </xf>
    <xf numFmtId="0" fontId="62" fillId="0" borderId="0" xfId="0" applyNumberFormat="1" applyFont="1" applyBorder="1" applyAlignment="1" applyProtection="1">
      <alignment horizontal="left" vertical="center" wrapText="1"/>
      <protection locked="0"/>
    </xf>
    <xf numFmtId="0" fontId="62" fillId="0" borderId="38" xfId="0" applyNumberFormat="1" applyFont="1" applyBorder="1" applyAlignment="1" applyProtection="1">
      <alignment horizontal="center" vertical="center"/>
      <protection locked="0"/>
    </xf>
    <xf numFmtId="0" fontId="62" fillId="0" borderId="44" xfId="0" applyNumberFormat="1" applyFont="1" applyBorder="1" applyAlignment="1" applyProtection="1">
      <alignment horizontal="center" vertical="center"/>
      <protection locked="0"/>
    </xf>
    <xf numFmtId="0" fontId="62" fillId="4" borderId="10" xfId="0" applyNumberFormat="1" applyFont="1" applyFill="1" applyBorder="1" applyAlignment="1" applyProtection="1">
      <alignment horizontal="center" vertical="center" wrapText="1"/>
      <protection locked="0"/>
    </xf>
    <xf numFmtId="0" fontId="62" fillId="4" borderId="30" xfId="0" applyNumberFormat="1" applyFont="1" applyFill="1" applyBorder="1" applyAlignment="1" applyProtection="1">
      <alignment horizontal="center" vertical="center" wrapText="1"/>
      <protection locked="0"/>
    </xf>
    <xf numFmtId="0" fontId="60" fillId="0" borderId="0" xfId="0" applyFont="1" applyAlignment="1">
      <alignment horizontal="center"/>
    </xf>
    <xf numFmtId="0" fontId="60" fillId="3" borderId="32" xfId="0" applyFont="1" applyFill="1" applyBorder="1" applyAlignment="1">
      <alignment horizontal="center" vertical="center" wrapText="1"/>
    </xf>
    <xf numFmtId="0" fontId="60" fillId="3" borderId="33" xfId="0" applyFont="1" applyFill="1" applyBorder="1" applyAlignment="1">
      <alignment horizontal="center" vertical="center" wrapText="1"/>
    </xf>
    <xf numFmtId="0" fontId="62" fillId="0" borderId="34" xfId="0" applyNumberFormat="1" applyFont="1" applyBorder="1" applyAlignment="1" applyProtection="1">
      <alignment horizontal="center" vertical="center"/>
      <protection locked="0"/>
    </xf>
    <xf numFmtId="0" fontId="62" fillId="4" borderId="43" xfId="0" applyNumberFormat="1" applyFont="1" applyFill="1" applyBorder="1" applyAlignment="1" applyProtection="1">
      <alignment horizontal="center" vertical="center" wrapText="1"/>
      <protection locked="0"/>
    </xf>
    <xf numFmtId="0" fontId="62" fillId="4" borderId="2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51" xfId="0" applyNumberFormat="1" applyFont="1" applyBorder="1" applyAlignment="1" applyProtection="1">
      <alignment horizontal="center" vertical="center"/>
      <protection locked="0"/>
    </xf>
    <xf numFmtId="0" fontId="7" fillId="6" borderId="27" xfId="34" applyFill="1" applyBorder="1" applyAlignment="1">
      <alignment horizontal="center"/>
    </xf>
    <xf numFmtId="0" fontId="41" fillId="7" borderId="74" xfId="34" applyFont="1" applyFill="1" applyBorder="1" applyAlignment="1">
      <alignment horizontal="center" vertical="center"/>
    </xf>
    <xf numFmtId="0" fontId="41" fillId="7" borderId="73" xfId="34" applyFont="1" applyFill="1" applyBorder="1" applyAlignment="1">
      <alignment horizontal="center" vertical="center"/>
    </xf>
    <xf numFmtId="0" fontId="41" fillId="7" borderId="72" xfId="34" applyFont="1" applyFill="1" applyBorder="1" applyAlignment="1">
      <alignment horizontal="center" vertical="center"/>
    </xf>
    <xf numFmtId="0" fontId="7" fillId="0" borderId="21" xfId="34" applyBorder="1" applyAlignment="1">
      <alignment horizontal="center"/>
    </xf>
    <xf numFmtId="0" fontId="60" fillId="0" borderId="0" xfId="24" applyFont="1" applyAlignment="1">
      <alignment horizontal="center"/>
    </xf>
    <xf numFmtId="0" fontId="7" fillId="6" borderId="87" xfId="34" applyFill="1" applyBorder="1" applyAlignment="1">
      <alignment horizontal="right"/>
    </xf>
    <xf numFmtId="0" fontId="7" fillId="6" borderId="86" xfId="34" applyFill="1" applyBorder="1" applyAlignment="1">
      <alignment horizontal="right"/>
    </xf>
    <xf numFmtId="0" fontId="7" fillId="6" borderId="58" xfId="34" applyFill="1" applyBorder="1" applyAlignment="1">
      <alignment horizontal="right"/>
    </xf>
    <xf numFmtId="0" fontId="44" fillId="7" borderId="65" xfId="34" applyFont="1" applyFill="1" applyBorder="1" applyAlignment="1">
      <alignment horizontal="center"/>
    </xf>
    <xf numFmtId="0" fontId="44" fillId="7" borderId="0" xfId="34" applyFont="1" applyFill="1" applyBorder="1" applyAlignment="1">
      <alignment horizontal="center"/>
    </xf>
    <xf numFmtId="0" fontId="44" fillId="7" borderId="64" xfId="34" applyFont="1" applyFill="1" applyBorder="1" applyAlignment="1">
      <alignment horizontal="center"/>
    </xf>
    <xf numFmtId="0" fontId="44" fillId="7" borderId="83" xfId="34" applyFont="1" applyFill="1" applyBorder="1" applyAlignment="1">
      <alignment horizontal="center"/>
    </xf>
    <xf numFmtId="0" fontId="44" fillId="7" borderId="82" xfId="34" applyFont="1" applyFill="1" applyBorder="1" applyAlignment="1">
      <alignment horizontal="center"/>
    </xf>
    <xf numFmtId="0" fontId="44" fillId="7" borderId="81" xfId="34" applyFont="1" applyFill="1" applyBorder="1" applyAlignment="1">
      <alignment horizontal="center"/>
    </xf>
    <xf numFmtId="0" fontId="9" fillId="6" borderId="20" xfId="30" applyFill="1" applyBorder="1" applyAlignment="1">
      <alignment horizontal="center"/>
    </xf>
    <xf numFmtId="0" fontId="41" fillId="7" borderId="74" xfId="30" applyFont="1" applyFill="1" applyBorder="1" applyAlignment="1">
      <alignment horizontal="center" vertical="center"/>
    </xf>
    <xf numFmtId="0" fontId="41" fillId="7" borderId="73" xfId="30" applyFont="1" applyFill="1" applyBorder="1" applyAlignment="1">
      <alignment horizontal="center" vertical="center"/>
    </xf>
    <xf numFmtId="0" fontId="41" fillId="7" borderId="72" xfId="30" applyFont="1" applyFill="1" applyBorder="1" applyAlignment="1">
      <alignment horizontal="center" vertical="center"/>
    </xf>
    <xf numFmtId="0" fontId="9" fillId="6" borderId="87" xfId="30" applyFill="1" applyBorder="1" applyAlignment="1">
      <alignment horizontal="right"/>
    </xf>
    <xf numFmtId="0" fontId="9" fillId="6" borderId="86" xfId="30" applyFill="1" applyBorder="1" applyAlignment="1">
      <alignment horizontal="right"/>
    </xf>
    <xf numFmtId="0" fontId="9" fillId="6" borderId="58" xfId="30" applyFill="1" applyBorder="1" applyAlignment="1">
      <alignment horizontal="right"/>
    </xf>
    <xf numFmtId="0" fontId="44" fillId="7" borderId="65" xfId="30" applyFont="1" applyFill="1" applyBorder="1" applyAlignment="1">
      <alignment horizontal="center"/>
    </xf>
    <xf numFmtId="0" fontId="44" fillId="7" borderId="0" xfId="30" applyFont="1" applyFill="1" applyBorder="1" applyAlignment="1">
      <alignment horizontal="center"/>
    </xf>
    <xf numFmtId="0" fontId="44" fillId="7" borderId="64" xfId="30" applyFont="1" applyFill="1" applyBorder="1" applyAlignment="1">
      <alignment horizontal="center"/>
    </xf>
    <xf numFmtId="0" fontId="44" fillId="7" borderId="83" xfId="30" applyFont="1" applyFill="1" applyBorder="1" applyAlignment="1">
      <alignment horizontal="center"/>
    </xf>
    <xf numFmtId="0" fontId="44" fillId="7" borderId="82" xfId="30" applyFont="1" applyFill="1" applyBorder="1" applyAlignment="1">
      <alignment horizontal="center"/>
    </xf>
    <xf numFmtId="0" fontId="44" fillId="7" borderId="81" xfId="30" applyFont="1" applyFill="1" applyBorder="1" applyAlignment="1">
      <alignment horizontal="center"/>
    </xf>
    <xf numFmtId="0" fontId="8" fillId="6" borderId="27" xfId="32" applyFill="1" applyBorder="1" applyAlignment="1">
      <alignment horizontal="center"/>
    </xf>
    <xf numFmtId="0" fontId="41" fillId="7" borderId="74" xfId="32" applyFont="1" applyFill="1" applyBorder="1" applyAlignment="1">
      <alignment horizontal="center" vertical="center"/>
    </xf>
    <xf numFmtId="0" fontId="41" fillId="7" borderId="73" xfId="32" applyFont="1" applyFill="1" applyBorder="1" applyAlignment="1">
      <alignment horizontal="center" vertical="center"/>
    </xf>
    <xf numFmtId="0" fontId="41" fillId="7" borderId="72" xfId="32" applyFont="1" applyFill="1" applyBorder="1" applyAlignment="1">
      <alignment horizontal="center" vertical="center"/>
    </xf>
    <xf numFmtId="0" fontId="8" fillId="0" borderId="21" xfId="32" applyBorder="1" applyAlignment="1">
      <alignment horizontal="center"/>
    </xf>
    <xf numFmtId="0" fontId="8" fillId="6" borderId="87" xfId="32" applyFill="1" applyBorder="1" applyAlignment="1">
      <alignment horizontal="right"/>
    </xf>
    <xf numFmtId="0" fontId="8" fillId="6" borderId="86" xfId="32" applyFill="1" applyBorder="1" applyAlignment="1">
      <alignment horizontal="right"/>
    </xf>
    <xf numFmtId="0" fontId="8" fillId="6" borderId="58" xfId="32" applyFill="1" applyBorder="1" applyAlignment="1">
      <alignment horizontal="right"/>
    </xf>
    <xf numFmtId="0" fontId="44" fillId="7" borderId="65" xfId="32" applyFont="1" applyFill="1" applyBorder="1" applyAlignment="1">
      <alignment horizontal="center"/>
    </xf>
    <xf numFmtId="0" fontId="44" fillId="7" borderId="0" xfId="32" applyFont="1" applyFill="1" applyBorder="1" applyAlignment="1">
      <alignment horizontal="center"/>
    </xf>
    <xf numFmtId="0" fontId="44" fillId="7" borderId="64" xfId="32" applyFont="1" applyFill="1" applyBorder="1" applyAlignment="1">
      <alignment horizontal="center"/>
    </xf>
    <xf numFmtId="0" fontId="8" fillId="0" borderId="0" xfId="32" applyFill="1" applyBorder="1" applyAlignment="1">
      <alignment horizontal="left"/>
    </xf>
    <xf numFmtId="0" fontId="44" fillId="7" borderId="83" xfId="32" applyFont="1" applyFill="1" applyBorder="1" applyAlignment="1">
      <alignment horizontal="center"/>
    </xf>
    <xf numFmtId="0" fontId="44" fillId="7" borderId="82" xfId="32" applyFont="1" applyFill="1" applyBorder="1" applyAlignment="1">
      <alignment horizontal="center"/>
    </xf>
    <xf numFmtId="0" fontId="44" fillId="7" borderId="81" xfId="32" applyFont="1" applyFill="1" applyBorder="1" applyAlignment="1">
      <alignment horizontal="center"/>
    </xf>
    <xf numFmtId="0" fontId="41" fillId="7" borderId="74" xfId="38" applyFont="1" applyFill="1" applyBorder="1" applyAlignment="1">
      <alignment horizontal="center" vertical="center"/>
    </xf>
    <xf numFmtId="0" fontId="41" fillId="7" borderId="73" xfId="38" applyFont="1" applyFill="1" applyBorder="1" applyAlignment="1">
      <alignment horizontal="center" vertical="center"/>
    </xf>
    <xf numFmtId="0" fontId="41" fillId="7" borderId="72" xfId="38" applyFont="1" applyFill="1" applyBorder="1" applyAlignment="1">
      <alignment horizontal="center" vertical="center"/>
    </xf>
    <xf numFmtId="0" fontId="4" fillId="6" borderId="87" xfId="38" applyFill="1" applyBorder="1" applyAlignment="1">
      <alignment horizontal="right"/>
    </xf>
    <xf numFmtId="0" fontId="4" fillId="6" borderId="86" xfId="38" applyFill="1" applyBorder="1" applyAlignment="1">
      <alignment horizontal="right"/>
    </xf>
    <xf numFmtId="0" fontId="4" fillId="6" borderId="58" xfId="38" applyFill="1" applyBorder="1" applyAlignment="1">
      <alignment horizontal="right"/>
    </xf>
    <xf numFmtId="0" fontId="44" fillId="7" borderId="65" xfId="38" applyFont="1" applyFill="1" applyBorder="1" applyAlignment="1">
      <alignment horizontal="center"/>
    </xf>
    <xf numFmtId="0" fontId="44" fillId="7" borderId="0" xfId="38" applyFont="1" applyFill="1" applyBorder="1" applyAlignment="1">
      <alignment horizontal="center"/>
    </xf>
    <xf numFmtId="0" fontId="44" fillId="7" borderId="64" xfId="38" applyFont="1" applyFill="1" applyBorder="1" applyAlignment="1">
      <alignment horizontal="center"/>
    </xf>
    <xf numFmtId="0" fontId="44" fillId="7" borderId="83" xfId="38" applyFont="1" applyFill="1" applyBorder="1" applyAlignment="1">
      <alignment horizontal="center"/>
    </xf>
    <xf numFmtId="0" fontId="44" fillId="7" borderId="82" xfId="38" applyFont="1" applyFill="1" applyBorder="1" applyAlignment="1">
      <alignment horizontal="center"/>
    </xf>
    <xf numFmtId="0" fontId="44" fillId="7" borderId="81" xfId="38" applyFont="1" applyFill="1" applyBorder="1" applyAlignment="1">
      <alignment horizontal="center"/>
    </xf>
    <xf numFmtId="0" fontId="6" fillId="6" borderId="27" xfId="36" applyFill="1" applyBorder="1" applyAlignment="1">
      <alignment horizontal="center"/>
    </xf>
    <xf numFmtId="0" fontId="41" fillId="7" borderId="74" xfId="36" applyFont="1" applyFill="1" applyBorder="1" applyAlignment="1">
      <alignment horizontal="center" vertical="center"/>
    </xf>
    <xf numFmtId="0" fontId="41" fillId="7" borderId="73" xfId="36" applyFont="1" applyFill="1" applyBorder="1" applyAlignment="1">
      <alignment horizontal="center" vertical="center"/>
    </xf>
    <xf numFmtId="0" fontId="41" fillId="7" borderId="72" xfId="36" applyFont="1" applyFill="1" applyBorder="1" applyAlignment="1">
      <alignment horizontal="center" vertical="center"/>
    </xf>
    <xf numFmtId="0" fontId="6" fillId="6" borderId="87" xfId="36" applyFill="1" applyBorder="1" applyAlignment="1">
      <alignment horizontal="right"/>
    </xf>
    <xf numFmtId="0" fontId="6" fillId="6" borderId="86" xfId="36" applyFill="1" applyBorder="1" applyAlignment="1">
      <alignment horizontal="right"/>
    </xf>
    <xf numFmtId="0" fontId="6" fillId="6" borderId="58" xfId="36" applyFill="1" applyBorder="1" applyAlignment="1">
      <alignment horizontal="right"/>
    </xf>
    <xf numFmtId="0" fontId="44" fillId="7" borderId="65" xfId="36" applyFont="1" applyFill="1" applyBorder="1" applyAlignment="1">
      <alignment horizontal="center"/>
    </xf>
    <xf numFmtId="0" fontId="44" fillId="7" borderId="0" xfId="36" applyFont="1" applyFill="1" applyBorder="1" applyAlignment="1">
      <alignment horizontal="center"/>
    </xf>
    <xf numFmtId="0" fontId="44" fillId="7" borderId="64" xfId="36" applyFont="1" applyFill="1" applyBorder="1" applyAlignment="1">
      <alignment horizontal="center"/>
    </xf>
    <xf numFmtId="0" fontId="44" fillId="7" borderId="83" xfId="36" applyFont="1" applyFill="1" applyBorder="1" applyAlignment="1">
      <alignment horizontal="center"/>
    </xf>
    <xf numFmtId="0" fontId="44" fillId="7" borderId="82" xfId="36" applyFont="1" applyFill="1" applyBorder="1" applyAlignment="1">
      <alignment horizontal="center"/>
    </xf>
    <xf numFmtId="0" fontId="44" fillId="7" borderId="81" xfId="36" applyFont="1" applyFill="1" applyBorder="1" applyAlignment="1">
      <alignment horizontal="center"/>
    </xf>
    <xf numFmtId="0" fontId="41" fillId="7" borderId="74" xfId="40" applyFont="1" applyFill="1" applyBorder="1" applyAlignment="1">
      <alignment horizontal="center" vertical="center"/>
    </xf>
    <xf numFmtId="0" fontId="41" fillId="7" borderId="73" xfId="40" applyFont="1" applyFill="1" applyBorder="1" applyAlignment="1">
      <alignment horizontal="center" vertical="center"/>
    </xf>
    <xf numFmtId="0" fontId="41" fillId="7" borderId="72" xfId="40" applyFont="1" applyFill="1" applyBorder="1" applyAlignment="1">
      <alignment horizontal="center" vertical="center"/>
    </xf>
    <xf numFmtId="0" fontId="40" fillId="0" borderId="21" xfId="40" applyFont="1" applyBorder="1" applyAlignment="1">
      <alignment horizontal="left"/>
    </xf>
    <xf numFmtId="0" fontId="2" fillId="6" borderId="89" xfId="40" applyFill="1" applyBorder="1" applyAlignment="1">
      <alignment horizontal="right"/>
    </xf>
    <xf numFmtId="0" fontId="2" fillId="6" borderId="90" xfId="40" applyFill="1" applyBorder="1" applyAlignment="1">
      <alignment horizontal="right"/>
    </xf>
    <xf numFmtId="0" fontId="2" fillId="6" borderId="91" xfId="40" applyFill="1" applyBorder="1" applyAlignment="1">
      <alignment horizontal="right"/>
    </xf>
    <xf numFmtId="0" fontId="44" fillId="7" borderId="83" xfId="40" applyFont="1" applyFill="1" applyBorder="1" applyAlignment="1">
      <alignment horizontal="center"/>
    </xf>
    <xf numFmtId="0" fontId="44" fillId="7" borderId="82" xfId="40" applyFont="1" applyFill="1" applyBorder="1" applyAlignment="1">
      <alignment horizontal="center"/>
    </xf>
    <xf numFmtId="0" fontId="44" fillId="7" borderId="81" xfId="40" applyFont="1" applyFill="1" applyBorder="1" applyAlignment="1">
      <alignment horizontal="center"/>
    </xf>
    <xf numFmtId="0" fontId="44" fillId="7" borderId="65" xfId="40" applyFont="1" applyFill="1" applyBorder="1" applyAlignment="1">
      <alignment horizontal="center"/>
    </xf>
    <xf numFmtId="0" fontId="44" fillId="7" borderId="0" xfId="40" applyFont="1" applyFill="1" applyBorder="1" applyAlignment="1">
      <alignment horizontal="center"/>
    </xf>
    <xf numFmtId="0" fontId="44" fillId="7" borderId="64" xfId="40" applyFont="1" applyFill="1" applyBorder="1" applyAlignment="1">
      <alignment horizontal="center"/>
    </xf>
    <xf numFmtId="0" fontId="2" fillId="0" borderId="0" xfId="40" applyFill="1" applyBorder="1" applyAlignment="1">
      <alignment horizontal="left"/>
    </xf>
    <xf numFmtId="0" fontId="30" fillId="0" borderId="21" xfId="24" applyFont="1" applyBorder="1" applyAlignment="1">
      <alignment horizontal="center"/>
    </xf>
    <xf numFmtId="0" fontId="33" fillId="7" borderId="74" xfId="24" applyFont="1" applyFill="1" applyBorder="1" applyAlignment="1">
      <alignment horizontal="center" vertical="center"/>
    </xf>
    <xf numFmtId="0" fontId="33" fillId="7" borderId="73" xfId="24" applyFont="1" applyFill="1" applyBorder="1" applyAlignment="1">
      <alignment horizontal="center" vertical="center"/>
    </xf>
    <xf numFmtId="0" fontId="33" fillId="7" borderId="72" xfId="24" applyFont="1" applyFill="1" applyBorder="1" applyAlignment="1">
      <alignment horizontal="center" vertical="center"/>
    </xf>
    <xf numFmtId="0" fontId="30" fillId="6" borderId="27" xfId="24" applyFont="1" applyFill="1" applyBorder="1" applyAlignment="1">
      <alignment horizontal="center"/>
    </xf>
    <xf numFmtId="0" fontId="33" fillId="7" borderId="65" xfId="24" applyFont="1" applyFill="1" applyBorder="1" applyAlignment="1">
      <alignment horizontal="center"/>
    </xf>
    <xf numFmtId="0" fontId="33" fillId="7" borderId="0" xfId="24" applyFont="1" applyFill="1" applyBorder="1" applyAlignment="1">
      <alignment horizontal="center"/>
    </xf>
    <xf numFmtId="0" fontId="33" fillId="7" borderId="64" xfId="24" applyFont="1" applyFill="1" applyBorder="1" applyAlignment="1">
      <alignment horizontal="center"/>
    </xf>
    <xf numFmtId="0" fontId="33" fillId="7" borderId="83" xfId="24" applyFont="1" applyFill="1" applyBorder="1" applyAlignment="1">
      <alignment horizontal="center"/>
    </xf>
    <xf numFmtId="0" fontId="33" fillId="7" borderId="82" xfId="24" applyFont="1" applyFill="1" applyBorder="1" applyAlignment="1">
      <alignment horizontal="center"/>
    </xf>
    <xf numFmtId="0" fontId="33" fillId="7" borderId="81" xfId="24" applyFont="1" applyFill="1" applyBorder="1" applyAlignment="1">
      <alignment horizontal="center"/>
    </xf>
    <xf numFmtId="0" fontId="30" fillId="6" borderId="87" xfId="24" applyFont="1" applyFill="1" applyBorder="1" applyAlignment="1">
      <alignment horizontal="right"/>
    </xf>
    <xf numFmtId="0" fontId="30" fillId="6" borderId="86" xfId="24" applyFont="1" applyFill="1" applyBorder="1" applyAlignment="1">
      <alignment horizontal="right"/>
    </xf>
    <xf numFmtId="0" fontId="30" fillId="6" borderId="58" xfId="24" applyFont="1" applyFill="1" applyBorder="1" applyAlignment="1">
      <alignment horizontal="right"/>
    </xf>
    <xf numFmtId="0" fontId="64" fillId="0" borderId="0" xfId="1" applyFont="1" applyFill="1" applyAlignment="1">
      <alignment wrapText="1"/>
    </xf>
    <xf numFmtId="0" fontId="64" fillId="0" borderId="0" xfId="1" applyFont="1" applyAlignment="1">
      <alignment horizontal="left" wrapText="1"/>
    </xf>
    <xf numFmtId="0" fontId="66" fillId="0" borderId="0" xfId="1" applyFont="1" applyAlignment="1">
      <alignment horizontal="center"/>
    </xf>
    <xf numFmtId="0" fontId="66" fillId="0" borderId="29" xfId="1" applyFont="1" applyBorder="1" applyAlignment="1">
      <alignment horizontal="center" vertical="top" wrapText="1"/>
    </xf>
    <xf numFmtId="0" fontId="66" fillId="0" borderId="21" xfId="1" applyFont="1" applyBorder="1" applyAlignment="1">
      <alignment horizontal="center" vertical="top" wrapText="1"/>
    </xf>
    <xf numFmtId="0" fontId="66" fillId="0" borderId="40" xfId="1" applyFont="1" applyBorder="1" applyAlignment="1">
      <alignment horizontal="center" vertical="top" wrapText="1"/>
    </xf>
    <xf numFmtId="0" fontId="66" fillId="0" borderId="29" xfId="1" applyFont="1" applyFill="1" applyBorder="1" applyAlignment="1">
      <alignment horizontal="center" vertical="top" wrapText="1"/>
    </xf>
    <xf numFmtId="0" fontId="66" fillId="0" borderId="21" xfId="1" applyFont="1" applyFill="1" applyBorder="1" applyAlignment="1">
      <alignment horizontal="center" vertical="top" wrapText="1"/>
    </xf>
    <xf numFmtId="0" fontId="66" fillId="0" borderId="40" xfId="1" applyFont="1" applyFill="1" applyBorder="1" applyAlignment="1">
      <alignment horizontal="center" vertical="top" wrapText="1"/>
    </xf>
    <xf numFmtId="0" fontId="60" fillId="0" borderId="0" xfId="1" applyFont="1" applyAlignment="1">
      <alignment horizontal="center" wrapText="1"/>
    </xf>
    <xf numFmtId="0" fontId="66" fillId="0" borderId="0" xfId="1" applyFont="1" applyAlignment="1">
      <alignment horizontal="center" wrapText="1"/>
    </xf>
    <xf numFmtId="0" fontId="60" fillId="3" borderId="10" xfId="1" applyFont="1" applyFill="1" applyBorder="1" applyAlignment="1">
      <alignment horizontal="center" vertical="center" wrapText="1"/>
    </xf>
    <xf numFmtId="0" fontId="60" fillId="3" borderId="13" xfId="1" applyFont="1" applyFill="1" applyBorder="1" applyAlignment="1">
      <alignment horizontal="center" vertical="center" wrapText="1"/>
    </xf>
    <xf numFmtId="0" fontId="63" fillId="0" borderId="38" xfId="1" applyFont="1" applyFill="1" applyBorder="1" applyAlignment="1">
      <alignment horizontal="center" vertical="center" wrapText="1"/>
    </xf>
    <xf numFmtId="0" fontId="63" fillId="0" borderId="39" xfId="1" applyFont="1" applyFill="1" applyBorder="1" applyAlignment="1">
      <alignment horizontal="center" vertical="center" wrapText="1"/>
    </xf>
    <xf numFmtId="0" fontId="63" fillId="0" borderId="27" xfId="1" applyFont="1" applyFill="1" applyBorder="1" applyAlignment="1">
      <alignment horizontal="center" vertical="center" wrapText="1"/>
    </xf>
    <xf numFmtId="0" fontId="63" fillId="0" borderId="25" xfId="1" applyFont="1" applyFill="1" applyBorder="1" applyAlignment="1">
      <alignment horizontal="center" vertical="center" wrapText="1"/>
    </xf>
    <xf numFmtId="0" fontId="21" fillId="0" borderId="0" xfId="1" applyFont="1" applyAlignment="1">
      <alignment horizontal="center"/>
    </xf>
    <xf numFmtId="0" fontId="25" fillId="0" borderId="0" xfId="1" applyFont="1" applyAlignment="1">
      <alignment horizontal="left" wrapText="1"/>
    </xf>
  </cellXfs>
  <cellStyles count="42">
    <cellStyle name="Comma 2" xfId="3"/>
    <cellStyle name="Comma 3" xfId="8"/>
    <cellStyle name="Comma 4" xfId="9"/>
    <cellStyle name="Comma 5" xfId="7"/>
    <cellStyle name="Currency 2" xfId="11"/>
    <cellStyle name="Currency 3" xfId="10"/>
    <cellStyle name="Normal" xfId="0" builtinId="0"/>
    <cellStyle name="Normal 10" xfId="23"/>
    <cellStyle name="Normal 11" xfId="5"/>
    <cellStyle name="Normal 12" xfId="24"/>
    <cellStyle name="Normal 13" xfId="26"/>
    <cellStyle name="Normal 14" xfId="28"/>
    <cellStyle name="Normal 15" xfId="30"/>
    <cellStyle name="Normal 16" xfId="32"/>
    <cellStyle name="Normal 17" xfId="34"/>
    <cellStyle name="Normal 18" xfId="36"/>
    <cellStyle name="Normal 19" xfId="38"/>
    <cellStyle name="Normal 2" xfId="1"/>
    <cellStyle name="Normal 2 2" xfId="12"/>
    <cellStyle name="Normal 2 2 2" xfId="13"/>
    <cellStyle name="Normal 2 3" xfId="14"/>
    <cellStyle name="Normal 2_Appendix B - Emission Inventory &amp; Calculations 092109" xfId="15"/>
    <cellStyle name="Normal 20" xfId="40"/>
    <cellStyle name="Normal 3" xfId="4"/>
    <cellStyle name="Normal 4" xfId="16"/>
    <cellStyle name="Normal 5" xfId="17"/>
    <cellStyle name="Normal 6" xfId="18"/>
    <cellStyle name="Normal 7" xfId="19"/>
    <cellStyle name="Normal 8" xfId="20"/>
    <cellStyle name="Normal 9" xfId="6"/>
    <cellStyle name="Normal_Sheet2 (2)" xfId="2"/>
    <cellStyle name="Percent 10" xfId="37"/>
    <cellStyle name="Percent 11" xfId="39"/>
    <cellStyle name="Percent 12" xfId="41"/>
    <cellStyle name="Percent 2" xfId="22"/>
    <cellStyle name="Percent 3" xfId="21"/>
    <cellStyle name="Percent 4" xfId="25"/>
    <cellStyle name="Percent 5" xfId="27"/>
    <cellStyle name="Percent 6" xfId="29"/>
    <cellStyle name="Percent 7" xfId="31"/>
    <cellStyle name="Percent 8" xfId="33"/>
    <cellStyle name="Percent 9" xfId="3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kimball\AppData\Local\Microsoft\Windows\Temporary%20Internet%20Files\Content.Outlook\KXRH42CN\SCR%20-%20UAF%20EUID%208%20(DEG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peterson/Desktop/Liberty%20PSD%20Permit%20Application/Liberty%20Revised%20Application%20Sec%205%20Tabl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Capital Investment"/>
      <sheetName val="Cost Effectiveness"/>
      <sheetName val="Unit Conversions &amp; Data"/>
    </sheetNames>
    <sheetDataSet>
      <sheetData sheetId="0">
        <row r="31">
          <cell r="K31">
            <v>2842107.84</v>
          </cell>
        </row>
        <row r="63">
          <cell r="K63">
            <v>8526323.5199999996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-1"/>
      <sheetName val="5-2"/>
      <sheetName val="5-3"/>
      <sheetName val="5-4"/>
      <sheetName val="5-5"/>
      <sheetName val="5-6"/>
      <sheetName val="5-7"/>
      <sheetName val="5-8"/>
      <sheetName val="5-9"/>
      <sheetName val="5-10"/>
      <sheetName val="5-11"/>
      <sheetName val="5-12"/>
      <sheetName val="5-13"/>
      <sheetName val="5-14"/>
      <sheetName val="5-15"/>
      <sheetName val="5-16"/>
      <sheetName val="5-17"/>
      <sheetName val="5-18"/>
      <sheetName val="5-19"/>
      <sheetName val="5-20"/>
      <sheetName val="5-21"/>
      <sheetName val="5-22"/>
      <sheetName val="5-23"/>
      <sheetName val="5-24"/>
      <sheetName val="5-25"/>
      <sheetName val="5-26"/>
      <sheetName val="5-27"/>
      <sheetName val="5-28"/>
      <sheetName val="5-29"/>
      <sheetName val="5-30"/>
      <sheetName val="5-31"/>
      <sheetName val="5-32"/>
      <sheetName val="5-33"/>
    </sheetNames>
    <sheetDataSet>
      <sheetData sheetId="0">
        <row r="6">
          <cell r="B6" t="str">
            <v>Solar Taurus Turbine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zoomScaleNormal="100" workbookViewId="0">
      <selection activeCell="B6" sqref="B6:B9"/>
    </sheetView>
  </sheetViews>
  <sheetFormatPr defaultColWidth="23.1796875" defaultRowHeight="14" x14ac:dyDescent="0.3"/>
  <cols>
    <col min="1" max="1" width="9.54296875" style="980" customWidth="1"/>
    <col min="2" max="2" width="33.26953125" style="980" customWidth="1"/>
    <col min="3" max="3" width="41.54296875" style="979" customWidth="1"/>
    <col min="4" max="4" width="3.453125" style="979" customWidth="1"/>
    <col min="5" max="251" width="23.1796875" style="979"/>
    <col min="252" max="252" width="15.7265625" style="979" customWidth="1"/>
    <col min="253" max="253" width="25.7265625" style="979" customWidth="1"/>
    <col min="254" max="254" width="30.7265625" style="979" customWidth="1"/>
    <col min="255" max="507" width="23.1796875" style="979"/>
    <col min="508" max="508" width="15.7265625" style="979" customWidth="1"/>
    <col min="509" max="509" width="25.7265625" style="979" customWidth="1"/>
    <col min="510" max="510" width="30.7265625" style="979" customWidth="1"/>
    <col min="511" max="763" width="23.1796875" style="979"/>
    <col min="764" max="764" width="15.7265625" style="979" customWidth="1"/>
    <col min="765" max="765" width="25.7265625" style="979" customWidth="1"/>
    <col min="766" max="766" width="30.7265625" style="979" customWidth="1"/>
    <col min="767" max="1019" width="23.1796875" style="979"/>
    <col min="1020" max="1020" width="15.7265625" style="979" customWidth="1"/>
    <col min="1021" max="1021" width="25.7265625" style="979" customWidth="1"/>
    <col min="1022" max="1022" width="30.7265625" style="979" customWidth="1"/>
    <col min="1023" max="1275" width="23.1796875" style="979"/>
    <col min="1276" max="1276" width="15.7265625" style="979" customWidth="1"/>
    <col min="1277" max="1277" width="25.7265625" style="979" customWidth="1"/>
    <col min="1278" max="1278" width="30.7265625" style="979" customWidth="1"/>
    <col min="1279" max="1531" width="23.1796875" style="979"/>
    <col min="1532" max="1532" width="15.7265625" style="979" customWidth="1"/>
    <col min="1533" max="1533" width="25.7265625" style="979" customWidth="1"/>
    <col min="1534" max="1534" width="30.7265625" style="979" customWidth="1"/>
    <col min="1535" max="1787" width="23.1796875" style="979"/>
    <col min="1788" max="1788" width="15.7265625" style="979" customWidth="1"/>
    <col min="1789" max="1789" width="25.7265625" style="979" customWidth="1"/>
    <col min="1790" max="1790" width="30.7265625" style="979" customWidth="1"/>
    <col min="1791" max="2043" width="23.1796875" style="979"/>
    <col min="2044" max="2044" width="15.7265625" style="979" customWidth="1"/>
    <col min="2045" max="2045" width="25.7265625" style="979" customWidth="1"/>
    <col min="2046" max="2046" width="30.7265625" style="979" customWidth="1"/>
    <col min="2047" max="2299" width="23.1796875" style="979"/>
    <col min="2300" max="2300" width="15.7265625" style="979" customWidth="1"/>
    <col min="2301" max="2301" width="25.7265625" style="979" customWidth="1"/>
    <col min="2302" max="2302" width="30.7265625" style="979" customWidth="1"/>
    <col min="2303" max="2555" width="23.1796875" style="979"/>
    <col min="2556" max="2556" width="15.7265625" style="979" customWidth="1"/>
    <col min="2557" max="2557" width="25.7265625" style="979" customWidth="1"/>
    <col min="2558" max="2558" width="30.7265625" style="979" customWidth="1"/>
    <col min="2559" max="2811" width="23.1796875" style="979"/>
    <col min="2812" max="2812" width="15.7265625" style="979" customWidth="1"/>
    <col min="2813" max="2813" width="25.7265625" style="979" customWidth="1"/>
    <col min="2814" max="2814" width="30.7265625" style="979" customWidth="1"/>
    <col min="2815" max="3067" width="23.1796875" style="979"/>
    <col min="3068" max="3068" width="15.7265625" style="979" customWidth="1"/>
    <col min="3069" max="3069" width="25.7265625" style="979" customWidth="1"/>
    <col min="3070" max="3070" width="30.7265625" style="979" customWidth="1"/>
    <col min="3071" max="3323" width="23.1796875" style="979"/>
    <col min="3324" max="3324" width="15.7265625" style="979" customWidth="1"/>
    <col min="3325" max="3325" width="25.7265625" style="979" customWidth="1"/>
    <col min="3326" max="3326" width="30.7265625" style="979" customWidth="1"/>
    <col min="3327" max="3579" width="23.1796875" style="979"/>
    <col min="3580" max="3580" width="15.7265625" style="979" customWidth="1"/>
    <col min="3581" max="3581" width="25.7265625" style="979" customWidth="1"/>
    <col min="3582" max="3582" width="30.7265625" style="979" customWidth="1"/>
    <col min="3583" max="3835" width="23.1796875" style="979"/>
    <col min="3836" max="3836" width="15.7265625" style="979" customWidth="1"/>
    <col min="3837" max="3837" width="25.7265625" style="979" customWidth="1"/>
    <col min="3838" max="3838" width="30.7265625" style="979" customWidth="1"/>
    <col min="3839" max="4091" width="23.1796875" style="979"/>
    <col min="4092" max="4092" width="15.7265625" style="979" customWidth="1"/>
    <col min="4093" max="4093" width="25.7265625" style="979" customWidth="1"/>
    <col min="4094" max="4094" width="30.7265625" style="979" customWidth="1"/>
    <col min="4095" max="4347" width="23.1796875" style="979"/>
    <col min="4348" max="4348" width="15.7265625" style="979" customWidth="1"/>
    <col min="4349" max="4349" width="25.7265625" style="979" customWidth="1"/>
    <col min="4350" max="4350" width="30.7265625" style="979" customWidth="1"/>
    <col min="4351" max="4603" width="23.1796875" style="979"/>
    <col min="4604" max="4604" width="15.7265625" style="979" customWidth="1"/>
    <col min="4605" max="4605" width="25.7265625" style="979" customWidth="1"/>
    <col min="4606" max="4606" width="30.7265625" style="979" customWidth="1"/>
    <col min="4607" max="4859" width="23.1796875" style="979"/>
    <col min="4860" max="4860" width="15.7265625" style="979" customWidth="1"/>
    <col min="4861" max="4861" width="25.7265625" style="979" customWidth="1"/>
    <col min="4862" max="4862" width="30.7265625" style="979" customWidth="1"/>
    <col min="4863" max="5115" width="23.1796875" style="979"/>
    <col min="5116" max="5116" width="15.7265625" style="979" customWidth="1"/>
    <col min="5117" max="5117" width="25.7265625" style="979" customWidth="1"/>
    <col min="5118" max="5118" width="30.7265625" style="979" customWidth="1"/>
    <col min="5119" max="5371" width="23.1796875" style="979"/>
    <col min="5372" max="5372" width="15.7265625" style="979" customWidth="1"/>
    <col min="5373" max="5373" width="25.7265625" style="979" customWidth="1"/>
    <col min="5374" max="5374" width="30.7265625" style="979" customWidth="1"/>
    <col min="5375" max="5627" width="23.1796875" style="979"/>
    <col min="5628" max="5628" width="15.7265625" style="979" customWidth="1"/>
    <col min="5629" max="5629" width="25.7265625" style="979" customWidth="1"/>
    <col min="5630" max="5630" width="30.7265625" style="979" customWidth="1"/>
    <col min="5631" max="5883" width="23.1796875" style="979"/>
    <col min="5884" max="5884" width="15.7265625" style="979" customWidth="1"/>
    <col min="5885" max="5885" width="25.7265625" style="979" customWidth="1"/>
    <col min="5886" max="5886" width="30.7265625" style="979" customWidth="1"/>
    <col min="5887" max="6139" width="23.1796875" style="979"/>
    <col min="6140" max="6140" width="15.7265625" style="979" customWidth="1"/>
    <col min="6141" max="6141" width="25.7265625" style="979" customWidth="1"/>
    <col min="6142" max="6142" width="30.7265625" style="979" customWidth="1"/>
    <col min="6143" max="6395" width="23.1796875" style="979"/>
    <col min="6396" max="6396" width="15.7265625" style="979" customWidth="1"/>
    <col min="6397" max="6397" width="25.7265625" style="979" customWidth="1"/>
    <col min="6398" max="6398" width="30.7265625" style="979" customWidth="1"/>
    <col min="6399" max="6651" width="23.1796875" style="979"/>
    <col min="6652" max="6652" width="15.7265625" style="979" customWidth="1"/>
    <col min="6653" max="6653" width="25.7265625" style="979" customWidth="1"/>
    <col min="6654" max="6654" width="30.7265625" style="979" customWidth="1"/>
    <col min="6655" max="6907" width="23.1796875" style="979"/>
    <col min="6908" max="6908" width="15.7265625" style="979" customWidth="1"/>
    <col min="6909" max="6909" width="25.7265625" style="979" customWidth="1"/>
    <col min="6910" max="6910" width="30.7265625" style="979" customWidth="1"/>
    <col min="6911" max="7163" width="23.1796875" style="979"/>
    <col min="7164" max="7164" width="15.7265625" style="979" customWidth="1"/>
    <col min="7165" max="7165" width="25.7265625" style="979" customWidth="1"/>
    <col min="7166" max="7166" width="30.7265625" style="979" customWidth="1"/>
    <col min="7167" max="7419" width="23.1796875" style="979"/>
    <col min="7420" max="7420" width="15.7265625" style="979" customWidth="1"/>
    <col min="7421" max="7421" width="25.7265625" style="979" customWidth="1"/>
    <col min="7422" max="7422" width="30.7265625" style="979" customWidth="1"/>
    <col min="7423" max="7675" width="23.1796875" style="979"/>
    <col min="7676" max="7676" width="15.7265625" style="979" customWidth="1"/>
    <col min="7677" max="7677" width="25.7265625" style="979" customWidth="1"/>
    <col min="7678" max="7678" width="30.7265625" style="979" customWidth="1"/>
    <col min="7679" max="7931" width="23.1796875" style="979"/>
    <col min="7932" max="7932" width="15.7265625" style="979" customWidth="1"/>
    <col min="7933" max="7933" width="25.7265625" style="979" customWidth="1"/>
    <col min="7934" max="7934" width="30.7265625" style="979" customWidth="1"/>
    <col min="7935" max="8187" width="23.1796875" style="979"/>
    <col min="8188" max="8188" width="15.7265625" style="979" customWidth="1"/>
    <col min="8189" max="8189" width="25.7265625" style="979" customWidth="1"/>
    <col min="8190" max="8190" width="30.7265625" style="979" customWidth="1"/>
    <col min="8191" max="8443" width="23.1796875" style="979"/>
    <col min="8444" max="8444" width="15.7265625" style="979" customWidth="1"/>
    <col min="8445" max="8445" width="25.7265625" style="979" customWidth="1"/>
    <col min="8446" max="8446" width="30.7265625" style="979" customWidth="1"/>
    <col min="8447" max="8699" width="23.1796875" style="979"/>
    <col min="8700" max="8700" width="15.7265625" style="979" customWidth="1"/>
    <col min="8701" max="8701" width="25.7265625" style="979" customWidth="1"/>
    <col min="8702" max="8702" width="30.7265625" style="979" customWidth="1"/>
    <col min="8703" max="8955" width="23.1796875" style="979"/>
    <col min="8956" max="8956" width="15.7265625" style="979" customWidth="1"/>
    <col min="8957" max="8957" width="25.7265625" style="979" customWidth="1"/>
    <col min="8958" max="8958" width="30.7265625" style="979" customWidth="1"/>
    <col min="8959" max="9211" width="23.1796875" style="979"/>
    <col min="9212" max="9212" width="15.7265625" style="979" customWidth="1"/>
    <col min="9213" max="9213" width="25.7265625" style="979" customWidth="1"/>
    <col min="9214" max="9214" width="30.7265625" style="979" customWidth="1"/>
    <col min="9215" max="9467" width="23.1796875" style="979"/>
    <col min="9468" max="9468" width="15.7265625" style="979" customWidth="1"/>
    <col min="9469" max="9469" width="25.7265625" style="979" customWidth="1"/>
    <col min="9470" max="9470" width="30.7265625" style="979" customWidth="1"/>
    <col min="9471" max="9723" width="23.1796875" style="979"/>
    <col min="9724" max="9724" width="15.7265625" style="979" customWidth="1"/>
    <col min="9725" max="9725" width="25.7265625" style="979" customWidth="1"/>
    <col min="9726" max="9726" width="30.7265625" style="979" customWidth="1"/>
    <col min="9727" max="9979" width="23.1796875" style="979"/>
    <col min="9980" max="9980" width="15.7265625" style="979" customWidth="1"/>
    <col min="9981" max="9981" width="25.7265625" style="979" customWidth="1"/>
    <col min="9982" max="9982" width="30.7265625" style="979" customWidth="1"/>
    <col min="9983" max="10235" width="23.1796875" style="979"/>
    <col min="10236" max="10236" width="15.7265625" style="979" customWidth="1"/>
    <col min="10237" max="10237" width="25.7265625" style="979" customWidth="1"/>
    <col min="10238" max="10238" width="30.7265625" style="979" customWidth="1"/>
    <col min="10239" max="10491" width="23.1796875" style="979"/>
    <col min="10492" max="10492" width="15.7265625" style="979" customWidth="1"/>
    <col min="10493" max="10493" width="25.7265625" style="979" customWidth="1"/>
    <col min="10494" max="10494" width="30.7265625" style="979" customWidth="1"/>
    <col min="10495" max="10747" width="23.1796875" style="979"/>
    <col min="10748" max="10748" width="15.7265625" style="979" customWidth="1"/>
    <col min="10749" max="10749" width="25.7265625" style="979" customWidth="1"/>
    <col min="10750" max="10750" width="30.7265625" style="979" customWidth="1"/>
    <col min="10751" max="11003" width="23.1796875" style="979"/>
    <col min="11004" max="11004" width="15.7265625" style="979" customWidth="1"/>
    <col min="11005" max="11005" width="25.7265625" style="979" customWidth="1"/>
    <col min="11006" max="11006" width="30.7265625" style="979" customWidth="1"/>
    <col min="11007" max="11259" width="23.1796875" style="979"/>
    <col min="11260" max="11260" width="15.7265625" style="979" customWidth="1"/>
    <col min="11261" max="11261" width="25.7265625" style="979" customWidth="1"/>
    <col min="11262" max="11262" width="30.7265625" style="979" customWidth="1"/>
    <col min="11263" max="11515" width="23.1796875" style="979"/>
    <col min="11516" max="11516" width="15.7265625" style="979" customWidth="1"/>
    <col min="11517" max="11517" width="25.7265625" style="979" customWidth="1"/>
    <col min="11518" max="11518" width="30.7265625" style="979" customWidth="1"/>
    <col min="11519" max="11771" width="23.1796875" style="979"/>
    <col min="11772" max="11772" width="15.7265625" style="979" customWidth="1"/>
    <col min="11773" max="11773" width="25.7265625" style="979" customWidth="1"/>
    <col min="11774" max="11774" width="30.7265625" style="979" customWidth="1"/>
    <col min="11775" max="12027" width="23.1796875" style="979"/>
    <col min="12028" max="12028" width="15.7265625" style="979" customWidth="1"/>
    <col min="12029" max="12029" width="25.7265625" style="979" customWidth="1"/>
    <col min="12030" max="12030" width="30.7265625" style="979" customWidth="1"/>
    <col min="12031" max="12283" width="23.1796875" style="979"/>
    <col min="12284" max="12284" width="15.7265625" style="979" customWidth="1"/>
    <col min="12285" max="12285" width="25.7265625" style="979" customWidth="1"/>
    <col min="12286" max="12286" width="30.7265625" style="979" customWidth="1"/>
    <col min="12287" max="12539" width="23.1796875" style="979"/>
    <col min="12540" max="12540" width="15.7265625" style="979" customWidth="1"/>
    <col min="12541" max="12541" width="25.7265625" style="979" customWidth="1"/>
    <col min="12542" max="12542" width="30.7265625" style="979" customWidth="1"/>
    <col min="12543" max="12795" width="23.1796875" style="979"/>
    <col min="12796" max="12796" width="15.7265625" style="979" customWidth="1"/>
    <col min="12797" max="12797" width="25.7265625" style="979" customWidth="1"/>
    <col min="12798" max="12798" width="30.7265625" style="979" customWidth="1"/>
    <col min="12799" max="13051" width="23.1796875" style="979"/>
    <col min="13052" max="13052" width="15.7265625" style="979" customWidth="1"/>
    <col min="13053" max="13053" width="25.7265625" style="979" customWidth="1"/>
    <col min="13054" max="13054" width="30.7265625" style="979" customWidth="1"/>
    <col min="13055" max="13307" width="23.1796875" style="979"/>
    <col min="13308" max="13308" width="15.7265625" style="979" customWidth="1"/>
    <col min="13309" max="13309" width="25.7265625" style="979" customWidth="1"/>
    <col min="13310" max="13310" width="30.7265625" style="979" customWidth="1"/>
    <col min="13311" max="13563" width="23.1796875" style="979"/>
    <col min="13564" max="13564" width="15.7265625" style="979" customWidth="1"/>
    <col min="13565" max="13565" width="25.7265625" style="979" customWidth="1"/>
    <col min="13566" max="13566" width="30.7265625" style="979" customWidth="1"/>
    <col min="13567" max="13819" width="23.1796875" style="979"/>
    <col min="13820" max="13820" width="15.7265625" style="979" customWidth="1"/>
    <col min="13821" max="13821" width="25.7265625" style="979" customWidth="1"/>
    <col min="13822" max="13822" width="30.7265625" style="979" customWidth="1"/>
    <col min="13823" max="14075" width="23.1796875" style="979"/>
    <col min="14076" max="14076" width="15.7265625" style="979" customWidth="1"/>
    <col min="14077" max="14077" width="25.7265625" style="979" customWidth="1"/>
    <col min="14078" max="14078" width="30.7265625" style="979" customWidth="1"/>
    <col min="14079" max="14331" width="23.1796875" style="979"/>
    <col min="14332" max="14332" width="15.7265625" style="979" customWidth="1"/>
    <col min="14333" max="14333" width="25.7265625" style="979" customWidth="1"/>
    <col min="14334" max="14334" width="30.7265625" style="979" customWidth="1"/>
    <col min="14335" max="14587" width="23.1796875" style="979"/>
    <col min="14588" max="14588" width="15.7265625" style="979" customWidth="1"/>
    <col min="14589" max="14589" width="25.7265625" style="979" customWidth="1"/>
    <col min="14590" max="14590" width="30.7265625" style="979" customWidth="1"/>
    <col min="14591" max="14843" width="23.1796875" style="979"/>
    <col min="14844" max="14844" width="15.7265625" style="979" customWidth="1"/>
    <col min="14845" max="14845" width="25.7265625" style="979" customWidth="1"/>
    <col min="14846" max="14846" width="30.7265625" style="979" customWidth="1"/>
    <col min="14847" max="15099" width="23.1796875" style="979"/>
    <col min="15100" max="15100" width="15.7265625" style="979" customWidth="1"/>
    <col min="15101" max="15101" width="25.7265625" style="979" customWidth="1"/>
    <col min="15102" max="15102" width="30.7265625" style="979" customWidth="1"/>
    <col min="15103" max="15355" width="23.1796875" style="979"/>
    <col min="15356" max="15356" width="15.7265625" style="979" customWidth="1"/>
    <col min="15357" max="15357" width="25.7265625" style="979" customWidth="1"/>
    <col min="15358" max="15358" width="30.7265625" style="979" customWidth="1"/>
    <col min="15359" max="15611" width="23.1796875" style="979"/>
    <col min="15612" max="15612" width="15.7265625" style="979" customWidth="1"/>
    <col min="15613" max="15613" width="25.7265625" style="979" customWidth="1"/>
    <col min="15614" max="15614" width="30.7265625" style="979" customWidth="1"/>
    <col min="15615" max="15867" width="23.1796875" style="979"/>
    <col min="15868" max="15868" width="15.7265625" style="979" customWidth="1"/>
    <col min="15869" max="15869" width="25.7265625" style="979" customWidth="1"/>
    <col min="15870" max="15870" width="30.7265625" style="979" customWidth="1"/>
    <col min="15871" max="16123" width="23.1796875" style="979"/>
    <col min="16124" max="16124" width="15.7265625" style="979" customWidth="1"/>
    <col min="16125" max="16125" width="25.7265625" style="979" customWidth="1"/>
    <col min="16126" max="16126" width="30.7265625" style="979" customWidth="1"/>
    <col min="16127" max="16384" width="23.1796875" style="979"/>
  </cols>
  <sheetData>
    <row r="1" spans="1:5" ht="17" x14ac:dyDescent="0.45">
      <c r="A1" s="978" t="s">
        <v>336</v>
      </c>
      <c r="B1" s="978"/>
      <c r="C1" s="978"/>
    </row>
    <row r="2" spans="1:5" ht="14.5" thickBot="1" x14ac:dyDescent="0.35"/>
    <row r="3" spans="1:5" x14ac:dyDescent="0.3">
      <c r="A3" s="981" t="s">
        <v>18</v>
      </c>
      <c r="B3" s="982"/>
      <c r="C3" s="983" t="s">
        <v>23</v>
      </c>
    </row>
    <row r="4" spans="1:5" ht="14.5" thickBot="1" x14ac:dyDescent="0.35">
      <c r="A4" s="984" t="s">
        <v>20</v>
      </c>
      <c r="B4" s="985" t="s">
        <v>24</v>
      </c>
      <c r="C4" s="986" t="s">
        <v>25</v>
      </c>
    </row>
    <row r="5" spans="1:5" ht="14.5" thickTop="1" x14ac:dyDescent="0.3">
      <c r="A5" s="987"/>
      <c r="B5" s="988"/>
      <c r="C5" s="989"/>
    </row>
    <row r="6" spans="1:5" x14ac:dyDescent="0.3">
      <c r="A6" s="1323">
        <v>113</v>
      </c>
      <c r="B6" s="1324" t="s">
        <v>65</v>
      </c>
      <c r="C6" s="990" t="s">
        <v>26</v>
      </c>
    </row>
    <row r="7" spans="1:5" x14ac:dyDescent="0.3">
      <c r="A7" s="1318"/>
      <c r="B7" s="1315"/>
      <c r="C7" s="991" t="s">
        <v>66</v>
      </c>
    </row>
    <row r="8" spans="1:5" x14ac:dyDescent="0.3">
      <c r="A8" s="1318"/>
      <c r="B8" s="1315"/>
      <c r="C8" s="992" t="s">
        <v>67</v>
      </c>
    </row>
    <row r="9" spans="1:5" ht="14.25" customHeight="1" thickBot="1" x14ac:dyDescent="0.35">
      <c r="A9" s="1319"/>
      <c r="B9" s="1316"/>
      <c r="C9" s="993" t="s">
        <v>40</v>
      </c>
    </row>
    <row r="10" spans="1:5" ht="14.25" customHeight="1" x14ac:dyDescent="0.3">
      <c r="A10" s="1317" t="s">
        <v>301</v>
      </c>
      <c r="B10" s="1314" t="s">
        <v>70</v>
      </c>
      <c r="C10" s="994" t="s">
        <v>26</v>
      </c>
    </row>
    <row r="11" spans="1:5" ht="14.25" customHeight="1" x14ac:dyDescent="0.3">
      <c r="A11" s="1318"/>
      <c r="B11" s="1315"/>
      <c r="C11" s="995" t="s">
        <v>66</v>
      </c>
    </row>
    <row r="12" spans="1:5" ht="14.25" customHeight="1" x14ac:dyDescent="0.3">
      <c r="A12" s="1318"/>
      <c r="B12" s="1315"/>
      <c r="C12" s="996" t="s">
        <v>282</v>
      </c>
    </row>
    <row r="13" spans="1:5" ht="14.25" customHeight="1" x14ac:dyDescent="0.3">
      <c r="A13" s="1318"/>
      <c r="B13" s="1315"/>
      <c r="C13" s="997" t="s">
        <v>72</v>
      </c>
    </row>
    <row r="14" spans="1:5" ht="14.25" customHeight="1" thickBot="1" x14ac:dyDescent="0.35">
      <c r="A14" s="1319"/>
      <c r="B14" s="1316"/>
      <c r="C14" s="998" t="s">
        <v>40</v>
      </c>
      <c r="E14" s="979" t="s">
        <v>0</v>
      </c>
    </row>
    <row r="15" spans="1:5" ht="14.25" customHeight="1" x14ac:dyDescent="0.3">
      <c r="A15" s="1325" t="s">
        <v>302</v>
      </c>
      <c r="B15" s="1314" t="s">
        <v>69</v>
      </c>
      <c r="C15" s="994" t="s">
        <v>68</v>
      </c>
    </row>
    <row r="16" spans="1:5" ht="14.25" customHeight="1" x14ac:dyDescent="0.3">
      <c r="A16" s="1326"/>
      <c r="B16" s="1315"/>
      <c r="C16" s="999" t="s">
        <v>72</v>
      </c>
    </row>
    <row r="17" spans="1:3" ht="14.25" customHeight="1" thickBot="1" x14ac:dyDescent="0.35">
      <c r="A17" s="1327"/>
      <c r="B17" s="1316"/>
      <c r="C17" s="998" t="s">
        <v>40</v>
      </c>
    </row>
    <row r="18" spans="1:3" ht="14.25" customHeight="1" x14ac:dyDescent="0.3">
      <c r="A18" s="1317">
        <v>8</v>
      </c>
      <c r="B18" s="1314" t="s">
        <v>71</v>
      </c>
      <c r="C18" s="994" t="s">
        <v>26</v>
      </c>
    </row>
    <row r="19" spans="1:3" ht="14.25" customHeight="1" x14ac:dyDescent="0.3">
      <c r="A19" s="1318"/>
      <c r="B19" s="1315"/>
      <c r="C19" s="999" t="s">
        <v>311</v>
      </c>
    </row>
    <row r="20" spans="1:3" ht="14.25" customHeight="1" x14ac:dyDescent="0.3">
      <c r="A20" s="1318"/>
      <c r="B20" s="1315"/>
      <c r="C20" s="999" t="s">
        <v>72</v>
      </c>
    </row>
    <row r="21" spans="1:3" ht="14.25" customHeight="1" thickBot="1" x14ac:dyDescent="0.35">
      <c r="A21" s="1319"/>
      <c r="B21" s="1316"/>
      <c r="C21" s="1000" t="s">
        <v>40</v>
      </c>
    </row>
    <row r="22" spans="1:3" ht="14.25" customHeight="1" x14ac:dyDescent="0.3">
      <c r="A22" s="1317">
        <v>27</v>
      </c>
      <c r="B22" s="1314" t="s">
        <v>74</v>
      </c>
      <c r="C22" s="1001" t="s">
        <v>26</v>
      </c>
    </row>
    <row r="23" spans="1:3" ht="14.25" customHeight="1" x14ac:dyDescent="0.3">
      <c r="A23" s="1318"/>
      <c r="B23" s="1315"/>
      <c r="C23" s="996" t="s">
        <v>311</v>
      </c>
    </row>
    <row r="24" spans="1:3" ht="14.25" customHeight="1" x14ac:dyDescent="0.3">
      <c r="A24" s="1318"/>
      <c r="B24" s="1315"/>
      <c r="C24" s="995" t="s">
        <v>73</v>
      </c>
    </row>
    <row r="25" spans="1:3" ht="14.25" customHeight="1" x14ac:dyDescent="0.3">
      <c r="A25" s="1318"/>
      <c r="B25" s="1315"/>
      <c r="C25" s="995" t="s">
        <v>72</v>
      </c>
    </row>
    <row r="26" spans="1:3" ht="14.25" customHeight="1" thickBot="1" x14ac:dyDescent="0.35">
      <c r="A26" s="1319"/>
      <c r="B26" s="1316"/>
      <c r="C26" s="998" t="s">
        <v>40</v>
      </c>
    </row>
    <row r="27" spans="1:3" ht="14.25" customHeight="1" x14ac:dyDescent="0.3">
      <c r="A27" s="1318" t="s">
        <v>75</v>
      </c>
      <c r="B27" s="1320" t="s">
        <v>335</v>
      </c>
      <c r="C27" s="995" t="s">
        <v>26</v>
      </c>
    </row>
    <row r="28" spans="1:3" ht="14.25" customHeight="1" x14ac:dyDescent="0.3">
      <c r="A28" s="1318"/>
      <c r="B28" s="1321"/>
      <c r="C28" s="999" t="s">
        <v>66</v>
      </c>
    </row>
    <row r="29" spans="1:3" ht="14.25" customHeight="1" x14ac:dyDescent="0.3">
      <c r="A29" s="1318"/>
      <c r="B29" s="1321"/>
      <c r="C29" s="1002" t="s">
        <v>68</v>
      </c>
    </row>
    <row r="30" spans="1:3" ht="14.25" customHeight="1" x14ac:dyDescent="0.3">
      <c r="A30" s="1318"/>
      <c r="B30" s="1321"/>
      <c r="C30" s="999" t="s">
        <v>72</v>
      </c>
    </row>
    <row r="31" spans="1:3" ht="13.9" customHeight="1" thickBot="1" x14ac:dyDescent="0.35">
      <c r="A31" s="1319"/>
      <c r="B31" s="1322"/>
      <c r="C31" s="1003" t="s">
        <v>40</v>
      </c>
    </row>
    <row r="32" spans="1:3" x14ac:dyDescent="0.3">
      <c r="C32" s="1139"/>
    </row>
  </sheetData>
  <mergeCells count="12">
    <mergeCell ref="A6:A9"/>
    <mergeCell ref="B6:B9"/>
    <mergeCell ref="A10:A14"/>
    <mergeCell ref="B10:B14"/>
    <mergeCell ref="A15:A17"/>
    <mergeCell ref="B15:B17"/>
    <mergeCell ref="B18:B21"/>
    <mergeCell ref="A18:A21"/>
    <mergeCell ref="B22:B26"/>
    <mergeCell ref="A22:A26"/>
    <mergeCell ref="B27:B31"/>
    <mergeCell ref="A27:A31"/>
  </mergeCells>
  <printOptions horizontalCentered="1"/>
  <pageMargins left="0.33" right="0.41" top="0.56000000000000005" bottom="0.52" header="0.3" footer="0.3"/>
  <pageSetup orientation="portrait" r:id="rId1"/>
  <headerFooter>
    <oddFooter>&amp;LUAF
PM&amp;Y2.5&amp;Y Serious NAA BACT Analysis&amp;CPage 49&amp;RJanuary 2017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B1:K52"/>
  <sheetViews>
    <sheetView view="pageLayout" topLeftCell="B1" zoomScaleNormal="90" workbookViewId="0">
      <selection activeCell="I13" sqref="I13"/>
    </sheetView>
  </sheetViews>
  <sheetFormatPr defaultColWidth="8.81640625" defaultRowHeight="14.5" x14ac:dyDescent="0.35"/>
  <cols>
    <col min="1" max="1" width="2.26953125" style="823" customWidth="1"/>
    <col min="2" max="2" width="5.26953125" style="823" customWidth="1"/>
    <col min="3" max="3" width="6" style="823" customWidth="1"/>
    <col min="4" max="4" width="63.7265625" style="823" customWidth="1"/>
    <col min="5" max="5" width="8.81640625" style="823"/>
    <col min="6" max="6" width="19.26953125" style="823" customWidth="1"/>
    <col min="7" max="7" width="13" style="823" customWidth="1"/>
    <col min="8" max="8" width="24.1796875" style="823" customWidth="1"/>
    <col min="9" max="9" width="20.453125" style="823" customWidth="1"/>
    <col min="10" max="10" width="14.7265625" style="823" customWidth="1"/>
    <col min="11" max="11" width="17.26953125" style="823" customWidth="1"/>
    <col min="12" max="12" width="8.81640625" style="823"/>
    <col min="13" max="13" width="29.81640625" style="823" customWidth="1"/>
    <col min="14" max="16384" width="8.81640625" style="823"/>
  </cols>
  <sheetData>
    <row r="1" spans="2:11" x14ac:dyDescent="0.35">
      <c r="B1" s="1351" t="s">
        <v>296</v>
      </c>
      <c r="C1" s="1351"/>
      <c r="D1" s="1351"/>
      <c r="E1" s="1351"/>
      <c r="F1" s="1351"/>
      <c r="G1" s="1351"/>
      <c r="H1" s="1351"/>
      <c r="I1" s="1351"/>
      <c r="J1" s="1351"/>
      <c r="K1" s="1351"/>
    </row>
    <row r="2" spans="2:11" x14ac:dyDescent="0.35">
      <c r="B2" s="1351" t="s">
        <v>281</v>
      </c>
      <c r="C2" s="1351"/>
      <c r="D2" s="1351"/>
      <c r="E2" s="1351"/>
      <c r="F2" s="1351"/>
      <c r="G2" s="1351"/>
      <c r="H2" s="1351"/>
      <c r="I2" s="1351"/>
      <c r="J2" s="1351"/>
      <c r="K2" s="1351"/>
    </row>
    <row r="3" spans="2:11" ht="15" thickBot="1" x14ac:dyDescent="0.4">
      <c r="B3" s="822"/>
      <c r="C3" s="822"/>
      <c r="D3" s="822"/>
      <c r="E3" s="822"/>
      <c r="F3" s="822"/>
      <c r="G3" s="822"/>
      <c r="H3" s="822"/>
      <c r="I3" s="822"/>
      <c r="J3" s="822"/>
      <c r="K3" s="822"/>
    </row>
    <row r="4" spans="2:11" ht="21" thickTop="1" x14ac:dyDescent="0.55000000000000004">
      <c r="B4" s="824" t="s">
        <v>289</v>
      </c>
      <c r="C4" s="825"/>
      <c r="D4" s="825"/>
      <c r="E4" s="826"/>
      <c r="F4" s="826"/>
      <c r="G4" s="826"/>
      <c r="H4" s="826"/>
      <c r="I4" s="826"/>
      <c r="J4" s="827" t="s">
        <v>181</v>
      </c>
      <c r="K4" s="828">
        <v>42472</v>
      </c>
    </row>
    <row r="5" spans="2:11" ht="16.5" x14ac:dyDescent="0.45">
      <c r="B5" s="829" t="s">
        <v>180</v>
      </c>
      <c r="C5" s="830"/>
      <c r="D5" s="831" t="s">
        <v>313</v>
      </c>
      <c r="E5" s="830"/>
      <c r="F5" s="830"/>
      <c r="G5" s="830"/>
      <c r="H5" s="830"/>
      <c r="I5" s="830"/>
      <c r="J5" s="832" t="s">
        <v>179</v>
      </c>
      <c r="K5" s="833" t="s">
        <v>178</v>
      </c>
    </row>
    <row r="6" spans="2:11" x14ac:dyDescent="0.35">
      <c r="B6" s="829"/>
      <c r="C6" s="830"/>
      <c r="D6" s="830"/>
      <c r="E6" s="830"/>
      <c r="F6" s="830"/>
      <c r="G6" s="830"/>
      <c r="H6" s="830"/>
      <c r="I6" s="830"/>
      <c r="J6" s="832" t="s">
        <v>177</v>
      </c>
      <c r="K6" s="833" t="s">
        <v>176</v>
      </c>
    </row>
    <row r="7" spans="2:11" ht="15" thickBot="1" x14ac:dyDescent="0.4">
      <c r="B7" s="834"/>
      <c r="C7" s="835"/>
      <c r="D7" s="835"/>
      <c r="E7" s="835"/>
      <c r="F7" s="835"/>
      <c r="G7" s="835"/>
      <c r="H7" s="835"/>
      <c r="I7" s="835"/>
      <c r="J7" s="836" t="s">
        <v>175</v>
      </c>
      <c r="K7" s="837" t="s">
        <v>270</v>
      </c>
    </row>
    <row r="8" spans="2:11" ht="36.75" customHeight="1" thickBot="1" x14ac:dyDescent="0.4">
      <c r="B8" s="1389" t="s">
        <v>1</v>
      </c>
      <c r="C8" s="1390"/>
      <c r="D8" s="1390"/>
      <c r="E8" s="1390"/>
      <c r="F8" s="1390"/>
      <c r="G8" s="1390"/>
      <c r="H8" s="1390"/>
      <c r="I8" s="1390"/>
      <c r="J8" s="1390"/>
      <c r="K8" s="1391"/>
    </row>
    <row r="9" spans="2:11" ht="19" thickTop="1" x14ac:dyDescent="0.45">
      <c r="B9" s="838" t="s">
        <v>2</v>
      </c>
      <c r="C9" s="839"/>
      <c r="D9" s="839"/>
      <c r="E9" s="840" t="s">
        <v>173</v>
      </c>
      <c r="F9" s="840" t="s">
        <v>172</v>
      </c>
      <c r="G9" s="841" t="s">
        <v>171</v>
      </c>
      <c r="H9" s="842" t="s">
        <v>170</v>
      </c>
      <c r="I9" s="842" t="s">
        <v>169</v>
      </c>
      <c r="J9" s="839"/>
      <c r="K9" s="843"/>
    </row>
    <row r="10" spans="2:11" ht="15.5" x14ac:dyDescent="0.35">
      <c r="B10" s="844"/>
      <c r="C10" s="830"/>
      <c r="D10" s="830"/>
      <c r="E10" s="845"/>
      <c r="F10" s="845"/>
      <c r="G10" s="846"/>
      <c r="H10" s="847"/>
      <c r="I10" s="847"/>
      <c r="J10" s="830"/>
      <c r="K10" s="848"/>
    </row>
    <row r="11" spans="2:11" ht="15.5" x14ac:dyDescent="0.35">
      <c r="B11" s="849" t="s">
        <v>168</v>
      </c>
      <c r="C11" s="850" t="s">
        <v>167</v>
      </c>
      <c r="D11" s="850"/>
      <c r="E11" s="830"/>
      <c r="F11" s="830"/>
      <c r="G11" s="830"/>
      <c r="H11" s="830"/>
      <c r="I11" s="830"/>
      <c r="J11" s="851"/>
      <c r="K11" s="852"/>
    </row>
    <row r="12" spans="2:11" ht="15.5" x14ac:dyDescent="0.35">
      <c r="B12" s="844"/>
      <c r="C12" s="850" t="s">
        <v>142</v>
      </c>
      <c r="D12" s="850" t="s">
        <v>166</v>
      </c>
      <c r="E12" s="830"/>
      <c r="F12" s="830"/>
      <c r="G12" s="830"/>
      <c r="H12" s="830"/>
      <c r="I12" s="830"/>
      <c r="J12" s="853"/>
      <c r="K12" s="854"/>
    </row>
    <row r="13" spans="2:11" x14ac:dyDescent="0.35">
      <c r="B13" s="855"/>
      <c r="C13" s="856"/>
      <c r="D13" s="857" t="s">
        <v>290</v>
      </c>
      <c r="E13" s="858">
        <v>1</v>
      </c>
      <c r="F13" s="859" t="s">
        <v>109</v>
      </c>
      <c r="G13" s="858">
        <v>419484</v>
      </c>
      <c r="H13" s="860">
        <f>E13*G13</f>
        <v>419484</v>
      </c>
      <c r="I13" s="860"/>
      <c r="J13" s="861"/>
      <c r="K13" s="862"/>
    </row>
    <row r="14" spans="2:11" x14ac:dyDescent="0.35">
      <c r="B14" s="863"/>
      <c r="C14" s="864"/>
      <c r="D14" s="865" t="s">
        <v>291</v>
      </c>
      <c r="E14" s="858">
        <v>1</v>
      </c>
      <c r="F14" s="859" t="s">
        <v>109</v>
      </c>
      <c r="G14" s="858">
        <v>198872</v>
      </c>
      <c r="H14" s="860">
        <f>E14*G14</f>
        <v>198872</v>
      </c>
      <c r="I14" s="866"/>
      <c r="J14" s="867" t="s">
        <v>147</v>
      </c>
      <c r="K14" s="854">
        <f>SUM(H13:H14)</f>
        <v>618356</v>
      </c>
    </row>
    <row r="15" spans="2:11" x14ac:dyDescent="0.35">
      <c r="B15" s="863"/>
      <c r="C15" s="864"/>
      <c r="D15" s="865" t="s">
        <v>314</v>
      </c>
      <c r="E15" s="868"/>
      <c r="F15" s="868"/>
      <c r="G15" s="869"/>
      <c r="H15" s="866"/>
      <c r="I15" s="866"/>
      <c r="J15" s="867"/>
      <c r="K15" s="854"/>
    </row>
    <row r="16" spans="2:11" ht="15.5" x14ac:dyDescent="0.35">
      <c r="B16" s="863"/>
      <c r="C16" s="870" t="s">
        <v>139</v>
      </c>
      <c r="D16" s="870" t="s">
        <v>164</v>
      </c>
      <c r="E16" s="868"/>
      <c r="F16" s="868"/>
      <c r="G16" s="869"/>
      <c r="H16" s="866"/>
      <c r="I16" s="866"/>
      <c r="J16" s="867"/>
      <c r="K16" s="871"/>
    </row>
    <row r="17" spans="2:11" x14ac:dyDescent="0.35">
      <c r="B17" s="863"/>
      <c r="C17" s="864"/>
      <c r="D17" s="865" t="s">
        <v>163</v>
      </c>
      <c r="E17" s="858"/>
      <c r="F17" s="868" t="s">
        <v>109</v>
      </c>
      <c r="G17" s="858"/>
      <c r="H17" s="860">
        <f>E17*G17</f>
        <v>0</v>
      </c>
      <c r="I17" s="866" t="s">
        <v>292</v>
      </c>
      <c r="J17" s="861"/>
      <c r="K17" s="871"/>
    </row>
    <row r="18" spans="2:11" x14ac:dyDescent="0.35">
      <c r="B18" s="872"/>
      <c r="C18" s="873"/>
      <c r="D18" s="874"/>
      <c r="E18" s="875"/>
      <c r="F18" s="875"/>
      <c r="G18" s="874"/>
      <c r="H18" s="876"/>
      <c r="I18" s="876"/>
      <c r="J18" s="867" t="s">
        <v>147</v>
      </c>
      <c r="K18" s="854">
        <f>SUM(H17:H17)</f>
        <v>0</v>
      </c>
    </row>
    <row r="19" spans="2:11" ht="15.5" x14ac:dyDescent="0.35">
      <c r="B19" s="855"/>
      <c r="C19" s="850" t="s">
        <v>137</v>
      </c>
      <c r="D19" s="850" t="s">
        <v>162</v>
      </c>
      <c r="E19" s="859"/>
      <c r="F19" s="859"/>
      <c r="G19" s="830"/>
      <c r="H19" s="860"/>
      <c r="I19" s="860"/>
      <c r="J19" s="861"/>
      <c r="K19" s="871"/>
    </row>
    <row r="20" spans="2:11" x14ac:dyDescent="0.35">
      <c r="B20" s="855"/>
      <c r="C20" s="856"/>
      <c r="D20" s="857"/>
      <c r="E20" s="868"/>
      <c r="F20" s="859" t="s">
        <v>259</v>
      </c>
      <c r="G20" s="877">
        <v>0.1</v>
      </c>
      <c r="H20" s="860"/>
      <c r="I20" s="878">
        <f>G20*K14</f>
        <v>61835.600000000006</v>
      </c>
      <c r="J20" s="861"/>
      <c r="K20" s="871"/>
    </row>
    <row r="21" spans="2:11" x14ac:dyDescent="0.35">
      <c r="B21" s="879"/>
      <c r="C21" s="865"/>
      <c r="D21" s="865"/>
      <c r="E21" s="880"/>
      <c r="F21" s="880"/>
      <c r="G21" s="865"/>
      <c r="H21" s="881"/>
      <c r="I21" s="881"/>
      <c r="J21" s="867" t="s">
        <v>147</v>
      </c>
      <c r="K21" s="854">
        <f>SUM(I20:I20)</f>
        <v>61835.600000000006</v>
      </c>
    </row>
    <row r="22" spans="2:11" ht="15.5" x14ac:dyDescent="0.35">
      <c r="B22" s="855"/>
      <c r="C22" s="850" t="s">
        <v>134</v>
      </c>
      <c r="D22" s="850" t="s">
        <v>159</v>
      </c>
      <c r="E22" s="859"/>
      <c r="F22" s="859"/>
      <c r="G22" s="830"/>
      <c r="H22" s="860"/>
      <c r="I22" s="860"/>
      <c r="J22" s="861"/>
      <c r="K22" s="871"/>
    </row>
    <row r="23" spans="2:11" x14ac:dyDescent="0.35">
      <c r="B23" s="882"/>
      <c r="C23" s="857"/>
      <c r="D23" s="865" t="s">
        <v>158</v>
      </c>
      <c r="E23" s="883">
        <v>0</v>
      </c>
      <c r="F23" s="884" t="s">
        <v>155</v>
      </c>
      <c r="G23" s="885"/>
      <c r="H23" s="886" t="s">
        <v>293</v>
      </c>
      <c r="I23" s="886">
        <f>E23*G23</f>
        <v>0</v>
      </c>
      <c r="J23" s="887"/>
      <c r="K23" s="888"/>
    </row>
    <row r="24" spans="2:11" x14ac:dyDescent="0.35">
      <c r="B24" s="882"/>
      <c r="C24" s="857"/>
      <c r="D24" s="865" t="s">
        <v>156</v>
      </c>
      <c r="E24" s="883">
        <v>30</v>
      </c>
      <c r="F24" s="884" t="s">
        <v>155</v>
      </c>
      <c r="G24" s="889">
        <v>105</v>
      </c>
      <c r="H24" s="886"/>
      <c r="I24" s="886">
        <f>E24*G24</f>
        <v>3150</v>
      </c>
      <c r="J24" s="887"/>
      <c r="K24" s="888"/>
    </row>
    <row r="25" spans="2:11" x14ac:dyDescent="0.35">
      <c r="B25" s="879"/>
      <c r="C25" s="865"/>
      <c r="D25" s="865" t="s">
        <v>314</v>
      </c>
      <c r="E25" s="880"/>
      <c r="F25" s="880"/>
      <c r="G25" s="865"/>
      <c r="H25" s="881"/>
      <c r="I25" s="881"/>
      <c r="J25" s="867" t="s">
        <v>147</v>
      </c>
      <c r="K25" s="854">
        <f>SUM(I23:I24)</f>
        <v>3150</v>
      </c>
    </row>
    <row r="26" spans="2:11" ht="15.5" x14ac:dyDescent="0.35">
      <c r="B26" s="855"/>
      <c r="C26" s="850" t="s">
        <v>260</v>
      </c>
      <c r="D26" s="850" t="s">
        <v>151</v>
      </c>
      <c r="E26" s="859"/>
      <c r="F26" s="859"/>
      <c r="G26" s="830"/>
      <c r="H26" s="860"/>
      <c r="I26" s="860"/>
      <c r="J26" s="861"/>
      <c r="K26" s="871"/>
    </row>
    <row r="27" spans="2:11" x14ac:dyDescent="0.35">
      <c r="B27" s="855"/>
      <c r="C27" s="856"/>
      <c r="D27" s="857" t="s">
        <v>315</v>
      </c>
      <c r="E27" s="883">
        <v>0</v>
      </c>
      <c r="F27" s="884" t="s">
        <v>155</v>
      </c>
      <c r="G27" s="883"/>
      <c r="H27" s="886" t="s">
        <v>293</v>
      </c>
      <c r="I27" s="886">
        <f>G27*E27</f>
        <v>0</v>
      </c>
      <c r="J27" s="861"/>
      <c r="K27" s="871"/>
    </row>
    <row r="28" spans="2:11" x14ac:dyDescent="0.35">
      <c r="B28" s="855"/>
      <c r="C28" s="856"/>
      <c r="D28" s="857" t="s">
        <v>316</v>
      </c>
      <c r="E28" s="883">
        <v>46</v>
      </c>
      <c r="F28" s="884" t="s">
        <v>155</v>
      </c>
      <c r="G28" s="889">
        <v>223.7</v>
      </c>
      <c r="H28" s="886"/>
      <c r="I28" s="886">
        <f>G28*E28</f>
        <v>10290.199999999999</v>
      </c>
      <c r="J28" s="861"/>
      <c r="K28" s="871"/>
    </row>
    <row r="29" spans="2:11" x14ac:dyDescent="0.35">
      <c r="B29" s="855"/>
      <c r="C29" s="856"/>
      <c r="D29" s="857" t="s">
        <v>317</v>
      </c>
      <c r="E29" s="883">
        <v>1</v>
      </c>
      <c r="F29" s="859" t="s">
        <v>109</v>
      </c>
      <c r="G29" s="858">
        <f>E29*3500</f>
        <v>3500</v>
      </c>
      <c r="H29" s="860">
        <f>E29*G29</f>
        <v>3500</v>
      </c>
      <c r="K29" s="852"/>
    </row>
    <row r="30" spans="2:11" x14ac:dyDescent="0.35">
      <c r="B30" s="855"/>
      <c r="C30" s="856"/>
      <c r="D30" s="865" t="s">
        <v>314</v>
      </c>
      <c r="E30" s="890"/>
      <c r="F30" s="868"/>
      <c r="G30" s="891"/>
      <c r="H30" s="886"/>
      <c r="I30" s="886"/>
      <c r="J30" s="867" t="s">
        <v>147</v>
      </c>
      <c r="K30" s="854">
        <f>I28+H29</f>
        <v>13790.199999999999</v>
      </c>
    </row>
    <row r="31" spans="2:11" ht="15.5" x14ac:dyDescent="0.35">
      <c r="B31" s="892" t="s">
        <v>146</v>
      </c>
      <c r="C31" s="893"/>
      <c r="D31" s="893"/>
      <c r="E31" s="894"/>
      <c r="F31" s="894"/>
      <c r="G31" s="895"/>
      <c r="H31" s="896"/>
      <c r="I31" s="896"/>
      <c r="J31" s="897" t="s">
        <v>145</v>
      </c>
      <c r="K31" s="898">
        <f>K14+K18+K21+K25+K30</f>
        <v>697131.79999999993</v>
      </c>
    </row>
    <row r="32" spans="2:11" ht="15.5" x14ac:dyDescent="0.35">
      <c r="B32" s="899"/>
      <c r="C32" s="900"/>
      <c r="D32" s="900"/>
      <c r="E32" s="859"/>
      <c r="F32" s="859"/>
      <c r="G32" s="830"/>
      <c r="H32" s="860"/>
      <c r="I32" s="860"/>
      <c r="J32" s="878"/>
      <c r="K32" s="871"/>
    </row>
    <row r="33" spans="2:11" ht="15.5" x14ac:dyDescent="0.35">
      <c r="B33" s="892" t="s">
        <v>294</v>
      </c>
      <c r="C33" s="901"/>
      <c r="D33" s="901"/>
      <c r="E33" s="902"/>
      <c r="F33" s="902"/>
      <c r="G33" s="903"/>
      <c r="H33" s="904"/>
      <c r="I33" s="904"/>
      <c r="J33" s="897" t="s">
        <v>115</v>
      </c>
      <c r="K33" s="898">
        <f>272758*(1.25)</f>
        <v>340947.5</v>
      </c>
    </row>
    <row r="34" spans="2:11" ht="15.5" x14ac:dyDescent="0.35">
      <c r="B34" s="899"/>
      <c r="C34" s="900"/>
      <c r="D34" s="900"/>
      <c r="E34" s="830"/>
      <c r="F34" s="830"/>
      <c r="G34" s="830"/>
      <c r="H34" s="878"/>
      <c r="I34" s="878"/>
      <c r="J34" s="878"/>
      <c r="K34" s="871"/>
    </row>
    <row r="35" spans="2:11" ht="15.5" x14ac:dyDescent="0.35">
      <c r="B35" s="899"/>
      <c r="C35" s="900"/>
      <c r="D35" s="900"/>
      <c r="E35" s="830"/>
      <c r="F35" s="830"/>
      <c r="G35" s="830"/>
      <c r="H35" s="878"/>
      <c r="I35" s="878"/>
      <c r="J35" s="878"/>
      <c r="K35" s="871"/>
    </row>
    <row r="36" spans="2:11" ht="15.5" x14ac:dyDescent="0.35">
      <c r="B36" s="892" t="s">
        <v>4</v>
      </c>
      <c r="C36" s="905"/>
      <c r="D36" s="905"/>
      <c r="E36" s="903"/>
      <c r="F36" s="903"/>
      <c r="G36" s="903"/>
      <c r="H36" s="906"/>
      <c r="I36" s="906"/>
      <c r="J36" s="897" t="s">
        <v>114</v>
      </c>
      <c r="K36" s="898">
        <f>+K31+K33</f>
        <v>1038079.2999999999</v>
      </c>
    </row>
    <row r="37" spans="2:11" ht="15.5" x14ac:dyDescent="0.35">
      <c r="B37" s="844"/>
      <c r="C37" s="900"/>
      <c r="D37" s="900"/>
      <c r="E37" s="830"/>
      <c r="F37" s="830"/>
      <c r="G37" s="856"/>
      <c r="H37" s="878"/>
      <c r="I37" s="878"/>
      <c r="J37" s="878"/>
      <c r="K37" s="862"/>
    </row>
    <row r="38" spans="2:11" ht="15.5" x14ac:dyDescent="0.35">
      <c r="B38" s="899"/>
      <c r="C38" s="900"/>
      <c r="D38" s="900"/>
      <c r="E38" s="830"/>
      <c r="F38" s="830"/>
      <c r="G38" s="830"/>
      <c r="H38" s="878"/>
      <c r="I38" s="878"/>
      <c r="J38" s="878"/>
      <c r="K38" s="862"/>
    </row>
    <row r="39" spans="2:11" ht="15.5" x14ac:dyDescent="0.35">
      <c r="B39" s="844" t="s">
        <v>5</v>
      </c>
      <c r="C39" s="900"/>
      <c r="D39" s="900"/>
      <c r="E39" s="830"/>
      <c r="F39" s="830"/>
      <c r="G39" s="830"/>
      <c r="H39" s="878"/>
      <c r="I39" s="878"/>
      <c r="J39" s="878"/>
      <c r="K39" s="862"/>
    </row>
    <row r="40" spans="2:11" ht="15.5" x14ac:dyDescent="0.35">
      <c r="B40" s="907" t="s">
        <v>144</v>
      </c>
      <c r="C40" s="900" t="s">
        <v>112</v>
      </c>
      <c r="D40" s="900"/>
      <c r="E40" s="877">
        <v>0.1</v>
      </c>
      <c r="F40" s="859" t="s">
        <v>103</v>
      </c>
      <c r="G40" s="908"/>
      <c r="H40" s="878"/>
      <c r="I40" s="860">
        <f>E40*K36</f>
        <v>103807.93</v>
      </c>
      <c r="J40" s="861"/>
      <c r="K40" s="909"/>
    </row>
    <row r="41" spans="2:11" ht="17.5" x14ac:dyDescent="0.45">
      <c r="B41" s="907" t="s">
        <v>113</v>
      </c>
      <c r="C41" s="900" t="s">
        <v>318</v>
      </c>
      <c r="D41" s="900"/>
      <c r="E41" s="883">
        <v>1</v>
      </c>
      <c r="F41" s="859" t="s">
        <v>109</v>
      </c>
      <c r="G41" s="883">
        <v>10000</v>
      </c>
      <c r="H41" s="878"/>
      <c r="I41" s="860">
        <f>G41*E41</f>
        <v>10000</v>
      </c>
      <c r="J41" s="861"/>
      <c r="K41" s="909" t="s">
        <v>102</v>
      </c>
    </row>
    <row r="42" spans="2:11" ht="15.5" x14ac:dyDescent="0.35">
      <c r="B42" s="892" t="s">
        <v>7</v>
      </c>
      <c r="C42" s="905"/>
      <c r="D42" s="905"/>
      <c r="E42" s="903"/>
      <c r="F42" s="902"/>
      <c r="G42" s="903"/>
      <c r="H42" s="906"/>
      <c r="I42" s="904"/>
      <c r="J42" s="897" t="s">
        <v>108</v>
      </c>
      <c r="K42" s="898">
        <f>SUM(I40:I41)</f>
        <v>113807.93</v>
      </c>
    </row>
    <row r="43" spans="2:11" ht="15.5" x14ac:dyDescent="0.35">
      <c r="B43" s="844"/>
      <c r="C43" s="900"/>
      <c r="D43" s="900"/>
      <c r="E43" s="830"/>
      <c r="F43" s="859"/>
      <c r="G43" s="830"/>
      <c r="H43" s="878"/>
      <c r="I43" s="860"/>
      <c r="J43" s="910"/>
      <c r="K43" s="862"/>
    </row>
    <row r="44" spans="2:11" ht="15.5" x14ac:dyDescent="0.35">
      <c r="B44" s="899"/>
      <c r="C44" s="900"/>
      <c r="D44" s="900"/>
      <c r="E44" s="830"/>
      <c r="F44" s="859"/>
      <c r="G44" s="830"/>
      <c r="H44" s="878"/>
      <c r="I44" s="860"/>
      <c r="J44" s="878"/>
      <c r="K44" s="862"/>
    </row>
    <row r="45" spans="2:11" ht="15.5" x14ac:dyDescent="0.35">
      <c r="B45" s="844" t="s">
        <v>8</v>
      </c>
      <c r="C45" s="900"/>
      <c r="D45" s="900"/>
      <c r="E45" s="830"/>
      <c r="F45" s="859"/>
      <c r="G45" s="830"/>
      <c r="H45" s="878"/>
      <c r="I45" s="860"/>
      <c r="J45" s="878"/>
      <c r="K45" s="862"/>
    </row>
    <row r="46" spans="2:11" ht="15.5" x14ac:dyDescent="0.35">
      <c r="B46" s="907" t="s">
        <v>111</v>
      </c>
      <c r="C46" s="900" t="s">
        <v>106</v>
      </c>
      <c r="D46" s="900"/>
      <c r="E46" s="830"/>
      <c r="F46" s="859" t="s">
        <v>103</v>
      </c>
      <c r="G46" s="830"/>
      <c r="H46" s="878"/>
      <c r="I46" s="860"/>
      <c r="J46" s="861"/>
      <c r="K46" s="909" t="s">
        <v>102</v>
      </c>
    </row>
    <row r="47" spans="2:11" ht="15.5" x14ac:dyDescent="0.35">
      <c r="B47" s="907" t="s">
        <v>107</v>
      </c>
      <c r="C47" s="900" t="s">
        <v>104</v>
      </c>
      <c r="D47" s="900"/>
      <c r="E47" s="911">
        <v>0.1</v>
      </c>
      <c r="F47" s="859" t="s">
        <v>103</v>
      </c>
      <c r="G47" s="908"/>
      <c r="H47" s="878"/>
      <c r="I47" s="860">
        <f>E47*K36</f>
        <v>103807.93</v>
      </c>
      <c r="J47" s="861"/>
      <c r="K47" s="909"/>
    </row>
    <row r="48" spans="2:11" ht="15.5" x14ac:dyDescent="0.35">
      <c r="B48" s="892" t="s">
        <v>9</v>
      </c>
      <c r="C48" s="912"/>
      <c r="D48" s="912"/>
      <c r="E48" s="913"/>
      <c r="F48" s="913"/>
      <c r="G48" s="913"/>
      <c r="H48" s="914"/>
      <c r="I48" s="914"/>
      <c r="J48" s="897" t="s">
        <v>101</v>
      </c>
      <c r="K48" s="915">
        <f>SUM(I46:I47)</f>
        <v>103807.93</v>
      </c>
    </row>
    <row r="49" spans="2:11" ht="15.5" x14ac:dyDescent="0.35">
      <c r="B49" s="844"/>
      <c r="C49" s="900"/>
      <c r="D49" s="900"/>
      <c r="E49" s="830"/>
      <c r="F49" s="830"/>
      <c r="G49" s="830"/>
      <c r="H49" s="878"/>
      <c r="I49" s="878"/>
      <c r="J49" s="910"/>
      <c r="K49" s="862"/>
    </row>
    <row r="50" spans="2:11" ht="15.5" x14ac:dyDescent="0.35">
      <c r="B50" s="899"/>
      <c r="C50" s="900"/>
      <c r="D50" s="900"/>
      <c r="E50" s="830"/>
      <c r="F50" s="830"/>
      <c r="G50" s="830"/>
      <c r="H50" s="878"/>
      <c r="I50" s="878"/>
      <c r="J50" s="878"/>
      <c r="K50" s="862"/>
    </row>
    <row r="51" spans="2:11" ht="34.5" customHeight="1" thickBot="1" x14ac:dyDescent="0.5">
      <c r="B51" s="916" t="s">
        <v>10</v>
      </c>
      <c r="C51" s="917"/>
      <c r="D51" s="917"/>
      <c r="E51" s="917"/>
      <c r="F51" s="917"/>
      <c r="G51" s="918"/>
      <c r="H51" s="919"/>
      <c r="I51" s="920"/>
      <c r="J51" s="921" t="s">
        <v>100</v>
      </c>
      <c r="K51" s="922">
        <f>K36+K42+K48</f>
        <v>1255695.1599999999</v>
      </c>
    </row>
    <row r="52" spans="2:11" ht="15" thickTop="1" x14ac:dyDescent="0.35"/>
  </sheetData>
  <mergeCells count="3">
    <mergeCell ref="B8:K8"/>
    <mergeCell ref="B1:K1"/>
    <mergeCell ref="B2:K2"/>
  </mergeCells>
  <printOptions horizontalCentered="1"/>
  <pageMargins left="0.33" right="0.41" top="0.56000000000000005" bottom="0.52" header="0.3" footer="0.3"/>
  <pageSetup scale="50" fitToHeight="0" orientation="portrait" r:id="rId1"/>
  <headerFooter>
    <oddFooter>&amp;LUAF
PM&amp;Y2.5&amp;Y Serious NAA BACT Analysis&amp;CPage 58&amp;RJanuary 2017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B1:L38"/>
  <sheetViews>
    <sheetView view="pageLayout" zoomScaleNormal="100" workbookViewId="0">
      <selection activeCell="D18" sqref="D18"/>
    </sheetView>
  </sheetViews>
  <sheetFormatPr defaultColWidth="8.81640625" defaultRowHeight="14.5" x14ac:dyDescent="0.35"/>
  <cols>
    <col min="1" max="1" width="3" style="823" customWidth="1"/>
    <col min="2" max="3" width="6" style="823" customWidth="1"/>
    <col min="4" max="4" width="52.54296875" style="823" customWidth="1"/>
    <col min="5" max="5" width="11.54296875" style="823" bestFit="1" customWidth="1"/>
    <col min="6" max="6" width="13.1796875" style="823" customWidth="1"/>
    <col min="7" max="7" width="15.453125" style="823" customWidth="1"/>
    <col min="8" max="8" width="24" style="823" customWidth="1"/>
    <col min="9" max="9" width="18.7265625" style="823" customWidth="1"/>
    <col min="10" max="10" width="8.81640625" style="823"/>
    <col min="11" max="11" width="13.26953125" style="823" customWidth="1"/>
    <col min="12" max="16384" width="8.81640625" style="823"/>
  </cols>
  <sheetData>
    <row r="1" spans="2:11" x14ac:dyDescent="0.35">
      <c r="B1" s="1351" t="s">
        <v>299</v>
      </c>
      <c r="C1" s="1351"/>
      <c r="D1" s="1351"/>
      <c r="E1" s="1351"/>
      <c r="F1" s="1351"/>
      <c r="G1" s="1351"/>
      <c r="H1" s="1351"/>
      <c r="I1" s="1351"/>
      <c r="J1" s="1351"/>
      <c r="K1" s="1351"/>
    </row>
    <row r="2" spans="2:11" x14ac:dyDescent="0.35">
      <c r="B2" s="1351" t="s">
        <v>281</v>
      </c>
      <c r="C2" s="1351"/>
      <c r="D2" s="1351"/>
      <c r="E2" s="1351"/>
      <c r="F2" s="1351"/>
      <c r="G2" s="1351"/>
      <c r="H2" s="1351"/>
      <c r="I2" s="1351"/>
      <c r="J2" s="1351"/>
      <c r="K2" s="1351"/>
    </row>
    <row r="3" spans="2:11" ht="15" thickBot="1" x14ac:dyDescent="0.4">
      <c r="I3" s="1392" t="s">
        <v>230</v>
      </c>
      <c r="J3" s="1393"/>
      <c r="K3" s="1394"/>
    </row>
    <row r="4" spans="2:11" ht="21" thickTop="1" x14ac:dyDescent="0.55000000000000004">
      <c r="B4" s="824" t="s">
        <v>285</v>
      </c>
      <c r="C4" s="923"/>
      <c r="D4" s="826"/>
      <c r="E4" s="826"/>
      <c r="F4" s="826"/>
      <c r="G4" s="826"/>
      <c r="H4" s="826"/>
      <c r="I4" s="826"/>
      <c r="J4" s="827" t="s">
        <v>181</v>
      </c>
      <c r="K4" s="828">
        <v>42472</v>
      </c>
    </row>
    <row r="5" spans="2:11" ht="16.5" x14ac:dyDescent="0.45">
      <c r="B5" s="829" t="s">
        <v>228</v>
      </c>
      <c r="C5" s="830"/>
      <c r="D5" s="831" t="s">
        <v>313</v>
      </c>
      <c r="E5" s="830"/>
      <c r="F5" s="830"/>
      <c r="G5" s="830"/>
      <c r="H5" s="830"/>
      <c r="I5" s="830"/>
      <c r="J5" s="832" t="s">
        <v>179</v>
      </c>
      <c r="K5" s="833" t="s">
        <v>178</v>
      </c>
    </row>
    <row r="6" spans="2:11" x14ac:dyDescent="0.35">
      <c r="B6" s="829"/>
      <c r="C6" s="830"/>
      <c r="D6" s="830"/>
      <c r="E6" s="830"/>
      <c r="F6" s="830"/>
      <c r="G6" s="830"/>
      <c r="H6" s="830"/>
      <c r="I6" s="830"/>
      <c r="J6" s="832" t="s">
        <v>177</v>
      </c>
      <c r="K6" s="833" t="s">
        <v>176</v>
      </c>
    </row>
    <row r="7" spans="2:11" ht="15" thickBot="1" x14ac:dyDescent="0.4">
      <c r="B7" s="834"/>
      <c r="C7" s="835"/>
      <c r="D7" s="835"/>
      <c r="E7" s="835"/>
      <c r="F7" s="835"/>
      <c r="G7" s="835"/>
      <c r="H7" s="835"/>
      <c r="I7" s="835"/>
      <c r="J7" s="836" t="s">
        <v>175</v>
      </c>
      <c r="K7" s="837" t="s">
        <v>270</v>
      </c>
    </row>
    <row r="8" spans="2:11" ht="16" thickBot="1" x14ac:dyDescent="0.4">
      <c r="B8" s="1395" t="s">
        <v>11</v>
      </c>
      <c r="C8" s="1396"/>
      <c r="D8" s="1396"/>
      <c r="E8" s="1396"/>
      <c r="F8" s="1396"/>
      <c r="G8" s="1396"/>
      <c r="H8" s="1396"/>
      <c r="I8" s="1396"/>
      <c r="J8" s="1396"/>
      <c r="K8" s="1397"/>
    </row>
    <row r="9" spans="2:11" ht="15.5" x14ac:dyDescent="0.35">
      <c r="B9" s="924" t="s">
        <v>12</v>
      </c>
      <c r="C9" s="925"/>
      <c r="D9" s="926"/>
      <c r="E9" s="927" t="s">
        <v>173</v>
      </c>
      <c r="F9" s="927" t="s">
        <v>172</v>
      </c>
      <c r="G9" s="928" t="s">
        <v>171</v>
      </c>
      <c r="H9" s="929" t="s">
        <v>170</v>
      </c>
      <c r="I9" s="929" t="s">
        <v>169</v>
      </c>
      <c r="J9" s="926"/>
      <c r="K9" s="930" t="s">
        <v>226</v>
      </c>
    </row>
    <row r="10" spans="2:11" x14ac:dyDescent="0.35">
      <c r="B10" s="931" t="s">
        <v>168</v>
      </c>
      <c r="C10" s="830" t="s">
        <v>319</v>
      </c>
      <c r="D10" s="830"/>
      <c r="E10" s="858"/>
      <c r="F10" s="859" t="s">
        <v>155</v>
      </c>
      <c r="G10" s="858"/>
      <c r="H10" s="861"/>
      <c r="I10" s="860">
        <f>E10*G10</f>
        <v>0</v>
      </c>
      <c r="J10" s="932"/>
      <c r="K10" s="871">
        <f>I10</f>
        <v>0</v>
      </c>
    </row>
    <row r="11" spans="2:11" x14ac:dyDescent="0.35">
      <c r="B11" s="931" t="s">
        <v>144</v>
      </c>
      <c r="C11" s="830" t="s">
        <v>320</v>
      </c>
      <c r="D11" s="830"/>
      <c r="E11" s="858"/>
      <c r="F11" s="859" t="s">
        <v>155</v>
      </c>
      <c r="G11" s="858"/>
      <c r="H11" s="861"/>
      <c r="I11" s="860">
        <f>E11*G11</f>
        <v>0</v>
      </c>
      <c r="J11" s="932"/>
      <c r="K11" s="871">
        <f t="shared" ref="K11:K12" si="0">I11</f>
        <v>0</v>
      </c>
    </row>
    <row r="12" spans="2:11" x14ac:dyDescent="0.35">
      <c r="B12" s="931" t="s">
        <v>113</v>
      </c>
      <c r="C12" s="830" t="s">
        <v>321</v>
      </c>
      <c r="D12" s="830"/>
      <c r="E12" s="858"/>
      <c r="F12" s="868" t="s">
        <v>155</v>
      </c>
      <c r="G12" s="858"/>
      <c r="H12" s="861"/>
      <c r="I12" s="860">
        <f>E12*G12</f>
        <v>0</v>
      </c>
      <c r="J12" s="932"/>
      <c r="K12" s="871">
        <f t="shared" si="0"/>
        <v>0</v>
      </c>
    </row>
    <row r="13" spans="2:11" x14ac:dyDescent="0.35">
      <c r="B13" s="931" t="s">
        <v>111</v>
      </c>
      <c r="C13" s="830" t="s">
        <v>322</v>
      </c>
      <c r="D13" s="830"/>
      <c r="E13" s="858"/>
      <c r="F13" s="868" t="s">
        <v>127</v>
      </c>
      <c r="G13" s="858"/>
      <c r="H13" s="860">
        <f>E13*G13</f>
        <v>0</v>
      </c>
      <c r="I13" s="860">
        <f>E13*G13</f>
        <v>0</v>
      </c>
      <c r="J13" s="932"/>
      <c r="K13" s="871">
        <f>H13</f>
        <v>0</v>
      </c>
    </row>
    <row r="14" spans="2:11" x14ac:dyDescent="0.35">
      <c r="B14" s="933"/>
      <c r="C14" s="934"/>
      <c r="D14" s="830"/>
      <c r="E14" s="935"/>
      <c r="F14" s="832"/>
      <c r="G14" s="932"/>
      <c r="H14" s="860"/>
      <c r="I14" s="936"/>
      <c r="J14" s="860"/>
      <c r="K14" s="871"/>
    </row>
    <row r="15" spans="2:11" x14ac:dyDescent="0.35">
      <c r="B15" s="937" t="s">
        <v>13</v>
      </c>
      <c r="C15" s="938"/>
      <c r="D15" s="939"/>
      <c r="E15" s="940"/>
      <c r="F15" s="941"/>
      <c r="G15" s="942"/>
      <c r="H15" s="896"/>
      <c r="I15" s="943"/>
      <c r="J15" s="944" t="s">
        <v>209</v>
      </c>
      <c r="K15" s="945">
        <f>SUM(K10:K13)</f>
        <v>0</v>
      </c>
    </row>
    <row r="16" spans="2:11" x14ac:dyDescent="0.35">
      <c r="B16" s="829"/>
      <c r="C16" s="934"/>
      <c r="D16" s="830"/>
      <c r="E16" s="859"/>
      <c r="F16" s="830"/>
      <c r="G16" s="860"/>
      <c r="H16" s="860"/>
      <c r="I16" s="936"/>
      <c r="J16" s="946"/>
      <c r="K16" s="871"/>
    </row>
    <row r="17" spans="2:12" ht="15.5" x14ac:dyDescent="0.35">
      <c r="B17" s="844" t="s">
        <v>14</v>
      </c>
      <c r="C17" s="850"/>
      <c r="D17" s="830"/>
      <c r="E17" s="859"/>
      <c r="F17" s="859"/>
      <c r="G17" s="860"/>
      <c r="H17" s="860"/>
      <c r="I17" s="860"/>
      <c r="J17" s="860"/>
      <c r="K17" s="871"/>
    </row>
    <row r="18" spans="2:12" x14ac:dyDescent="0.35">
      <c r="B18" s="931" t="s">
        <v>107</v>
      </c>
      <c r="C18" s="830" t="s">
        <v>207</v>
      </c>
      <c r="D18" s="830"/>
      <c r="E18" s="858"/>
      <c r="F18" s="859" t="s">
        <v>155</v>
      </c>
      <c r="G18" s="858"/>
      <c r="H18" s="861" t="s">
        <v>102</v>
      </c>
      <c r="I18" s="860">
        <f>E18*G18</f>
        <v>0</v>
      </c>
      <c r="J18" s="932"/>
      <c r="K18" s="871">
        <f>I18</f>
        <v>0</v>
      </c>
    </row>
    <row r="19" spans="2:12" x14ac:dyDescent="0.35">
      <c r="B19" s="1137" t="s">
        <v>105</v>
      </c>
      <c r="C19" s="1136" t="s">
        <v>334</v>
      </c>
      <c r="D19" s="513"/>
      <c r="E19" s="559">
        <v>0.03</v>
      </c>
      <c r="F19" s="859" t="s">
        <v>249</v>
      </c>
      <c r="G19" s="947"/>
      <c r="H19" s="861"/>
      <c r="I19" s="860">
        <f>E19*'3-10 - EU ID 3 LNB-FGR TCI'!K51</f>
        <v>37670.854799999994</v>
      </c>
      <c r="J19" s="932"/>
      <c r="K19" s="871">
        <f>I19</f>
        <v>37670.854799999994</v>
      </c>
    </row>
    <row r="20" spans="2:12" x14ac:dyDescent="0.35">
      <c r="B20" s="931"/>
      <c r="C20" s="948" t="s">
        <v>199</v>
      </c>
      <c r="D20" s="830"/>
      <c r="E20" s="935">
        <f>($E$35/100*POWER((1+($E$35/100)),$E$36))/((POWER(((1+$E$35/100)),$E$36))-1)</f>
        <v>0.14237750272736471</v>
      </c>
      <c r="F20" s="868"/>
      <c r="G20" s="860"/>
      <c r="H20" s="860"/>
      <c r="I20" s="860"/>
      <c r="J20" s="932"/>
      <c r="K20" s="949"/>
      <c r="L20" s="950"/>
    </row>
    <row r="21" spans="2:12" x14ac:dyDescent="0.35">
      <c r="B21" s="931" t="s">
        <v>208</v>
      </c>
      <c r="C21" s="830" t="s">
        <v>197</v>
      </c>
      <c r="D21" s="830"/>
      <c r="E21" s="830"/>
      <c r="F21" s="830"/>
      <c r="G21" s="860"/>
      <c r="H21" s="951"/>
      <c r="I21" s="860"/>
      <c r="J21" s="952" t="s">
        <v>196</v>
      </c>
      <c r="K21" s="871">
        <f>E20*'3-10 - EU ID 3 LNB-FGR TCI'!K51</f>
        <v>178782.74106763865</v>
      </c>
      <c r="L21" s="950"/>
    </row>
    <row r="22" spans="2:12" x14ac:dyDescent="0.35">
      <c r="B22" s="829"/>
      <c r="C22" s="830"/>
      <c r="D22" s="830"/>
      <c r="E22" s="859"/>
      <c r="F22" s="830"/>
      <c r="G22" s="860"/>
      <c r="H22" s="860"/>
      <c r="I22" s="860"/>
      <c r="J22" s="860"/>
      <c r="K22" s="871"/>
    </row>
    <row r="23" spans="2:12" x14ac:dyDescent="0.35">
      <c r="B23" s="937" t="s">
        <v>15</v>
      </c>
      <c r="C23" s="938"/>
      <c r="D23" s="953"/>
      <c r="E23" s="954"/>
      <c r="F23" s="953"/>
      <c r="G23" s="943"/>
      <c r="H23" s="955"/>
      <c r="I23" s="943"/>
      <c r="J23" s="944" t="s">
        <v>195</v>
      </c>
      <c r="K23" s="945">
        <f>SUM(K18:K21)</f>
        <v>216453.59586763865</v>
      </c>
    </row>
    <row r="24" spans="2:12" x14ac:dyDescent="0.35">
      <c r="B24" s="956"/>
      <c r="C24" s="957"/>
      <c r="D24" s="830"/>
      <c r="E24" s="859"/>
      <c r="F24" s="830"/>
      <c r="G24" s="860"/>
      <c r="H24" s="860"/>
      <c r="I24" s="860"/>
      <c r="J24" s="860"/>
      <c r="K24" s="871"/>
    </row>
    <row r="25" spans="2:12" ht="15.5" x14ac:dyDescent="0.35">
      <c r="B25" s="958" t="s">
        <v>194</v>
      </c>
      <c r="C25" s="959"/>
      <c r="D25" s="895"/>
      <c r="E25" s="894"/>
      <c r="F25" s="895"/>
      <c r="G25" s="896"/>
      <c r="H25" s="960"/>
      <c r="I25" s="896"/>
      <c r="J25" s="944" t="s">
        <v>193</v>
      </c>
      <c r="K25" s="945">
        <f>K15+K23</f>
        <v>216453.59586763865</v>
      </c>
    </row>
    <row r="26" spans="2:12" ht="15" thickBot="1" x14ac:dyDescent="0.4">
      <c r="B26" s="829"/>
      <c r="C26" s="830"/>
      <c r="D26" s="830"/>
      <c r="E26" s="859"/>
      <c r="F26" s="830"/>
      <c r="G26" s="830"/>
      <c r="H26" s="830"/>
      <c r="I26" s="830"/>
      <c r="J26" s="830"/>
      <c r="K26" s="852"/>
    </row>
    <row r="27" spans="2:12" ht="16" thickBot="1" x14ac:dyDescent="0.4">
      <c r="B27" s="1398" t="s">
        <v>16</v>
      </c>
      <c r="C27" s="1399"/>
      <c r="D27" s="1399"/>
      <c r="E27" s="1399"/>
      <c r="F27" s="1399"/>
      <c r="G27" s="1399"/>
      <c r="H27" s="1399"/>
      <c r="I27" s="1399"/>
      <c r="J27" s="1399"/>
      <c r="K27" s="1400"/>
    </row>
    <row r="28" spans="2:12" x14ac:dyDescent="0.35">
      <c r="B28" s="829"/>
      <c r="C28" s="830"/>
      <c r="D28" s="830"/>
      <c r="E28" s="830"/>
      <c r="F28" s="830"/>
      <c r="G28" s="830"/>
      <c r="H28" s="830"/>
      <c r="I28" s="830"/>
      <c r="J28" s="830"/>
      <c r="K28" s="852"/>
    </row>
    <row r="29" spans="2:12" ht="15.5" x14ac:dyDescent="0.35">
      <c r="B29" s="844" t="s">
        <v>286</v>
      </c>
      <c r="C29" s="850"/>
      <c r="D29" s="830"/>
      <c r="E29" s="830"/>
      <c r="F29" s="830"/>
      <c r="G29" s="830"/>
      <c r="H29" s="830"/>
      <c r="I29" s="830"/>
      <c r="J29" s="961" t="s">
        <v>3</v>
      </c>
      <c r="K29" s="962">
        <f>138.8-(180.9*0.1*8760/2000)</f>
        <v>59.56580000000001</v>
      </c>
    </row>
    <row r="30" spans="2:12" x14ac:dyDescent="0.35">
      <c r="B30" s="829"/>
      <c r="C30" s="830"/>
      <c r="D30" s="830"/>
      <c r="E30" s="830"/>
      <c r="F30" s="830"/>
      <c r="G30" s="830"/>
      <c r="H30" s="830"/>
      <c r="I30" s="830"/>
      <c r="J30" s="830"/>
      <c r="K30" s="852"/>
    </row>
    <row r="31" spans="2:12" ht="16" thickBot="1" x14ac:dyDescent="0.4">
      <c r="B31" s="963" t="s">
        <v>191</v>
      </c>
      <c r="C31" s="964"/>
      <c r="D31" s="965"/>
      <c r="E31" s="965"/>
      <c r="F31" s="965"/>
      <c r="G31" s="965"/>
      <c r="H31" s="966"/>
      <c r="I31" s="965"/>
      <c r="J31" s="967" t="s">
        <v>190</v>
      </c>
      <c r="K31" s="968">
        <f>K25/K29</f>
        <v>3633.8569425347869</v>
      </c>
    </row>
    <row r="32" spans="2:12" ht="15" thickTop="1" x14ac:dyDescent="0.35"/>
    <row r="33" spans="4:7" ht="15" thickBot="1" x14ac:dyDescent="0.4"/>
    <row r="34" spans="4:7" x14ac:dyDescent="0.35">
      <c r="D34" s="969" t="s">
        <v>266</v>
      </c>
      <c r="E34" s="926"/>
      <c r="F34" s="970"/>
      <c r="G34" s="971"/>
    </row>
    <row r="35" spans="4:7" x14ac:dyDescent="0.35">
      <c r="D35" s="972" t="s">
        <v>287</v>
      </c>
      <c r="E35" s="973">
        <v>7</v>
      </c>
      <c r="F35" s="974" t="s">
        <v>152</v>
      </c>
    </row>
    <row r="36" spans="4:7" x14ac:dyDescent="0.35">
      <c r="D36" s="972" t="s">
        <v>187</v>
      </c>
      <c r="E36" s="858">
        <v>10</v>
      </c>
      <c r="F36" s="974" t="s">
        <v>185</v>
      </c>
    </row>
    <row r="37" spans="4:7" x14ac:dyDescent="0.35">
      <c r="D37" s="972" t="s">
        <v>186</v>
      </c>
      <c r="E37" s="858" t="s">
        <v>97</v>
      </c>
      <c r="F37" s="974" t="s">
        <v>185</v>
      </c>
    </row>
    <row r="38" spans="4:7" ht="15" thickBot="1" x14ac:dyDescent="0.4">
      <c r="D38" s="975" t="s">
        <v>288</v>
      </c>
      <c r="E38" s="976" t="s">
        <v>97</v>
      </c>
      <c r="F38" s="977" t="s">
        <v>152</v>
      </c>
    </row>
  </sheetData>
  <mergeCells count="5">
    <mergeCell ref="I3:K3"/>
    <mergeCell ref="B8:K8"/>
    <mergeCell ref="B27:K27"/>
    <mergeCell ref="B1:K1"/>
    <mergeCell ref="B2:K2"/>
  </mergeCells>
  <printOptions horizontalCentered="1"/>
  <pageMargins left="0.33" right="0.41" top="0.56000000000000005" bottom="0.52" header="0.3" footer="0.3"/>
  <pageSetup scale="56" fitToHeight="0" orientation="portrait" r:id="rId1"/>
  <headerFooter>
    <oddFooter>&amp;LUAF
PM&amp;Y2.5&amp;Y Serious NAA BACT Analysis&amp;CPage 59&amp;RJanuary 2017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B1:K51"/>
  <sheetViews>
    <sheetView view="pageLayout" topLeftCell="B1" zoomScaleNormal="90" workbookViewId="0">
      <selection activeCell="I29" sqref="I29"/>
    </sheetView>
  </sheetViews>
  <sheetFormatPr defaultColWidth="8.81640625" defaultRowHeight="14.5" x14ac:dyDescent="0.35"/>
  <cols>
    <col min="1" max="1" width="2.26953125" style="667" customWidth="1"/>
    <col min="2" max="2" width="5.26953125" style="667" customWidth="1"/>
    <col min="3" max="3" width="6" style="667" customWidth="1"/>
    <col min="4" max="4" width="63.7265625" style="667" customWidth="1"/>
    <col min="5" max="5" width="8.81640625" style="667"/>
    <col min="6" max="6" width="19.26953125" style="667" customWidth="1"/>
    <col min="7" max="7" width="13" style="667" customWidth="1"/>
    <col min="8" max="8" width="24.1796875" style="667" customWidth="1"/>
    <col min="9" max="9" width="20.453125" style="667" customWidth="1"/>
    <col min="10" max="10" width="14.7265625" style="667" customWidth="1"/>
    <col min="11" max="11" width="17.26953125" style="667" customWidth="1"/>
    <col min="12" max="12" width="8.81640625" style="667"/>
    <col min="13" max="13" width="29.81640625" style="667" customWidth="1"/>
    <col min="14" max="16384" width="8.81640625" style="667"/>
  </cols>
  <sheetData>
    <row r="1" spans="2:11" x14ac:dyDescent="0.35">
      <c r="B1" s="1351" t="s">
        <v>297</v>
      </c>
      <c r="C1" s="1351"/>
      <c r="D1" s="1351"/>
      <c r="E1" s="1351"/>
      <c r="F1" s="1351"/>
      <c r="G1" s="1351"/>
      <c r="H1" s="1351"/>
      <c r="I1" s="1351"/>
      <c r="J1" s="1351"/>
      <c r="K1" s="1351"/>
    </row>
    <row r="2" spans="2:11" x14ac:dyDescent="0.35">
      <c r="B2" s="1351" t="s">
        <v>298</v>
      </c>
      <c r="C2" s="1351"/>
      <c r="D2" s="1351"/>
      <c r="E2" s="1351"/>
      <c r="F2" s="1351"/>
      <c r="G2" s="1351"/>
      <c r="H2" s="1351"/>
      <c r="I2" s="1351"/>
      <c r="J2" s="1351"/>
      <c r="K2" s="1351"/>
    </row>
    <row r="3" spans="2:11" ht="15" thickBot="1" x14ac:dyDescent="0.4">
      <c r="J3" s="1401" t="s">
        <v>183</v>
      </c>
      <c r="K3" s="1401"/>
    </row>
    <row r="4" spans="2:11" ht="21" thickTop="1" x14ac:dyDescent="0.55000000000000004">
      <c r="B4" s="668" t="s">
        <v>289</v>
      </c>
      <c r="C4" s="747"/>
      <c r="D4" s="747"/>
      <c r="E4" s="670"/>
      <c r="F4" s="670"/>
      <c r="G4" s="670"/>
      <c r="H4" s="670"/>
      <c r="I4" s="670"/>
      <c r="J4" s="671" t="s">
        <v>181</v>
      </c>
      <c r="K4" s="672">
        <v>42447</v>
      </c>
    </row>
    <row r="5" spans="2:11" ht="16.5" x14ac:dyDescent="0.45">
      <c r="B5" s="673" t="s">
        <v>180</v>
      </c>
      <c r="C5" s="674"/>
      <c r="D5" s="821" t="s">
        <v>309</v>
      </c>
      <c r="E5" s="674"/>
      <c r="F5" s="674"/>
      <c r="G5" s="674"/>
      <c r="H5" s="674"/>
      <c r="I5" s="674"/>
      <c r="J5" s="675" t="s">
        <v>179</v>
      </c>
      <c r="K5" s="676" t="s">
        <v>178</v>
      </c>
    </row>
    <row r="6" spans="2:11" x14ac:dyDescent="0.35">
      <c r="B6" s="673"/>
      <c r="C6" s="674"/>
      <c r="D6" s="674"/>
      <c r="E6" s="674"/>
      <c r="F6" s="674"/>
      <c r="G6" s="674"/>
      <c r="H6" s="674"/>
      <c r="I6" s="674"/>
      <c r="J6" s="675" t="s">
        <v>177</v>
      </c>
      <c r="K6" s="676" t="s">
        <v>176</v>
      </c>
    </row>
    <row r="7" spans="2:11" ht="15" thickBot="1" x14ac:dyDescent="0.4">
      <c r="B7" s="677"/>
      <c r="C7" s="678"/>
      <c r="D7" s="678"/>
      <c r="E7" s="678"/>
      <c r="F7" s="678"/>
      <c r="G7" s="678"/>
      <c r="H7" s="678"/>
      <c r="I7" s="678"/>
      <c r="J7" s="679" t="s">
        <v>175</v>
      </c>
      <c r="K7" s="680" t="s">
        <v>256</v>
      </c>
    </row>
    <row r="8" spans="2:11" ht="36.75" customHeight="1" thickBot="1" x14ac:dyDescent="0.4">
      <c r="B8" s="1402" t="s">
        <v>1</v>
      </c>
      <c r="C8" s="1403"/>
      <c r="D8" s="1403"/>
      <c r="E8" s="1403"/>
      <c r="F8" s="1403"/>
      <c r="G8" s="1403"/>
      <c r="H8" s="1403"/>
      <c r="I8" s="1403"/>
      <c r="J8" s="1403"/>
      <c r="K8" s="1404"/>
    </row>
    <row r="9" spans="2:11" ht="19" thickTop="1" x14ac:dyDescent="0.45">
      <c r="B9" s="748" t="s">
        <v>2</v>
      </c>
      <c r="C9" s="749"/>
      <c r="D9" s="749"/>
      <c r="E9" s="750" t="s">
        <v>173</v>
      </c>
      <c r="F9" s="750" t="s">
        <v>172</v>
      </c>
      <c r="G9" s="751" t="s">
        <v>171</v>
      </c>
      <c r="H9" s="752" t="s">
        <v>170</v>
      </c>
      <c r="I9" s="752" t="s">
        <v>169</v>
      </c>
      <c r="J9" s="749"/>
      <c r="K9" s="753"/>
    </row>
    <row r="10" spans="2:11" ht="15.5" x14ac:dyDescent="0.35">
      <c r="B10" s="711"/>
      <c r="C10" s="674"/>
      <c r="D10" s="674"/>
      <c r="E10" s="754"/>
      <c r="F10" s="754"/>
      <c r="G10" s="755"/>
      <c r="H10" s="756"/>
      <c r="I10" s="756"/>
      <c r="J10" s="674"/>
      <c r="K10" s="757"/>
    </row>
    <row r="11" spans="2:11" ht="15.5" x14ac:dyDescent="0.35">
      <c r="B11" s="758" t="s">
        <v>168</v>
      </c>
      <c r="C11" s="712" t="s">
        <v>167</v>
      </c>
      <c r="D11" s="712"/>
      <c r="E11" s="674"/>
      <c r="F11" s="674"/>
      <c r="G11" s="674"/>
      <c r="H11" s="674"/>
      <c r="I11" s="674"/>
      <c r="J11" s="759"/>
      <c r="K11" s="729"/>
    </row>
    <row r="12" spans="2:11" ht="15.5" x14ac:dyDescent="0.35">
      <c r="B12" s="711"/>
      <c r="C12" s="712" t="s">
        <v>142</v>
      </c>
      <c r="D12" s="712" t="s">
        <v>166</v>
      </c>
      <c r="E12" s="674"/>
      <c r="F12" s="674"/>
      <c r="G12" s="674"/>
      <c r="H12" s="674"/>
      <c r="I12" s="674"/>
      <c r="J12" s="760"/>
      <c r="K12" s="761"/>
    </row>
    <row r="13" spans="2:11" x14ac:dyDescent="0.35">
      <c r="B13" s="762"/>
      <c r="C13" s="763"/>
      <c r="D13" s="764" t="s">
        <v>290</v>
      </c>
      <c r="E13" s="689">
        <v>1</v>
      </c>
      <c r="F13" s="690" t="s">
        <v>109</v>
      </c>
      <c r="G13" s="689">
        <v>444039</v>
      </c>
      <c r="H13" s="692">
        <f>E13*G13</f>
        <v>444039</v>
      </c>
      <c r="I13" s="692"/>
      <c r="J13" s="691"/>
      <c r="K13" s="765"/>
    </row>
    <row r="14" spans="2:11" x14ac:dyDescent="0.35">
      <c r="B14" s="766"/>
      <c r="C14" s="767"/>
      <c r="D14" s="768" t="s">
        <v>291</v>
      </c>
      <c r="E14" s="689">
        <v>1</v>
      </c>
      <c r="F14" s="690" t="s">
        <v>109</v>
      </c>
      <c r="G14" s="689">
        <v>187755</v>
      </c>
      <c r="H14" s="692">
        <f>E14*G14</f>
        <v>187755</v>
      </c>
      <c r="I14" s="769"/>
      <c r="J14" s="770" t="s">
        <v>147</v>
      </c>
      <c r="K14" s="761">
        <f>SUM(H13:H14)</f>
        <v>631794</v>
      </c>
    </row>
    <row r="15" spans="2:11" x14ac:dyDescent="0.35">
      <c r="B15" s="766"/>
      <c r="C15" s="767"/>
      <c r="D15" s="768"/>
      <c r="E15" s="695"/>
      <c r="F15" s="695"/>
      <c r="G15" s="771"/>
      <c r="H15" s="769"/>
      <c r="I15" s="769"/>
      <c r="J15" s="770"/>
      <c r="K15" s="761"/>
    </row>
    <row r="16" spans="2:11" ht="15.5" x14ac:dyDescent="0.35">
      <c r="B16" s="766"/>
      <c r="C16" s="772" t="s">
        <v>139</v>
      </c>
      <c r="D16" s="772" t="s">
        <v>164</v>
      </c>
      <c r="E16" s="695"/>
      <c r="F16" s="695"/>
      <c r="G16" s="771"/>
      <c r="H16" s="769"/>
      <c r="I16" s="769"/>
      <c r="J16" s="770"/>
      <c r="K16" s="694"/>
    </row>
    <row r="17" spans="2:11" x14ac:dyDescent="0.35">
      <c r="B17" s="766"/>
      <c r="C17" s="767"/>
      <c r="D17" s="768" t="s">
        <v>163</v>
      </c>
      <c r="E17" s="689"/>
      <c r="F17" s="695" t="s">
        <v>109</v>
      </c>
      <c r="G17" s="689"/>
      <c r="H17" s="692">
        <f>E17*G17</f>
        <v>0</v>
      </c>
      <c r="I17" s="769" t="s">
        <v>292</v>
      </c>
      <c r="J17" s="691"/>
      <c r="K17" s="694"/>
    </row>
    <row r="18" spans="2:11" x14ac:dyDescent="0.35">
      <c r="B18" s="773"/>
      <c r="C18" s="774"/>
      <c r="D18" s="775"/>
      <c r="E18" s="776"/>
      <c r="F18" s="776"/>
      <c r="G18" s="775"/>
      <c r="H18" s="777"/>
      <c r="I18" s="777"/>
      <c r="J18" s="770" t="s">
        <v>147</v>
      </c>
      <c r="K18" s="761">
        <f>SUM(H17:H17)</f>
        <v>0</v>
      </c>
    </row>
    <row r="19" spans="2:11" ht="15.5" x14ac:dyDescent="0.35">
      <c r="B19" s="762"/>
      <c r="C19" s="712" t="s">
        <v>137</v>
      </c>
      <c r="D19" s="712" t="s">
        <v>162</v>
      </c>
      <c r="E19" s="690"/>
      <c r="F19" s="690"/>
      <c r="G19" s="674"/>
      <c r="H19" s="692"/>
      <c r="I19" s="692"/>
      <c r="J19" s="691"/>
      <c r="K19" s="694"/>
    </row>
    <row r="20" spans="2:11" x14ac:dyDescent="0.35">
      <c r="B20" s="762"/>
      <c r="C20" s="763"/>
      <c r="D20" s="764"/>
      <c r="E20" s="695"/>
      <c r="F20" s="690" t="s">
        <v>259</v>
      </c>
      <c r="G20" s="778">
        <v>0.1</v>
      </c>
      <c r="H20" s="692"/>
      <c r="I20" s="692">
        <f>G20*H13</f>
        <v>44403.9</v>
      </c>
      <c r="J20" s="691"/>
      <c r="K20" s="694"/>
    </row>
    <row r="21" spans="2:11" x14ac:dyDescent="0.35">
      <c r="B21" s="779"/>
      <c r="C21" s="768"/>
      <c r="D21" s="768"/>
      <c r="E21" s="780"/>
      <c r="F21" s="780"/>
      <c r="G21" s="768"/>
      <c r="H21" s="781"/>
      <c r="I21" s="781"/>
      <c r="J21" s="770" t="s">
        <v>147</v>
      </c>
      <c r="K21" s="761">
        <f>SUM(I20:I20)</f>
        <v>44403.9</v>
      </c>
    </row>
    <row r="22" spans="2:11" ht="15.5" x14ac:dyDescent="0.35">
      <c r="B22" s="762"/>
      <c r="C22" s="712" t="s">
        <v>134</v>
      </c>
      <c r="D22" s="712" t="s">
        <v>159</v>
      </c>
      <c r="E22" s="690"/>
      <c r="F22" s="690"/>
      <c r="G22" s="674"/>
      <c r="H22" s="692"/>
      <c r="I22" s="692"/>
      <c r="J22" s="691"/>
      <c r="K22" s="694"/>
    </row>
    <row r="23" spans="2:11" x14ac:dyDescent="0.35">
      <c r="B23" s="782"/>
      <c r="C23" s="764"/>
      <c r="D23" s="768" t="s">
        <v>158</v>
      </c>
      <c r="E23" s="783">
        <v>0</v>
      </c>
      <c r="F23" s="784" t="s">
        <v>155</v>
      </c>
      <c r="G23" s="785"/>
      <c r="H23" s="786" t="s">
        <v>293</v>
      </c>
      <c r="I23" s="786">
        <f>E23*G23</f>
        <v>0</v>
      </c>
      <c r="J23" s="787"/>
      <c r="K23" s="788"/>
    </row>
    <row r="24" spans="2:11" x14ac:dyDescent="0.35">
      <c r="B24" s="782"/>
      <c r="C24" s="764"/>
      <c r="D24" s="768" t="s">
        <v>156</v>
      </c>
      <c r="E24" s="783">
        <v>0</v>
      </c>
      <c r="F24" s="784" t="s">
        <v>155</v>
      </c>
      <c r="G24" s="785">
        <v>0</v>
      </c>
      <c r="H24" s="786"/>
      <c r="I24" s="786">
        <f>E24*G24</f>
        <v>0</v>
      </c>
      <c r="J24" s="787"/>
      <c r="K24" s="788"/>
    </row>
    <row r="25" spans="2:11" x14ac:dyDescent="0.35">
      <c r="B25" s="779"/>
      <c r="C25" s="768"/>
      <c r="D25" s="768"/>
      <c r="E25" s="780"/>
      <c r="F25" s="780"/>
      <c r="G25" s="768"/>
      <c r="H25" s="781"/>
      <c r="I25" s="781"/>
      <c r="J25" s="770" t="s">
        <v>147</v>
      </c>
      <c r="K25" s="761">
        <f>SUM(I23:I24)</f>
        <v>0</v>
      </c>
    </row>
    <row r="26" spans="2:11" ht="15.5" x14ac:dyDescent="0.35">
      <c r="B26" s="762"/>
      <c r="C26" s="712" t="s">
        <v>260</v>
      </c>
      <c r="D26" s="712" t="s">
        <v>151</v>
      </c>
      <c r="E26" s="690"/>
      <c r="F26" s="690"/>
      <c r="G26" s="674"/>
      <c r="H26" s="692"/>
      <c r="I26" s="692"/>
      <c r="J26" s="691"/>
      <c r="K26" s="694"/>
    </row>
    <row r="27" spans="2:11" x14ac:dyDescent="0.35">
      <c r="B27" s="762"/>
      <c r="C27" s="763"/>
      <c r="D27" s="764" t="s">
        <v>150</v>
      </c>
      <c r="E27" s="783">
        <v>0</v>
      </c>
      <c r="F27" s="784" t="s">
        <v>148</v>
      </c>
      <c r="G27" s="783"/>
      <c r="H27" s="786"/>
      <c r="I27" s="786">
        <f>G27*E27</f>
        <v>0</v>
      </c>
      <c r="J27" s="691"/>
      <c r="K27" s="694"/>
    </row>
    <row r="28" spans="2:11" x14ac:dyDescent="0.35">
      <c r="B28" s="762"/>
      <c r="C28" s="763"/>
      <c r="D28" s="764" t="s">
        <v>149</v>
      </c>
      <c r="E28" s="783">
        <v>0</v>
      </c>
      <c r="F28" s="784" t="s">
        <v>148</v>
      </c>
      <c r="G28" s="783"/>
      <c r="H28" s="786"/>
      <c r="I28" s="786">
        <f>G28*E28</f>
        <v>0</v>
      </c>
      <c r="J28" s="691"/>
      <c r="K28" s="694"/>
    </row>
    <row r="29" spans="2:11" x14ac:dyDescent="0.35">
      <c r="B29" s="762"/>
      <c r="C29" s="763"/>
      <c r="D29" s="763"/>
      <c r="E29" s="784"/>
      <c r="F29" s="784"/>
      <c r="G29" s="764"/>
      <c r="H29" s="786"/>
      <c r="I29" s="786"/>
      <c r="J29" s="770" t="s">
        <v>147</v>
      </c>
      <c r="K29" s="761">
        <f>SUM(I27:I28)</f>
        <v>0</v>
      </c>
    </row>
    <row r="30" spans="2:11" ht="15.5" x14ac:dyDescent="0.35">
      <c r="B30" s="789" t="s">
        <v>146</v>
      </c>
      <c r="C30" s="790"/>
      <c r="D30" s="790"/>
      <c r="E30" s="727"/>
      <c r="F30" s="727"/>
      <c r="G30" s="726"/>
      <c r="H30" s="706"/>
      <c r="I30" s="706"/>
      <c r="J30" s="791" t="s">
        <v>145</v>
      </c>
      <c r="K30" s="792">
        <f>K14+K18+K21+K25+K29</f>
        <v>676197.9</v>
      </c>
    </row>
    <row r="31" spans="2:11" ht="15.5" x14ac:dyDescent="0.35">
      <c r="B31" s="793"/>
      <c r="C31" s="794"/>
      <c r="D31" s="794"/>
      <c r="E31" s="690"/>
      <c r="F31" s="690"/>
      <c r="G31" s="674"/>
      <c r="H31" s="692"/>
      <c r="I31" s="692"/>
      <c r="J31" s="795"/>
      <c r="K31" s="694"/>
    </row>
    <row r="32" spans="2:11" ht="15.5" x14ac:dyDescent="0.35">
      <c r="B32" s="789" t="s">
        <v>294</v>
      </c>
      <c r="C32" s="796"/>
      <c r="D32" s="796"/>
      <c r="E32" s="797"/>
      <c r="F32" s="797"/>
      <c r="G32" s="798"/>
      <c r="H32" s="799"/>
      <c r="I32" s="799"/>
      <c r="J32" s="791" t="s">
        <v>115</v>
      </c>
      <c r="K32" s="792">
        <f>15000*(180.9/6.13)</f>
        <v>442659.05383360526</v>
      </c>
    </row>
    <row r="33" spans="2:11" ht="15.5" x14ac:dyDescent="0.35">
      <c r="B33" s="793"/>
      <c r="C33" s="794"/>
      <c r="D33" s="794"/>
      <c r="E33" s="674"/>
      <c r="F33" s="674"/>
      <c r="G33" s="674"/>
      <c r="H33" s="795"/>
      <c r="I33" s="795"/>
      <c r="J33" s="795"/>
      <c r="K33" s="694"/>
    </row>
    <row r="34" spans="2:11" ht="15.5" x14ac:dyDescent="0.35">
      <c r="B34" s="793"/>
      <c r="C34" s="794"/>
      <c r="D34" s="794"/>
      <c r="E34" s="674"/>
      <c r="F34" s="674"/>
      <c r="G34" s="674"/>
      <c r="H34" s="795"/>
      <c r="I34" s="795"/>
      <c r="J34" s="795"/>
      <c r="K34" s="694"/>
    </row>
    <row r="35" spans="2:11" ht="15.5" x14ac:dyDescent="0.35">
      <c r="B35" s="789" t="s">
        <v>4</v>
      </c>
      <c r="C35" s="800"/>
      <c r="D35" s="800"/>
      <c r="E35" s="798"/>
      <c r="F35" s="798"/>
      <c r="G35" s="798"/>
      <c r="H35" s="801"/>
      <c r="I35" s="801"/>
      <c r="J35" s="791" t="s">
        <v>114</v>
      </c>
      <c r="K35" s="792">
        <f>+K30+K32</f>
        <v>1118856.9538336052</v>
      </c>
    </row>
    <row r="36" spans="2:11" ht="15.5" x14ac:dyDescent="0.35">
      <c r="B36" s="711"/>
      <c r="C36" s="794"/>
      <c r="D36" s="794"/>
      <c r="E36" s="674"/>
      <c r="F36" s="674"/>
      <c r="G36" s="763"/>
      <c r="H36" s="795"/>
      <c r="I36" s="795"/>
      <c r="J36" s="795"/>
      <c r="K36" s="765"/>
    </row>
    <row r="37" spans="2:11" ht="15.5" x14ac:dyDescent="0.35">
      <c r="B37" s="793"/>
      <c r="C37" s="794"/>
      <c r="D37" s="794"/>
      <c r="E37" s="674"/>
      <c r="F37" s="674"/>
      <c r="G37" s="674"/>
      <c r="H37" s="795"/>
      <c r="I37" s="795"/>
      <c r="J37" s="795"/>
      <c r="K37" s="765"/>
    </row>
    <row r="38" spans="2:11" ht="15.5" x14ac:dyDescent="0.35">
      <c r="B38" s="711" t="s">
        <v>5</v>
      </c>
      <c r="C38" s="794"/>
      <c r="D38" s="794"/>
      <c r="E38" s="674"/>
      <c r="F38" s="674"/>
      <c r="G38" s="674"/>
      <c r="H38" s="795"/>
      <c r="I38" s="795"/>
      <c r="J38" s="795"/>
      <c r="K38" s="765"/>
    </row>
    <row r="39" spans="2:11" ht="15.5" x14ac:dyDescent="0.35">
      <c r="B39" s="802" t="s">
        <v>144</v>
      </c>
      <c r="C39" s="794" t="s">
        <v>112</v>
      </c>
      <c r="D39" s="794"/>
      <c r="E39" s="778">
        <v>0.1</v>
      </c>
      <c r="F39" s="690" t="s">
        <v>103</v>
      </c>
      <c r="G39" s="803"/>
      <c r="H39" s="795"/>
      <c r="I39" s="692">
        <f>E39*K35</f>
        <v>111885.69538336052</v>
      </c>
      <c r="J39" s="691"/>
      <c r="K39" s="804"/>
    </row>
    <row r="40" spans="2:11" ht="15.5" x14ac:dyDescent="0.35">
      <c r="B40" s="802" t="s">
        <v>113</v>
      </c>
      <c r="C40" s="794" t="s">
        <v>110</v>
      </c>
      <c r="D40" s="794"/>
      <c r="E40" s="783"/>
      <c r="F40" s="690" t="s">
        <v>109</v>
      </c>
      <c r="G40" s="783"/>
      <c r="H40" s="795"/>
      <c r="I40" s="692">
        <f>G40*E40</f>
        <v>0</v>
      </c>
      <c r="J40" s="691"/>
      <c r="K40" s="804" t="s">
        <v>102</v>
      </c>
    </row>
    <row r="41" spans="2:11" ht="15.5" x14ac:dyDescent="0.35">
      <c r="B41" s="789" t="s">
        <v>7</v>
      </c>
      <c r="C41" s="800"/>
      <c r="D41" s="800"/>
      <c r="E41" s="798"/>
      <c r="F41" s="797"/>
      <c r="G41" s="798"/>
      <c r="H41" s="801"/>
      <c r="I41" s="799"/>
      <c r="J41" s="791" t="s">
        <v>108</v>
      </c>
      <c r="K41" s="792">
        <f>SUM(I39:I40)</f>
        <v>111885.69538336052</v>
      </c>
    </row>
    <row r="42" spans="2:11" ht="15.5" x14ac:dyDescent="0.35">
      <c r="B42" s="711"/>
      <c r="C42" s="794"/>
      <c r="D42" s="794"/>
      <c r="E42" s="674"/>
      <c r="F42" s="690"/>
      <c r="G42" s="674"/>
      <c r="H42" s="795"/>
      <c r="I42" s="692"/>
      <c r="J42" s="805"/>
      <c r="K42" s="765"/>
    </row>
    <row r="43" spans="2:11" ht="15.5" x14ac:dyDescent="0.35">
      <c r="B43" s="793"/>
      <c r="C43" s="794"/>
      <c r="D43" s="794"/>
      <c r="E43" s="674"/>
      <c r="F43" s="690"/>
      <c r="G43" s="674"/>
      <c r="H43" s="795"/>
      <c r="I43" s="692"/>
      <c r="J43" s="795"/>
      <c r="K43" s="765"/>
    </row>
    <row r="44" spans="2:11" ht="15.5" x14ac:dyDescent="0.35">
      <c r="B44" s="711" t="s">
        <v>8</v>
      </c>
      <c r="C44" s="794"/>
      <c r="D44" s="794"/>
      <c r="E44" s="674"/>
      <c r="F44" s="690"/>
      <c r="G44" s="674"/>
      <c r="H44" s="795"/>
      <c r="I44" s="692"/>
      <c r="J44" s="795"/>
      <c r="K44" s="765"/>
    </row>
    <row r="45" spans="2:11" ht="15.5" x14ac:dyDescent="0.35">
      <c r="B45" s="802" t="s">
        <v>111</v>
      </c>
      <c r="C45" s="794" t="s">
        <v>106</v>
      </c>
      <c r="D45" s="794"/>
      <c r="E45" s="674"/>
      <c r="F45" s="690" t="s">
        <v>103</v>
      </c>
      <c r="G45" s="674"/>
      <c r="H45" s="795"/>
      <c r="I45" s="692"/>
      <c r="J45" s="691"/>
      <c r="K45" s="804" t="s">
        <v>102</v>
      </c>
    </row>
    <row r="46" spans="2:11" ht="15.5" x14ac:dyDescent="0.35">
      <c r="B46" s="802" t="s">
        <v>107</v>
      </c>
      <c r="C46" s="794" t="s">
        <v>104</v>
      </c>
      <c r="D46" s="794"/>
      <c r="E46" s="806">
        <v>0.1</v>
      </c>
      <c r="F46" s="690" t="s">
        <v>103</v>
      </c>
      <c r="G46" s="803"/>
      <c r="H46" s="795"/>
      <c r="I46" s="692">
        <f>E46*K35</f>
        <v>111885.69538336052</v>
      </c>
      <c r="J46" s="691"/>
      <c r="K46" s="804"/>
    </row>
    <row r="47" spans="2:11" ht="15.5" x14ac:dyDescent="0.35">
      <c r="B47" s="789" t="s">
        <v>9</v>
      </c>
      <c r="C47" s="807"/>
      <c r="D47" s="807"/>
      <c r="E47" s="808"/>
      <c r="F47" s="808"/>
      <c r="G47" s="808"/>
      <c r="H47" s="809"/>
      <c r="I47" s="809"/>
      <c r="J47" s="791" t="s">
        <v>101</v>
      </c>
      <c r="K47" s="810">
        <f>SUM(I45:I46)</f>
        <v>111885.69538336052</v>
      </c>
    </row>
    <row r="48" spans="2:11" ht="15.5" x14ac:dyDescent="0.35">
      <c r="B48" s="711"/>
      <c r="C48" s="794"/>
      <c r="D48" s="794"/>
      <c r="E48" s="674"/>
      <c r="F48" s="674"/>
      <c r="G48" s="674"/>
      <c r="H48" s="795"/>
      <c r="I48" s="795"/>
      <c r="J48" s="805"/>
      <c r="K48" s="765"/>
    </row>
    <row r="49" spans="2:11" ht="15.5" x14ac:dyDescent="0.35">
      <c r="B49" s="793"/>
      <c r="C49" s="794"/>
      <c r="D49" s="794"/>
      <c r="E49" s="674"/>
      <c r="F49" s="674"/>
      <c r="G49" s="674"/>
      <c r="H49" s="795"/>
      <c r="I49" s="795"/>
      <c r="J49" s="795"/>
      <c r="K49" s="765"/>
    </row>
    <row r="50" spans="2:11" ht="34.5" customHeight="1" thickBot="1" x14ac:dyDescent="0.5">
      <c r="B50" s="811" t="s">
        <v>10</v>
      </c>
      <c r="C50" s="812"/>
      <c r="D50" s="812"/>
      <c r="E50" s="812"/>
      <c r="F50" s="812"/>
      <c r="G50" s="813"/>
      <c r="H50" s="814"/>
      <c r="I50" s="815"/>
      <c r="J50" s="816" t="s">
        <v>100</v>
      </c>
      <c r="K50" s="817">
        <f>K35+K41+K47</f>
        <v>1342628.3446003264</v>
      </c>
    </row>
    <row r="51" spans="2:11" ht="15" thickTop="1" x14ac:dyDescent="0.35"/>
  </sheetData>
  <mergeCells count="4">
    <mergeCell ref="J3:K3"/>
    <mergeCell ref="B8:K8"/>
    <mergeCell ref="B1:K1"/>
    <mergeCell ref="B2:K2"/>
  </mergeCells>
  <printOptions horizontalCentered="1"/>
  <pageMargins left="0.33" right="0.41" top="0.56000000000000005" bottom="0.52" header="0.3" footer="0.3"/>
  <pageSetup scale="50" fitToHeight="0" orientation="portrait" r:id="rId1"/>
  <headerFooter>
    <oddFooter>&amp;LUAF
PM&amp;Y2.5&amp;Y Serious NAA BACT Analysis&amp;CPage 60&amp;RJanuary 2017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B1:L38"/>
  <sheetViews>
    <sheetView view="pageLayout" zoomScaleNormal="100" workbookViewId="0">
      <selection activeCell="G12" sqref="G12"/>
    </sheetView>
  </sheetViews>
  <sheetFormatPr defaultColWidth="8.81640625" defaultRowHeight="14.5" x14ac:dyDescent="0.35"/>
  <cols>
    <col min="1" max="1" width="3" style="667" customWidth="1"/>
    <col min="2" max="3" width="6" style="667" customWidth="1"/>
    <col min="4" max="4" width="52.54296875" style="667" customWidth="1"/>
    <col min="5" max="5" width="11.54296875" style="667" bestFit="1" customWidth="1"/>
    <col min="6" max="6" width="13.1796875" style="667" customWidth="1"/>
    <col min="7" max="7" width="15.453125" style="667" customWidth="1"/>
    <col min="8" max="8" width="24" style="667" customWidth="1"/>
    <col min="9" max="9" width="18.7265625" style="667" customWidth="1"/>
    <col min="10" max="10" width="8.81640625" style="667"/>
    <col min="11" max="11" width="13.26953125" style="667" customWidth="1"/>
    <col min="12" max="16384" width="8.81640625" style="667"/>
  </cols>
  <sheetData>
    <row r="1" spans="2:11" x14ac:dyDescent="0.35">
      <c r="B1" s="1351" t="s">
        <v>300</v>
      </c>
      <c r="C1" s="1351"/>
      <c r="D1" s="1351"/>
      <c r="E1" s="1351"/>
      <c r="F1" s="1351"/>
      <c r="G1" s="1351"/>
      <c r="H1" s="1351"/>
      <c r="I1" s="1351"/>
      <c r="J1" s="1351"/>
      <c r="K1" s="1351"/>
    </row>
    <row r="2" spans="2:11" x14ac:dyDescent="0.35">
      <c r="B2" s="1351" t="s">
        <v>298</v>
      </c>
      <c r="C2" s="1351"/>
      <c r="D2" s="1351"/>
      <c r="E2" s="1351"/>
      <c r="F2" s="1351"/>
      <c r="G2" s="1351"/>
      <c r="H2" s="1351"/>
      <c r="I2" s="1351"/>
      <c r="J2" s="1351"/>
      <c r="K2" s="1351"/>
    </row>
    <row r="3" spans="2:11" ht="15" thickBot="1" x14ac:dyDescent="0.4">
      <c r="I3" s="1405" t="s">
        <v>230</v>
      </c>
      <c r="J3" s="1406"/>
      <c r="K3" s="1407"/>
    </row>
    <row r="4" spans="2:11" ht="21" thickTop="1" x14ac:dyDescent="0.55000000000000004">
      <c r="B4" s="668" t="s">
        <v>285</v>
      </c>
      <c r="C4" s="669"/>
      <c r="D4" s="670"/>
      <c r="E4" s="670"/>
      <c r="F4" s="670"/>
      <c r="G4" s="670"/>
      <c r="H4" s="670"/>
      <c r="I4" s="670"/>
      <c r="J4" s="671" t="s">
        <v>181</v>
      </c>
      <c r="K4" s="672">
        <v>42447</v>
      </c>
    </row>
    <row r="5" spans="2:11" ht="16.5" x14ac:dyDescent="0.45">
      <c r="B5" s="673" t="s">
        <v>228</v>
      </c>
      <c r="C5" s="674"/>
      <c r="D5" s="821" t="s">
        <v>309</v>
      </c>
      <c r="E5" s="674"/>
      <c r="F5" s="674"/>
      <c r="G5" s="674"/>
      <c r="H5" s="674"/>
      <c r="I5" s="674"/>
      <c r="J5" s="675" t="s">
        <v>179</v>
      </c>
      <c r="K5" s="676" t="s">
        <v>178</v>
      </c>
    </row>
    <row r="6" spans="2:11" x14ac:dyDescent="0.35">
      <c r="B6" s="673"/>
      <c r="C6" s="674"/>
      <c r="D6" s="674"/>
      <c r="E6" s="674"/>
      <c r="F6" s="674"/>
      <c r="G6" s="674"/>
      <c r="H6" s="674"/>
      <c r="I6" s="674"/>
      <c r="J6" s="675" t="s">
        <v>177</v>
      </c>
      <c r="K6" s="676" t="s">
        <v>176</v>
      </c>
    </row>
    <row r="7" spans="2:11" ht="15" thickBot="1" x14ac:dyDescent="0.4">
      <c r="B7" s="677"/>
      <c r="C7" s="678"/>
      <c r="D7" s="678"/>
      <c r="E7" s="678"/>
      <c r="F7" s="678"/>
      <c r="G7" s="678"/>
      <c r="H7" s="678"/>
      <c r="I7" s="678"/>
      <c r="J7" s="679" t="s">
        <v>175</v>
      </c>
      <c r="K7" s="680" t="s">
        <v>256</v>
      </c>
    </row>
    <row r="8" spans="2:11" ht="16" thickBot="1" x14ac:dyDescent="0.4">
      <c r="B8" s="1408" t="s">
        <v>11</v>
      </c>
      <c r="C8" s="1409"/>
      <c r="D8" s="1409"/>
      <c r="E8" s="1409"/>
      <c r="F8" s="1409"/>
      <c r="G8" s="1409"/>
      <c r="H8" s="1409"/>
      <c r="I8" s="1409"/>
      <c r="J8" s="1409"/>
      <c r="K8" s="1410"/>
    </row>
    <row r="9" spans="2:11" ht="15.5" x14ac:dyDescent="0.35">
      <c r="B9" s="681" t="s">
        <v>12</v>
      </c>
      <c r="C9" s="682"/>
      <c r="D9" s="683"/>
      <c r="E9" s="684" t="s">
        <v>173</v>
      </c>
      <c r="F9" s="684" t="s">
        <v>172</v>
      </c>
      <c r="G9" s="685" t="s">
        <v>171</v>
      </c>
      <c r="H9" s="686" t="s">
        <v>170</v>
      </c>
      <c r="I9" s="686" t="s">
        <v>169</v>
      </c>
      <c r="J9" s="683"/>
      <c r="K9" s="687" t="s">
        <v>226</v>
      </c>
    </row>
    <row r="10" spans="2:11" x14ac:dyDescent="0.35">
      <c r="B10" s="688" t="s">
        <v>168</v>
      </c>
      <c r="C10" s="674" t="s">
        <v>225</v>
      </c>
      <c r="D10" s="674"/>
      <c r="E10" s="689"/>
      <c r="F10" s="690" t="s">
        <v>155</v>
      </c>
      <c r="G10" s="689"/>
      <c r="H10" s="691"/>
      <c r="I10" s="692">
        <f>E10*G10</f>
        <v>0</v>
      </c>
      <c r="J10" s="693"/>
      <c r="K10" s="694">
        <f>I10</f>
        <v>0</v>
      </c>
    </row>
    <row r="11" spans="2:11" x14ac:dyDescent="0.35">
      <c r="B11" s="688" t="s">
        <v>144</v>
      </c>
      <c r="C11" s="674" t="s">
        <v>224</v>
      </c>
      <c r="D11" s="674"/>
      <c r="E11" s="689"/>
      <c r="F11" s="690" t="s">
        <v>155</v>
      </c>
      <c r="G11" s="689"/>
      <c r="H11" s="691"/>
      <c r="I11" s="692">
        <f>E11*G11</f>
        <v>0</v>
      </c>
      <c r="J11" s="693"/>
      <c r="K11" s="694">
        <f t="shared" ref="K11:K12" si="0">I11</f>
        <v>0</v>
      </c>
    </row>
    <row r="12" spans="2:11" x14ac:dyDescent="0.35">
      <c r="B12" s="688" t="s">
        <v>113</v>
      </c>
      <c r="C12" s="674" t="s">
        <v>223</v>
      </c>
      <c r="D12" s="674"/>
      <c r="E12" s="689"/>
      <c r="F12" s="695" t="s">
        <v>155</v>
      </c>
      <c r="G12" s="689"/>
      <c r="H12" s="691"/>
      <c r="I12" s="692">
        <f>E12*G12</f>
        <v>0</v>
      </c>
      <c r="J12" s="693"/>
      <c r="K12" s="694">
        <f t="shared" si="0"/>
        <v>0</v>
      </c>
    </row>
    <row r="13" spans="2:11" x14ac:dyDescent="0.35">
      <c r="B13" s="688" t="s">
        <v>111</v>
      </c>
      <c r="C13" s="674" t="s">
        <v>222</v>
      </c>
      <c r="D13" s="674"/>
      <c r="E13" s="689"/>
      <c r="F13" s="695" t="s">
        <v>127</v>
      </c>
      <c r="G13" s="689"/>
      <c r="H13" s="692">
        <f>E13*G13</f>
        <v>0</v>
      </c>
      <c r="I13" s="692">
        <f>E13*G13</f>
        <v>0</v>
      </c>
      <c r="J13" s="693"/>
      <c r="K13" s="694">
        <f>H13</f>
        <v>0</v>
      </c>
    </row>
    <row r="14" spans="2:11" x14ac:dyDescent="0.35">
      <c r="B14" s="696"/>
      <c r="C14" s="697"/>
      <c r="D14" s="674"/>
      <c r="E14" s="698"/>
      <c r="F14" s="675"/>
      <c r="G14" s="693"/>
      <c r="H14" s="692"/>
      <c r="I14" s="699"/>
      <c r="J14" s="692"/>
      <c r="K14" s="694"/>
    </row>
    <row r="15" spans="2:11" x14ac:dyDescent="0.35">
      <c r="B15" s="700" t="s">
        <v>13</v>
      </c>
      <c r="C15" s="701"/>
      <c r="D15" s="702"/>
      <c r="E15" s="703"/>
      <c r="F15" s="704" t="s">
        <v>295</v>
      </c>
      <c r="G15" s="705"/>
      <c r="H15" s="706"/>
      <c r="I15" s="707"/>
      <c r="J15" s="708" t="s">
        <v>209</v>
      </c>
      <c r="K15" s="709">
        <f>SUM(K10:K13)</f>
        <v>0</v>
      </c>
    </row>
    <row r="16" spans="2:11" x14ac:dyDescent="0.35">
      <c r="B16" s="673"/>
      <c r="C16" s="697"/>
      <c r="D16" s="674"/>
      <c r="E16" s="690"/>
      <c r="F16" s="674"/>
      <c r="G16" s="692"/>
      <c r="H16" s="692"/>
      <c r="I16" s="699"/>
      <c r="J16" s="710"/>
      <c r="K16" s="694"/>
    </row>
    <row r="17" spans="2:12" ht="15.5" x14ac:dyDescent="0.35">
      <c r="B17" s="711" t="s">
        <v>14</v>
      </c>
      <c r="C17" s="712"/>
      <c r="D17" s="674"/>
      <c r="E17" s="690"/>
      <c r="F17" s="690"/>
      <c r="G17" s="692"/>
      <c r="H17" s="692"/>
      <c r="I17" s="692"/>
      <c r="J17" s="692"/>
      <c r="K17" s="694"/>
    </row>
    <row r="18" spans="2:12" x14ac:dyDescent="0.35">
      <c r="B18" s="688" t="s">
        <v>107</v>
      </c>
      <c r="C18" s="674" t="s">
        <v>207</v>
      </c>
      <c r="D18" s="674"/>
      <c r="E18" s="689"/>
      <c r="F18" s="690" t="s">
        <v>155</v>
      </c>
      <c r="G18" s="689"/>
      <c r="H18" s="691" t="s">
        <v>102</v>
      </c>
      <c r="I18" s="692">
        <f>E18*G18</f>
        <v>0</v>
      </c>
      <c r="J18" s="693"/>
      <c r="K18" s="694">
        <f>I18</f>
        <v>0</v>
      </c>
    </row>
    <row r="19" spans="2:12" x14ac:dyDescent="0.35">
      <c r="B19" s="1137" t="s">
        <v>105</v>
      </c>
      <c r="C19" s="1136" t="s">
        <v>334</v>
      </c>
      <c r="D19" s="513"/>
      <c r="E19" s="559">
        <v>0.03</v>
      </c>
      <c r="F19" s="690" t="s">
        <v>249</v>
      </c>
      <c r="G19" s="713"/>
      <c r="H19" s="691"/>
      <c r="I19" s="692">
        <f>E19*'3-12 - EU ID 4 - LNB-FGR TCI'!K50</f>
        <v>40278.85033800979</v>
      </c>
      <c r="J19" s="693"/>
      <c r="K19" s="694">
        <f>I19</f>
        <v>40278.85033800979</v>
      </c>
    </row>
    <row r="20" spans="2:12" x14ac:dyDescent="0.35">
      <c r="B20" s="688"/>
      <c r="C20" s="714" t="s">
        <v>199</v>
      </c>
      <c r="D20" s="674"/>
      <c r="E20" s="698">
        <f>($E$35/100*POWER((1+($E$35/100)),$E$36))/((POWER(((1+$E$35/100)),$E$36))-1)</f>
        <v>0.14237750272736471</v>
      </c>
      <c r="F20" s="695"/>
      <c r="G20" s="692"/>
      <c r="H20" s="692"/>
      <c r="I20" s="692"/>
      <c r="J20" s="693"/>
      <c r="K20" s="715"/>
      <c r="L20" s="716"/>
    </row>
    <row r="21" spans="2:12" x14ac:dyDescent="0.35">
      <c r="B21" s="688" t="s">
        <v>208</v>
      </c>
      <c r="C21" s="674" t="s">
        <v>197</v>
      </c>
      <c r="D21" s="674"/>
      <c r="E21" s="674"/>
      <c r="F21" s="674"/>
      <c r="G21" s="692"/>
      <c r="H21" s="717"/>
      <c r="I21" s="692"/>
      <c r="J21" s="718" t="s">
        <v>196</v>
      </c>
      <c r="K21" s="694">
        <f>E20*'3-12 - EU ID 4 - LNB-FGR TCI'!K50</f>
        <v>191160.07079517015</v>
      </c>
      <c r="L21" s="716"/>
    </row>
    <row r="22" spans="2:12" x14ac:dyDescent="0.35">
      <c r="B22" s="673"/>
      <c r="C22" s="674"/>
      <c r="D22" s="674"/>
      <c r="E22" s="690"/>
      <c r="F22" s="674"/>
      <c r="G22" s="692"/>
      <c r="H22" s="692"/>
      <c r="I22" s="692"/>
      <c r="J22" s="692"/>
      <c r="K22" s="694"/>
    </row>
    <row r="23" spans="2:12" x14ac:dyDescent="0.35">
      <c r="B23" s="700" t="s">
        <v>15</v>
      </c>
      <c r="C23" s="701"/>
      <c r="D23" s="719"/>
      <c r="E23" s="720"/>
      <c r="F23" s="719"/>
      <c r="G23" s="707"/>
      <c r="H23" s="721"/>
      <c r="I23" s="707"/>
      <c r="J23" s="708" t="s">
        <v>195</v>
      </c>
      <c r="K23" s="709">
        <f>SUM(K18:K21)</f>
        <v>231438.92113317995</v>
      </c>
    </row>
    <row r="24" spans="2:12" x14ac:dyDescent="0.35">
      <c r="B24" s="722"/>
      <c r="C24" s="723"/>
      <c r="D24" s="674"/>
      <c r="E24" s="690"/>
      <c r="F24" s="674"/>
      <c r="G24" s="692"/>
      <c r="H24" s="692"/>
      <c r="I24" s="692"/>
      <c r="J24" s="692"/>
      <c r="K24" s="694"/>
    </row>
    <row r="25" spans="2:12" ht="15.5" x14ac:dyDescent="0.35">
      <c r="B25" s="724" t="s">
        <v>194</v>
      </c>
      <c r="C25" s="725"/>
      <c r="D25" s="726"/>
      <c r="E25" s="727"/>
      <c r="F25" s="726"/>
      <c r="G25" s="706"/>
      <c r="H25" s="728"/>
      <c r="I25" s="706"/>
      <c r="J25" s="708" t="s">
        <v>193</v>
      </c>
      <c r="K25" s="709">
        <f>K15+K23</f>
        <v>231438.92113317995</v>
      </c>
    </row>
    <row r="26" spans="2:12" ht="15" thickBot="1" x14ac:dyDescent="0.4">
      <c r="B26" s="673"/>
      <c r="C26" s="674"/>
      <c r="D26" s="674"/>
      <c r="E26" s="690"/>
      <c r="F26" s="674"/>
      <c r="G26" s="674"/>
      <c r="H26" s="674"/>
      <c r="I26" s="674"/>
      <c r="J26" s="674"/>
      <c r="K26" s="729"/>
    </row>
    <row r="27" spans="2:12" ht="16" thickBot="1" x14ac:dyDescent="0.4">
      <c r="B27" s="1411" t="s">
        <v>16</v>
      </c>
      <c r="C27" s="1412"/>
      <c r="D27" s="1412"/>
      <c r="E27" s="1412"/>
      <c r="F27" s="1412"/>
      <c r="G27" s="1412"/>
      <c r="H27" s="1412"/>
      <c r="I27" s="1412"/>
      <c r="J27" s="1412"/>
      <c r="K27" s="1413"/>
    </row>
    <row r="28" spans="2:12" x14ac:dyDescent="0.35">
      <c r="B28" s="673"/>
      <c r="C28" s="674"/>
      <c r="D28" s="674"/>
      <c r="E28" s="674"/>
      <c r="F28" s="674"/>
      <c r="G28" s="674"/>
      <c r="H28" s="674"/>
      <c r="I28" s="674"/>
      <c r="J28" s="674"/>
      <c r="K28" s="729"/>
    </row>
    <row r="29" spans="2:12" ht="15.5" x14ac:dyDescent="0.35">
      <c r="B29" s="711" t="s">
        <v>286</v>
      </c>
      <c r="C29" s="712"/>
      <c r="D29" s="674"/>
      <c r="E29" s="674"/>
      <c r="F29" s="674"/>
      <c r="G29" s="674"/>
      <c r="H29" s="674"/>
      <c r="I29" s="674"/>
      <c r="J29" s="730" t="s">
        <v>3</v>
      </c>
      <c r="K29" s="731">
        <f>13.9-(180.9*0.16*0.1*8760/2000)</f>
        <v>1.2225279999999987</v>
      </c>
    </row>
    <row r="30" spans="2:12" x14ac:dyDescent="0.35">
      <c r="B30" s="673"/>
      <c r="C30" s="674"/>
      <c r="D30" s="674"/>
      <c r="E30" s="674"/>
      <c r="F30" s="674"/>
      <c r="G30" s="674"/>
      <c r="H30" s="674"/>
      <c r="I30" s="674"/>
      <c r="J30" s="674"/>
      <c r="K30" s="729"/>
    </row>
    <row r="31" spans="2:12" ht="16" thickBot="1" x14ac:dyDescent="0.4">
      <c r="B31" s="732" t="s">
        <v>191</v>
      </c>
      <c r="C31" s="733"/>
      <c r="D31" s="734"/>
      <c r="E31" s="734"/>
      <c r="F31" s="734"/>
      <c r="G31" s="734"/>
      <c r="H31" s="735"/>
      <c r="I31" s="734"/>
      <c r="J31" s="736" t="s">
        <v>190</v>
      </c>
      <c r="K31" s="737">
        <f>K25/K29</f>
        <v>189311.75493173179</v>
      </c>
    </row>
    <row r="32" spans="2:12" ht="15" thickTop="1" x14ac:dyDescent="0.35"/>
    <row r="33" spans="4:7" ht="15" thickBot="1" x14ac:dyDescent="0.4"/>
    <row r="34" spans="4:7" x14ac:dyDescent="0.35">
      <c r="D34" s="738" t="s">
        <v>266</v>
      </c>
      <c r="E34" s="683"/>
      <c r="F34" s="739"/>
      <c r="G34" s="740"/>
    </row>
    <row r="35" spans="4:7" x14ac:dyDescent="0.35">
      <c r="D35" s="741" t="s">
        <v>287</v>
      </c>
      <c r="E35" s="742">
        <v>7</v>
      </c>
      <c r="F35" s="743" t="s">
        <v>152</v>
      </c>
    </row>
    <row r="36" spans="4:7" x14ac:dyDescent="0.35">
      <c r="D36" s="741" t="s">
        <v>187</v>
      </c>
      <c r="E36" s="689">
        <v>10</v>
      </c>
      <c r="F36" s="743" t="s">
        <v>185</v>
      </c>
    </row>
    <row r="37" spans="4:7" x14ac:dyDescent="0.35">
      <c r="D37" s="741" t="s">
        <v>186</v>
      </c>
      <c r="E37" s="689" t="s">
        <v>97</v>
      </c>
      <c r="F37" s="743" t="s">
        <v>185</v>
      </c>
    </row>
    <row r="38" spans="4:7" ht="15" thickBot="1" x14ac:dyDescent="0.4">
      <c r="D38" s="744" t="s">
        <v>288</v>
      </c>
      <c r="E38" s="745" t="s">
        <v>97</v>
      </c>
      <c r="F38" s="746" t="s">
        <v>152</v>
      </c>
    </row>
  </sheetData>
  <mergeCells count="5">
    <mergeCell ref="I3:K3"/>
    <mergeCell ref="B8:K8"/>
    <mergeCell ref="B27:K27"/>
    <mergeCell ref="B1:K1"/>
    <mergeCell ref="B2:K2"/>
  </mergeCells>
  <printOptions horizontalCentered="1"/>
  <pageMargins left="0.33" right="0.41" top="0.56000000000000005" bottom="0.52" header="0.3" footer="0.3"/>
  <pageSetup scale="56" fitToHeight="0" orientation="portrait" r:id="rId1"/>
  <headerFooter>
    <oddFooter>&amp;LUAF
PM&amp;Y2.5&amp;Y Serious NAA BACT Analysis&amp;CPage 61&amp;RJanuary 2017</odd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B1:K66"/>
  <sheetViews>
    <sheetView view="pageLayout" zoomScale="80" zoomScaleNormal="90" zoomScalePageLayoutView="80" workbookViewId="0">
      <selection activeCell="D18" sqref="D18"/>
    </sheetView>
  </sheetViews>
  <sheetFormatPr defaultColWidth="9.1796875" defaultRowHeight="14.5" x14ac:dyDescent="0.35"/>
  <cols>
    <col min="1" max="1" width="2.26953125" style="1142" customWidth="1"/>
    <col min="2" max="2" width="5.26953125" style="1142" customWidth="1"/>
    <col min="3" max="3" width="6" style="1142" customWidth="1"/>
    <col min="4" max="4" width="63.7265625" style="1142" customWidth="1"/>
    <col min="5" max="5" width="9.1796875" style="1142"/>
    <col min="6" max="6" width="19.26953125" style="1142" customWidth="1"/>
    <col min="7" max="7" width="14.26953125" style="1142" customWidth="1"/>
    <col min="8" max="8" width="24.1796875" style="1142" customWidth="1"/>
    <col min="9" max="9" width="20.453125" style="1142" customWidth="1"/>
    <col min="10" max="10" width="14.7265625" style="1142" customWidth="1"/>
    <col min="11" max="11" width="17.26953125" style="1142" customWidth="1"/>
    <col min="12" max="12" width="9.1796875" style="1142"/>
    <col min="13" max="13" width="29.81640625" style="1142" customWidth="1"/>
    <col min="14" max="16384" width="9.1796875" style="1142"/>
  </cols>
  <sheetData>
    <row r="1" spans="2:11" s="40" customFormat="1" ht="14" x14ac:dyDescent="0.3">
      <c r="B1" s="1351" t="s">
        <v>283</v>
      </c>
      <c r="C1" s="1351"/>
      <c r="D1" s="1351"/>
      <c r="E1" s="1351"/>
      <c r="F1" s="1351"/>
      <c r="G1" s="1351"/>
      <c r="H1" s="1351"/>
      <c r="I1" s="1351"/>
      <c r="J1" s="1351"/>
      <c r="K1" s="1351"/>
    </row>
    <row r="2" spans="2:11" s="40" customFormat="1" ht="14" x14ac:dyDescent="0.3">
      <c r="B2" s="1351" t="s">
        <v>352</v>
      </c>
      <c r="C2" s="1351"/>
      <c r="D2" s="1351"/>
      <c r="E2" s="1351"/>
      <c r="F2" s="1351"/>
      <c r="G2" s="1351"/>
      <c r="H2" s="1351"/>
      <c r="I2" s="1351"/>
      <c r="J2" s="1351"/>
      <c r="K2" s="1351"/>
    </row>
    <row r="3" spans="2:11" ht="15" thickBot="1" x14ac:dyDescent="0.4">
      <c r="I3" s="1418" t="s">
        <v>230</v>
      </c>
      <c r="J3" s="1419"/>
      <c r="K3" s="1420"/>
    </row>
    <row r="4" spans="2:11" ht="19" thickTop="1" x14ac:dyDescent="0.45">
      <c r="B4" s="1143" t="s">
        <v>182</v>
      </c>
      <c r="C4" s="1144"/>
      <c r="D4" s="1144"/>
      <c r="E4" s="1145"/>
      <c r="F4" s="1145"/>
      <c r="G4" s="1145"/>
      <c r="H4" s="1145"/>
      <c r="I4" s="1145"/>
      <c r="J4" s="1146" t="s">
        <v>181</v>
      </c>
      <c r="K4" s="1147">
        <v>42656</v>
      </c>
    </row>
    <row r="5" spans="2:11" x14ac:dyDescent="0.35">
      <c r="B5" s="1148" t="s">
        <v>180</v>
      </c>
      <c r="C5" s="1149"/>
      <c r="D5" s="1150" t="s">
        <v>343</v>
      </c>
      <c r="E5" s="1149"/>
      <c r="F5" s="1149"/>
      <c r="G5" s="1149"/>
      <c r="H5" s="1149"/>
      <c r="I5" s="1149"/>
      <c r="J5" s="1151" t="s">
        <v>179</v>
      </c>
      <c r="K5" s="1152" t="s">
        <v>176</v>
      </c>
    </row>
    <row r="6" spans="2:11" x14ac:dyDescent="0.35">
      <c r="B6" s="1148"/>
      <c r="C6" s="1149"/>
      <c r="D6" s="1149"/>
      <c r="E6" s="1149"/>
      <c r="F6" s="1149"/>
      <c r="G6" s="1149"/>
      <c r="H6" s="1149"/>
      <c r="I6" s="1149"/>
      <c r="J6" s="1151" t="s">
        <v>177</v>
      </c>
      <c r="K6" s="1152" t="s">
        <v>178</v>
      </c>
    </row>
    <row r="7" spans="2:11" ht="15" thickBot="1" x14ac:dyDescent="0.4">
      <c r="B7" s="1153"/>
      <c r="C7" s="1154"/>
      <c r="D7" s="1154"/>
      <c r="E7" s="1154"/>
      <c r="F7" s="1154"/>
      <c r="G7" s="1154"/>
      <c r="H7" s="1154"/>
      <c r="I7" s="1154"/>
      <c r="J7" s="1155" t="s">
        <v>175</v>
      </c>
      <c r="K7" s="1156" t="s">
        <v>256</v>
      </c>
    </row>
    <row r="8" spans="2:11" ht="36.75" customHeight="1" thickBot="1" x14ac:dyDescent="0.4">
      <c r="B8" s="1414" t="s">
        <v>1</v>
      </c>
      <c r="C8" s="1415"/>
      <c r="D8" s="1415"/>
      <c r="E8" s="1415"/>
      <c r="F8" s="1415"/>
      <c r="G8" s="1415"/>
      <c r="H8" s="1415"/>
      <c r="I8" s="1415"/>
      <c r="J8" s="1415"/>
      <c r="K8" s="1416"/>
    </row>
    <row r="9" spans="2:11" ht="19" thickTop="1" x14ac:dyDescent="0.45">
      <c r="B9" s="1157" t="s">
        <v>2</v>
      </c>
      <c r="C9" s="1158"/>
      <c r="D9" s="1158"/>
      <c r="E9" s="1159" t="s">
        <v>173</v>
      </c>
      <c r="F9" s="1159" t="s">
        <v>172</v>
      </c>
      <c r="G9" s="1160" t="s">
        <v>171</v>
      </c>
      <c r="H9" s="1161" t="s">
        <v>170</v>
      </c>
      <c r="I9" s="1161" t="s">
        <v>169</v>
      </c>
      <c r="J9" s="1158"/>
      <c r="K9" s="1162"/>
    </row>
    <row r="10" spans="2:11" ht="15.5" x14ac:dyDescent="0.35">
      <c r="B10" s="1163"/>
      <c r="C10" s="1149"/>
      <c r="D10" s="1149"/>
      <c r="E10" s="1164"/>
      <c r="F10" s="1164"/>
      <c r="G10" s="1165"/>
      <c r="H10" s="1166"/>
      <c r="I10" s="1166"/>
      <c r="J10" s="1149"/>
      <c r="K10" s="1167"/>
    </row>
    <row r="11" spans="2:11" ht="15.5" x14ac:dyDescent="0.35">
      <c r="B11" s="1168" t="s">
        <v>168</v>
      </c>
      <c r="C11" s="1169" t="s">
        <v>167</v>
      </c>
      <c r="D11" s="1169"/>
      <c r="E11" s="1149"/>
      <c r="F11" s="1149"/>
      <c r="G11" s="1149"/>
      <c r="H11" s="1149"/>
      <c r="I11" s="1149"/>
      <c r="J11" s="1170"/>
      <c r="K11" s="1171"/>
    </row>
    <row r="12" spans="2:11" ht="15.5" x14ac:dyDescent="0.35">
      <c r="B12" s="1163"/>
      <c r="C12" s="1169" t="s">
        <v>142</v>
      </c>
      <c r="D12" s="1169" t="s">
        <v>166</v>
      </c>
      <c r="E12" s="1149"/>
      <c r="F12" s="1149"/>
      <c r="G12" s="1149"/>
      <c r="H12" s="1149"/>
      <c r="I12" s="1149"/>
      <c r="J12" s="1172"/>
      <c r="K12" s="1173"/>
    </row>
    <row r="13" spans="2:11" x14ac:dyDescent="0.35">
      <c r="B13" s="1174"/>
      <c r="C13" s="1175"/>
      <c r="D13" s="1176" t="s">
        <v>165</v>
      </c>
      <c r="E13" s="1177">
        <v>1</v>
      </c>
      <c r="F13" s="1178" t="s">
        <v>109</v>
      </c>
      <c r="G13" s="1179">
        <f>(13266)/500*107120</f>
        <v>2842107.84</v>
      </c>
      <c r="H13" s="1180">
        <f>E13*G13</f>
        <v>2842107.84</v>
      </c>
      <c r="I13" s="1180"/>
      <c r="J13" s="1181"/>
      <c r="K13" s="1182"/>
    </row>
    <row r="14" spans="2:11" x14ac:dyDescent="0.35">
      <c r="B14" s="1183"/>
      <c r="C14" s="1184"/>
      <c r="D14" s="1185"/>
      <c r="E14" s="1186"/>
      <c r="F14" s="1186"/>
      <c r="G14" s="1187"/>
      <c r="H14" s="1188"/>
      <c r="I14" s="1188"/>
      <c r="J14" s="1189" t="s">
        <v>147</v>
      </c>
      <c r="K14" s="1173">
        <f>SUM(H13:H13)</f>
        <v>2842107.84</v>
      </c>
    </row>
    <row r="15" spans="2:11" ht="15.5" x14ac:dyDescent="0.35">
      <c r="B15" s="1183"/>
      <c r="C15" s="1190" t="s">
        <v>139</v>
      </c>
      <c r="D15" s="1190" t="s">
        <v>164</v>
      </c>
      <c r="E15" s="1186"/>
      <c r="F15" s="1186"/>
      <c r="G15" s="1187"/>
      <c r="H15" s="1188"/>
      <c r="I15" s="1188"/>
      <c r="J15" s="1189"/>
      <c r="K15" s="1191"/>
    </row>
    <row r="16" spans="2:11" x14ac:dyDescent="0.35">
      <c r="B16" s="1183"/>
      <c r="C16" s="1184"/>
      <c r="D16" s="1185" t="s">
        <v>271</v>
      </c>
      <c r="E16" s="1177"/>
      <c r="F16" s="1186" t="s">
        <v>109</v>
      </c>
      <c r="G16" s="1177"/>
      <c r="H16" s="1180">
        <f>E16*G16</f>
        <v>0</v>
      </c>
      <c r="I16" s="1188"/>
      <c r="J16" s="1181"/>
      <c r="K16" s="1191"/>
    </row>
    <row r="17" spans="2:11" x14ac:dyDescent="0.35">
      <c r="B17" s="1183"/>
      <c r="C17" s="1184"/>
      <c r="D17" s="1185" t="s">
        <v>272</v>
      </c>
      <c r="E17" s="1177"/>
      <c r="F17" s="1186" t="s">
        <v>109</v>
      </c>
      <c r="G17" s="1177"/>
      <c r="H17" s="1180">
        <f>E17*G17</f>
        <v>0</v>
      </c>
      <c r="I17" s="1188"/>
      <c r="J17" s="1181"/>
      <c r="K17" s="1191"/>
    </row>
    <row r="18" spans="2:11" x14ac:dyDescent="0.35">
      <c r="B18" s="1192"/>
      <c r="C18" s="1193"/>
      <c r="D18" s="1194"/>
      <c r="E18" s="1195"/>
      <c r="F18" s="1195"/>
      <c r="G18" s="1194"/>
      <c r="H18" s="1196"/>
      <c r="I18" s="1196"/>
      <c r="J18" s="1189" t="s">
        <v>147</v>
      </c>
      <c r="K18" s="1173">
        <f>SUM(H16:H17)</f>
        <v>0</v>
      </c>
    </row>
    <row r="19" spans="2:11" ht="15.5" x14ac:dyDescent="0.35">
      <c r="B19" s="1174"/>
      <c r="C19" s="1169" t="s">
        <v>137</v>
      </c>
      <c r="D19" s="1169" t="s">
        <v>162</v>
      </c>
      <c r="E19" s="1178"/>
      <c r="F19" s="1178"/>
      <c r="G19" s="1149"/>
      <c r="H19" s="1180"/>
      <c r="I19" s="1180"/>
      <c r="J19" s="1181"/>
      <c r="K19" s="1191"/>
    </row>
    <row r="20" spans="2:11" x14ac:dyDescent="0.35">
      <c r="B20" s="1174"/>
      <c r="C20" s="1175"/>
      <c r="D20" s="1176" t="s">
        <v>161</v>
      </c>
      <c r="E20" s="1197"/>
      <c r="F20" s="1178"/>
      <c r="G20" s="1198"/>
      <c r="H20" s="1180"/>
      <c r="I20" s="1188"/>
      <c r="J20" s="1181"/>
      <c r="K20" s="1191"/>
    </row>
    <row r="21" spans="2:11" x14ac:dyDescent="0.35">
      <c r="B21" s="1199"/>
      <c r="C21" s="1185"/>
      <c r="D21" s="1185"/>
      <c r="E21" s="1200"/>
      <c r="F21" s="1200"/>
      <c r="G21" s="1185"/>
      <c r="H21" s="1201"/>
      <c r="I21" s="1201"/>
      <c r="J21" s="1189" t="s">
        <v>147</v>
      </c>
      <c r="K21" s="1173">
        <f>G20</f>
        <v>0</v>
      </c>
    </row>
    <row r="22" spans="2:11" ht="15.5" x14ac:dyDescent="0.35">
      <c r="B22" s="1174"/>
      <c r="C22" s="1169" t="s">
        <v>134</v>
      </c>
      <c r="D22" s="1169" t="s">
        <v>159</v>
      </c>
      <c r="E22" s="1178"/>
      <c r="F22" s="1178"/>
      <c r="G22" s="1149"/>
      <c r="H22" s="1180"/>
      <c r="I22" s="1180"/>
      <c r="J22" s="1181"/>
      <c r="K22" s="1191"/>
    </row>
    <row r="23" spans="2:11" x14ac:dyDescent="0.35">
      <c r="B23" s="1202"/>
      <c r="C23" s="1176"/>
      <c r="D23" s="1185" t="s">
        <v>233</v>
      </c>
      <c r="E23" s="1203"/>
      <c r="F23" s="1204" t="s">
        <v>155</v>
      </c>
      <c r="G23" s="1205"/>
      <c r="H23" s="1206"/>
      <c r="I23" s="1188"/>
      <c r="J23" s="1207"/>
      <c r="K23" s="1208"/>
    </row>
    <row r="24" spans="2:11" x14ac:dyDescent="0.35">
      <c r="B24" s="1202"/>
      <c r="C24" s="1176"/>
      <c r="D24" s="1185" t="s">
        <v>156</v>
      </c>
      <c r="E24" s="1203"/>
      <c r="F24" s="1204" t="s">
        <v>155</v>
      </c>
      <c r="G24" s="1205"/>
      <c r="H24" s="1206"/>
      <c r="I24" s="1188"/>
      <c r="J24" s="1207"/>
      <c r="K24" s="1208"/>
    </row>
    <row r="25" spans="2:11" x14ac:dyDescent="0.35">
      <c r="B25" s="1199"/>
      <c r="C25" s="1185"/>
      <c r="D25" s="1185"/>
      <c r="E25" s="1200"/>
      <c r="F25" s="1200"/>
      <c r="G25" s="1185"/>
      <c r="H25" s="1201"/>
      <c r="I25" s="1201"/>
      <c r="J25" s="1189" t="s">
        <v>147</v>
      </c>
      <c r="K25" s="1173">
        <f>SUM(I23:I24)</f>
        <v>0</v>
      </c>
    </row>
    <row r="26" spans="2:11" ht="15.5" x14ac:dyDescent="0.35">
      <c r="B26" s="1174"/>
      <c r="C26" s="1169" t="s">
        <v>132</v>
      </c>
      <c r="D26" s="1169" t="s">
        <v>154</v>
      </c>
      <c r="E26" s="1149"/>
      <c r="F26" s="1149"/>
      <c r="G26" s="1149"/>
      <c r="H26" s="1180"/>
      <c r="I26" s="1180"/>
      <c r="J26" s="1181"/>
      <c r="K26" s="1191"/>
    </row>
    <row r="27" spans="2:11" x14ac:dyDescent="0.35">
      <c r="B27" s="1202"/>
      <c r="C27" s="1176"/>
      <c r="D27" s="1176" t="s">
        <v>153</v>
      </c>
      <c r="E27" s="1209"/>
      <c r="F27" s="1178" t="s">
        <v>152</v>
      </c>
      <c r="G27" s="1200"/>
      <c r="H27" s="1206">
        <f>E27*G13</f>
        <v>0</v>
      </c>
      <c r="I27" s="1206"/>
      <c r="J27" s="1207"/>
      <c r="K27" s="1208"/>
    </row>
    <row r="28" spans="2:11" x14ac:dyDescent="0.35">
      <c r="B28" s="1199"/>
      <c r="C28" s="1185"/>
      <c r="D28" s="1185"/>
      <c r="E28" s="1200"/>
      <c r="F28" s="1200"/>
      <c r="G28" s="1185"/>
      <c r="H28" s="1201"/>
      <c r="I28" s="1201"/>
      <c r="J28" s="1189" t="s">
        <v>147</v>
      </c>
      <c r="K28" s="1173">
        <f>SUM(H27)</f>
        <v>0</v>
      </c>
    </row>
    <row r="29" spans="2:11" ht="15.5" x14ac:dyDescent="0.35">
      <c r="B29" s="1174"/>
      <c r="C29" s="1169" t="s">
        <v>129</v>
      </c>
      <c r="D29" s="1169" t="s">
        <v>151</v>
      </c>
      <c r="E29" s="1178"/>
      <c r="F29" s="1178"/>
      <c r="G29" s="1149"/>
      <c r="H29" s="1180"/>
      <c r="I29" s="1180"/>
      <c r="J29" s="1181"/>
      <c r="K29" s="1191"/>
    </row>
    <row r="30" spans="2:11" x14ac:dyDescent="0.35">
      <c r="B30" s="1174"/>
      <c r="C30" s="1175"/>
      <c r="D30" s="1176" t="s">
        <v>150</v>
      </c>
      <c r="E30" s="1203"/>
      <c r="F30" s="1204" t="s">
        <v>148</v>
      </c>
      <c r="G30" s="1203"/>
      <c r="H30" s="1206"/>
      <c r="I30" s="1188"/>
      <c r="J30" s="1181"/>
      <c r="K30" s="1191"/>
    </row>
    <row r="31" spans="2:11" x14ac:dyDescent="0.35">
      <c r="B31" s="1174"/>
      <c r="C31" s="1175"/>
      <c r="D31" s="1176" t="s">
        <v>149</v>
      </c>
      <c r="E31" s="1203"/>
      <c r="F31" s="1204" t="s">
        <v>148</v>
      </c>
      <c r="G31" s="1203"/>
      <c r="H31" s="1206"/>
      <c r="I31" s="1188"/>
      <c r="J31" s="1181"/>
      <c r="K31" s="1191"/>
    </row>
    <row r="32" spans="2:11" x14ac:dyDescent="0.35">
      <c r="B32" s="1174"/>
      <c r="C32" s="1175"/>
      <c r="D32" s="1175"/>
      <c r="E32" s="1204"/>
      <c r="F32" s="1204"/>
      <c r="G32" s="1176"/>
      <c r="H32" s="1206"/>
      <c r="I32" s="1206"/>
      <c r="J32" s="1189" t="s">
        <v>147</v>
      </c>
      <c r="K32" s="1173">
        <f>SUM(I30:I31)</f>
        <v>0</v>
      </c>
    </row>
    <row r="33" spans="2:11" ht="15.5" x14ac:dyDescent="0.35">
      <c r="B33" s="1210" t="s">
        <v>146</v>
      </c>
      <c r="C33" s="1211"/>
      <c r="D33" s="1211"/>
      <c r="E33" s="1212" t="s">
        <v>344</v>
      </c>
      <c r="F33" s="1213"/>
      <c r="G33" s="1213"/>
      <c r="H33" s="1213"/>
      <c r="I33" s="1214"/>
      <c r="J33" s="1215" t="s">
        <v>145</v>
      </c>
      <c r="K33" s="1216">
        <f>K14+K18+K21+K25+K28+K32</f>
        <v>2842107.84</v>
      </c>
    </row>
    <row r="34" spans="2:11" ht="15.5" x14ac:dyDescent="0.35">
      <c r="B34" s="1217"/>
      <c r="C34" s="1218"/>
      <c r="D34" s="1218"/>
      <c r="E34" s="1178"/>
      <c r="F34" s="1178"/>
      <c r="G34" s="1149"/>
      <c r="H34" s="1180"/>
      <c r="I34" s="1180"/>
      <c r="J34" s="1219"/>
      <c r="K34" s="1191"/>
    </row>
    <row r="35" spans="2:11" ht="15.5" x14ac:dyDescent="0.35">
      <c r="B35" s="1168" t="s">
        <v>144</v>
      </c>
      <c r="C35" s="1169" t="s">
        <v>143</v>
      </c>
      <c r="D35" s="1169"/>
      <c r="E35" s="1178"/>
      <c r="F35" s="1178"/>
      <c r="G35" s="1149"/>
      <c r="H35" s="1180"/>
      <c r="I35" s="1180"/>
      <c r="J35" s="1219"/>
      <c r="K35" s="1191"/>
    </row>
    <row r="36" spans="2:11" ht="15.5" x14ac:dyDescent="0.35">
      <c r="B36" s="1163"/>
      <c r="C36" s="1169" t="s">
        <v>142</v>
      </c>
      <c r="D36" s="1169" t="s">
        <v>141</v>
      </c>
      <c r="E36" s="1203"/>
      <c r="F36" s="1178" t="s">
        <v>140</v>
      </c>
      <c r="G36" s="1203"/>
      <c r="H36" s="1180">
        <f>E36*G36</f>
        <v>0</v>
      </c>
      <c r="I36" s="1180"/>
      <c r="J36" s="1181"/>
      <c r="K36" s="1191">
        <f>H36+I36</f>
        <v>0</v>
      </c>
    </row>
    <row r="37" spans="2:11" ht="15.5" x14ac:dyDescent="0.35">
      <c r="B37" s="1163"/>
      <c r="C37" s="1169" t="s">
        <v>139</v>
      </c>
      <c r="D37" s="1169" t="s">
        <v>138</v>
      </c>
      <c r="E37" s="1203"/>
      <c r="F37" s="1178" t="s">
        <v>135</v>
      </c>
      <c r="G37" s="1203"/>
      <c r="H37" s="1180">
        <f t="shared" ref="H37:H42" si="0">E37*G37</f>
        <v>0</v>
      </c>
      <c r="I37" s="1180"/>
      <c r="J37" s="1181"/>
      <c r="K37" s="1191">
        <f t="shared" ref="K37:K46" si="1">H37+I37</f>
        <v>0</v>
      </c>
    </row>
    <row r="38" spans="2:11" ht="15.5" x14ac:dyDescent="0.35">
      <c r="B38" s="1163"/>
      <c r="C38" s="1169" t="s">
        <v>137</v>
      </c>
      <c r="D38" s="1169" t="s">
        <v>136</v>
      </c>
      <c r="E38" s="1203"/>
      <c r="F38" s="1178" t="s">
        <v>135</v>
      </c>
      <c r="G38" s="1203"/>
      <c r="H38" s="1180">
        <f t="shared" si="0"/>
        <v>0</v>
      </c>
      <c r="I38" s="1180"/>
      <c r="J38" s="1181"/>
      <c r="K38" s="1191">
        <f t="shared" si="1"/>
        <v>0</v>
      </c>
    </row>
    <row r="39" spans="2:11" ht="15.5" x14ac:dyDescent="0.35">
      <c r="B39" s="1163"/>
      <c r="C39" s="1169" t="s">
        <v>134</v>
      </c>
      <c r="D39" s="1169" t="s">
        <v>133</v>
      </c>
      <c r="E39" s="1203"/>
      <c r="F39" s="1178" t="s">
        <v>127</v>
      </c>
      <c r="G39" s="1203"/>
      <c r="H39" s="1180">
        <f t="shared" si="0"/>
        <v>0</v>
      </c>
      <c r="I39" s="1180"/>
      <c r="J39" s="1181"/>
      <c r="K39" s="1191">
        <f t="shared" si="1"/>
        <v>0</v>
      </c>
    </row>
    <row r="40" spans="2:11" ht="15.5" x14ac:dyDescent="0.35">
      <c r="B40" s="1163"/>
      <c r="C40" s="1169" t="s">
        <v>132</v>
      </c>
      <c r="D40" s="1169" t="s">
        <v>131</v>
      </c>
      <c r="E40" s="1203"/>
      <c r="F40" s="1178" t="s">
        <v>130</v>
      </c>
      <c r="G40" s="1203"/>
      <c r="H40" s="1180">
        <f t="shared" si="0"/>
        <v>0</v>
      </c>
      <c r="I40" s="1180"/>
      <c r="J40" s="1181"/>
      <c r="K40" s="1191">
        <f t="shared" si="1"/>
        <v>0</v>
      </c>
    </row>
    <row r="41" spans="2:11" ht="15.5" x14ac:dyDescent="0.35">
      <c r="B41" s="1163"/>
      <c r="C41" s="1169" t="s">
        <v>129</v>
      </c>
      <c r="D41" s="1169" t="s">
        <v>128</v>
      </c>
      <c r="E41" s="1203"/>
      <c r="F41" s="1178" t="s">
        <v>127</v>
      </c>
      <c r="G41" s="1203"/>
      <c r="H41" s="1180">
        <f t="shared" si="0"/>
        <v>0</v>
      </c>
      <c r="I41" s="1180"/>
      <c r="J41" s="1181"/>
      <c r="K41" s="1191">
        <f t="shared" si="1"/>
        <v>0</v>
      </c>
    </row>
    <row r="42" spans="2:11" ht="15.5" x14ac:dyDescent="0.35">
      <c r="B42" s="1163"/>
      <c r="C42" s="1169" t="s">
        <v>126</v>
      </c>
      <c r="D42" s="1169" t="s">
        <v>125</v>
      </c>
      <c r="E42" s="1203"/>
      <c r="F42" s="1178" t="s">
        <v>124</v>
      </c>
      <c r="G42" s="1203"/>
      <c r="H42" s="1180">
        <f t="shared" si="0"/>
        <v>0</v>
      </c>
      <c r="I42" s="1180"/>
      <c r="J42" s="1181"/>
      <c r="K42" s="1191">
        <f t="shared" si="1"/>
        <v>0</v>
      </c>
    </row>
    <row r="43" spans="2:11" ht="15.5" x14ac:dyDescent="0.35">
      <c r="B43" s="1163"/>
      <c r="C43" s="1169" t="s">
        <v>123</v>
      </c>
      <c r="D43" s="1169" t="s">
        <v>122</v>
      </c>
      <c r="E43" s="1178"/>
      <c r="F43" s="1178"/>
      <c r="G43" s="1219"/>
      <c r="H43" s="1180"/>
      <c r="I43" s="1180"/>
      <c r="J43" s="1181"/>
      <c r="K43" s="1191"/>
    </row>
    <row r="44" spans="2:11" ht="15.5" x14ac:dyDescent="0.35">
      <c r="B44" s="1163"/>
      <c r="C44" s="1169"/>
      <c r="D44" s="1218" t="s">
        <v>121</v>
      </c>
      <c r="F44" s="1151" t="s">
        <v>120</v>
      </c>
      <c r="G44" s="1220"/>
      <c r="H44" s="1221"/>
      <c r="I44" s="1180"/>
      <c r="J44" s="1181"/>
      <c r="K44" s="1191">
        <f t="shared" si="1"/>
        <v>0</v>
      </c>
    </row>
    <row r="45" spans="2:11" ht="15.5" x14ac:dyDescent="0.35">
      <c r="B45" s="1163"/>
      <c r="C45" s="1169"/>
      <c r="D45" s="1218" t="s">
        <v>338</v>
      </c>
      <c r="F45" s="1151" t="s">
        <v>119</v>
      </c>
      <c r="G45" s="1220"/>
      <c r="H45" s="1221"/>
      <c r="I45" s="1180"/>
      <c r="J45" s="1181"/>
      <c r="K45" s="1191">
        <f t="shared" si="1"/>
        <v>0</v>
      </c>
    </row>
    <row r="46" spans="2:11" ht="15.5" x14ac:dyDescent="0.35">
      <c r="B46" s="1163"/>
      <c r="C46" s="1169"/>
      <c r="D46" s="1218" t="s">
        <v>118</v>
      </c>
      <c r="F46" s="1151" t="s">
        <v>117</v>
      </c>
      <c r="G46" s="1222"/>
      <c r="H46" s="1180"/>
      <c r="I46" s="1180">
        <f>G46*K14</f>
        <v>0</v>
      </c>
      <c r="J46" s="1181"/>
      <c r="K46" s="1191">
        <f t="shared" si="1"/>
        <v>0</v>
      </c>
    </row>
    <row r="47" spans="2:11" ht="15.5" x14ac:dyDescent="0.35">
      <c r="B47" s="1210" t="s">
        <v>345</v>
      </c>
      <c r="C47" s="1223"/>
      <c r="D47" s="1223"/>
      <c r="E47" s="1212" t="s">
        <v>344</v>
      </c>
      <c r="F47" s="1212"/>
      <c r="G47" s="1212"/>
      <c r="H47" s="1212"/>
      <c r="I47" s="1224"/>
      <c r="J47" s="1215" t="s">
        <v>115</v>
      </c>
      <c r="K47" s="1216">
        <f>2*K14</f>
        <v>5684215.6799999997</v>
      </c>
    </row>
    <row r="48" spans="2:11" ht="15.5" x14ac:dyDescent="0.35">
      <c r="B48" s="1217"/>
      <c r="C48" s="1218"/>
      <c r="D48" s="1218"/>
      <c r="E48" s="1149"/>
      <c r="F48" s="1149"/>
      <c r="G48" s="1149"/>
      <c r="H48" s="1219"/>
      <c r="I48" s="1219"/>
      <c r="J48" s="1219"/>
      <c r="K48" s="1191"/>
    </row>
    <row r="49" spans="2:11" ht="15.5" x14ac:dyDescent="0.35">
      <c r="B49" s="1217"/>
      <c r="C49" s="1218"/>
      <c r="D49" s="1218"/>
      <c r="E49" s="1149"/>
      <c r="F49" s="1149"/>
      <c r="G49" s="1149"/>
      <c r="H49" s="1219"/>
      <c r="I49" s="1219"/>
      <c r="J49" s="1219"/>
      <c r="K49" s="1191"/>
    </row>
    <row r="50" spans="2:11" ht="15.5" x14ac:dyDescent="0.35">
      <c r="B50" s="1210" t="s">
        <v>4</v>
      </c>
      <c r="C50" s="1225"/>
      <c r="D50" s="1225"/>
      <c r="E50" s="1417"/>
      <c r="F50" s="1417"/>
      <c r="G50" s="1417"/>
      <c r="H50" s="1417"/>
      <c r="I50" s="1226"/>
      <c r="J50" s="1215" t="s">
        <v>114</v>
      </c>
      <c r="K50" s="1216">
        <f>K33+K47</f>
        <v>8526323.5199999996</v>
      </c>
    </row>
    <row r="51" spans="2:11" ht="15.5" x14ac:dyDescent="0.35">
      <c r="B51" s="1163"/>
      <c r="C51" s="1218"/>
      <c r="D51" s="1218"/>
      <c r="E51" s="1149"/>
      <c r="F51" s="1149"/>
      <c r="G51" s="1175"/>
      <c r="H51" s="1219"/>
      <c r="I51" s="1219"/>
      <c r="J51" s="1219"/>
      <c r="K51" s="1182"/>
    </row>
    <row r="52" spans="2:11" ht="15.5" x14ac:dyDescent="0.35">
      <c r="B52" s="1217"/>
      <c r="C52" s="1218"/>
      <c r="D52" s="1218"/>
      <c r="E52" s="1149"/>
      <c r="F52" s="1149"/>
      <c r="G52" s="1149"/>
      <c r="H52" s="1219"/>
      <c r="I52" s="1219"/>
      <c r="J52" s="1219"/>
      <c r="K52" s="1182"/>
    </row>
    <row r="53" spans="2:11" ht="15.5" x14ac:dyDescent="0.35">
      <c r="B53" s="1163" t="s">
        <v>5</v>
      </c>
      <c r="C53" s="1218"/>
      <c r="D53" s="1218"/>
      <c r="E53" s="1149"/>
      <c r="F53" s="1149"/>
      <c r="G53" s="1149"/>
      <c r="H53" s="1219"/>
      <c r="I53" s="1219"/>
      <c r="J53" s="1219"/>
      <c r="K53" s="1182"/>
    </row>
    <row r="54" spans="2:11" ht="15.5" x14ac:dyDescent="0.35">
      <c r="B54" s="1227" t="s">
        <v>113</v>
      </c>
      <c r="C54" s="1218" t="s">
        <v>112</v>
      </c>
      <c r="D54" s="1218"/>
      <c r="E54" s="1220"/>
      <c r="F54" s="1178" t="s">
        <v>103</v>
      </c>
      <c r="G54" s="1228"/>
      <c r="H54" s="1229" t="s">
        <v>97</v>
      </c>
      <c r="I54" s="1180">
        <f>E54*K50</f>
        <v>0</v>
      </c>
      <c r="K54" s="1230"/>
    </row>
    <row r="55" spans="2:11" ht="15.5" x14ac:dyDescent="0.35">
      <c r="B55" s="1227" t="s">
        <v>111</v>
      </c>
      <c r="C55" s="1218" t="s">
        <v>110</v>
      </c>
      <c r="D55" s="1218"/>
      <c r="E55" s="1203"/>
      <c r="F55" s="1178" t="s">
        <v>109</v>
      </c>
      <c r="G55" s="1231"/>
      <c r="H55" s="1229" t="s">
        <v>97</v>
      </c>
      <c r="I55" s="1180">
        <f>E55*G55</f>
        <v>0</v>
      </c>
      <c r="J55" s="1181"/>
      <c r="K55" s="1230"/>
    </row>
    <row r="56" spans="2:11" ht="15.5" x14ac:dyDescent="0.35">
      <c r="B56" s="1210" t="s">
        <v>7</v>
      </c>
      <c r="C56" s="1225"/>
      <c r="D56" s="1225"/>
      <c r="E56" s="1232"/>
      <c r="F56" s="1233"/>
      <c r="G56" s="1232"/>
      <c r="H56" s="1226"/>
      <c r="I56" s="1224"/>
      <c r="J56" s="1215" t="s">
        <v>108</v>
      </c>
      <c r="K56" s="1216">
        <f>SUM(I54:I55)</f>
        <v>0</v>
      </c>
    </row>
    <row r="57" spans="2:11" ht="15.5" x14ac:dyDescent="0.35">
      <c r="B57" s="1163"/>
      <c r="C57" s="1218"/>
      <c r="D57" s="1218"/>
      <c r="E57" s="1149"/>
      <c r="F57" s="1178"/>
      <c r="G57" s="1149"/>
      <c r="H57" s="1219"/>
      <c r="I57" s="1180"/>
      <c r="J57" s="1234"/>
      <c r="K57" s="1182"/>
    </row>
    <row r="58" spans="2:11" ht="15.5" x14ac:dyDescent="0.35">
      <c r="B58" s="1217"/>
      <c r="C58" s="1218"/>
      <c r="D58" s="1218"/>
      <c r="E58" s="1149"/>
      <c r="F58" s="1178"/>
      <c r="G58" s="1149"/>
      <c r="H58" s="1219"/>
      <c r="I58" s="1180"/>
      <c r="J58" s="1219"/>
      <c r="K58" s="1182"/>
    </row>
    <row r="59" spans="2:11" ht="15.5" x14ac:dyDescent="0.35">
      <c r="B59" s="1163" t="s">
        <v>8</v>
      </c>
      <c r="C59" s="1218"/>
      <c r="D59" s="1218"/>
      <c r="E59" s="1149"/>
      <c r="F59" s="1178"/>
      <c r="G59" s="1149"/>
      <c r="H59" s="1219"/>
      <c r="I59" s="1180"/>
      <c r="J59" s="1219"/>
      <c r="K59" s="1182"/>
    </row>
    <row r="60" spans="2:11" ht="15.5" x14ac:dyDescent="0.35">
      <c r="B60" s="1227" t="s">
        <v>107</v>
      </c>
      <c r="C60" s="1218" t="s">
        <v>106</v>
      </c>
      <c r="D60" s="1218"/>
      <c r="E60" s="1149"/>
      <c r="F60" s="1178" t="s">
        <v>103</v>
      </c>
      <c r="G60" s="1149"/>
      <c r="H60" s="1219"/>
      <c r="I60" s="1180"/>
      <c r="J60" s="1181"/>
      <c r="K60" s="1235" t="s">
        <v>102</v>
      </c>
    </row>
    <row r="61" spans="2:11" ht="15.5" x14ac:dyDescent="0.35">
      <c r="B61" s="1227" t="s">
        <v>105</v>
      </c>
      <c r="C61" s="1218" t="s">
        <v>104</v>
      </c>
      <c r="D61" s="1218"/>
      <c r="E61" s="1236"/>
      <c r="F61" s="1178" t="s">
        <v>103</v>
      </c>
      <c r="G61" s="1228"/>
      <c r="H61" s="1229" t="s">
        <v>97</v>
      </c>
      <c r="I61" s="1180">
        <f>E61*K50</f>
        <v>0</v>
      </c>
      <c r="J61" s="1181"/>
      <c r="K61" s="1230"/>
    </row>
    <row r="62" spans="2:11" ht="15.5" x14ac:dyDescent="0.35">
      <c r="B62" s="1210" t="s">
        <v>9</v>
      </c>
      <c r="C62" s="1237"/>
      <c r="D62" s="1237"/>
      <c r="E62" s="1238"/>
      <c r="F62" s="1238"/>
      <c r="G62" s="1238"/>
      <c r="H62" s="1239"/>
      <c r="I62" s="1239"/>
      <c r="J62" s="1215" t="s">
        <v>101</v>
      </c>
      <c r="K62" s="1240">
        <f>SUM(I60:I61)</f>
        <v>0</v>
      </c>
    </row>
    <row r="63" spans="2:11" ht="15.5" x14ac:dyDescent="0.35">
      <c r="B63" s="1163"/>
      <c r="C63" s="1218"/>
      <c r="D63" s="1218"/>
      <c r="E63" s="1149"/>
      <c r="F63" s="1149"/>
      <c r="G63" s="1149"/>
      <c r="H63" s="1219"/>
      <c r="I63" s="1219"/>
      <c r="J63" s="1234"/>
      <c r="K63" s="1182"/>
    </row>
    <row r="64" spans="2:11" ht="15.5" x14ac:dyDescent="0.35">
      <c r="B64" s="1217"/>
      <c r="C64" s="1218"/>
      <c r="D64" s="1218"/>
      <c r="E64" s="1149"/>
      <c r="F64" s="1149"/>
      <c r="G64" s="1149"/>
      <c r="H64" s="1219"/>
      <c r="I64" s="1219"/>
      <c r="J64" s="1219"/>
      <c r="K64" s="1182"/>
    </row>
    <row r="65" spans="2:11" ht="34.5" customHeight="1" thickBot="1" x14ac:dyDescent="0.5">
      <c r="B65" s="1241" t="s">
        <v>10</v>
      </c>
      <c r="C65" s="1242"/>
      <c r="D65" s="1242"/>
      <c r="E65" s="1242"/>
      <c r="F65" s="1242"/>
      <c r="G65" s="1243"/>
      <c r="H65" s="1244"/>
      <c r="I65" s="1245"/>
      <c r="J65" s="1246" t="s">
        <v>100</v>
      </c>
      <c r="K65" s="1247">
        <f>K50+K56+K62</f>
        <v>8526323.5199999996</v>
      </c>
    </row>
    <row r="66" spans="2:11" ht="15" thickTop="1" x14ac:dyDescent="0.35"/>
  </sheetData>
  <mergeCells count="5">
    <mergeCell ref="B8:K8"/>
    <mergeCell ref="E50:H50"/>
    <mergeCell ref="B1:K1"/>
    <mergeCell ref="B2:K2"/>
    <mergeCell ref="I3:K3"/>
  </mergeCells>
  <printOptions horizontalCentered="1"/>
  <pageMargins left="0.38" right="0.4" top="0.48" bottom="0.75" header="0.3" footer="0.3"/>
  <pageSetup scale="50" orientation="portrait" r:id="rId1"/>
  <headerFooter>
    <oddFooter>&amp;LUAF
PM2.5 Serious NAA BACT Analysis&amp;CPage 62&amp;RJanuary 2017</oddFoot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B1:L51"/>
  <sheetViews>
    <sheetView view="pageLayout" topLeftCell="E37" zoomScale="90" zoomScaleNormal="100" zoomScalePageLayoutView="90" workbookViewId="0">
      <selection activeCell="K44" sqref="K44"/>
    </sheetView>
  </sheetViews>
  <sheetFormatPr defaultColWidth="9.1796875" defaultRowHeight="14.5" x14ac:dyDescent="0.35"/>
  <cols>
    <col min="1" max="1" width="3" style="1142" customWidth="1"/>
    <col min="2" max="3" width="6" style="1142" customWidth="1"/>
    <col min="4" max="4" width="52.26953125" style="1142" customWidth="1"/>
    <col min="5" max="5" width="11.54296875" style="1142" bestFit="1" customWidth="1"/>
    <col min="6" max="6" width="14.453125" style="1142" customWidth="1"/>
    <col min="7" max="7" width="15.453125" style="1142" customWidth="1"/>
    <col min="8" max="8" width="24" style="1142" customWidth="1"/>
    <col min="9" max="9" width="18.7265625" style="1142" customWidth="1"/>
    <col min="10" max="10" width="9.1796875" style="1142"/>
    <col min="11" max="11" width="13.26953125" style="1142" customWidth="1"/>
    <col min="12" max="16384" width="9.1796875" style="1142"/>
  </cols>
  <sheetData>
    <row r="1" spans="2:11" s="40" customFormat="1" ht="14" x14ac:dyDescent="0.3">
      <c r="B1" s="1351" t="s">
        <v>284</v>
      </c>
      <c r="C1" s="1351"/>
      <c r="D1" s="1351"/>
      <c r="E1" s="1351"/>
      <c r="F1" s="1351"/>
      <c r="G1" s="1351"/>
      <c r="H1" s="1351"/>
      <c r="I1" s="1351"/>
      <c r="J1" s="1351"/>
      <c r="K1" s="1351"/>
    </row>
    <row r="2" spans="2:11" s="40" customFormat="1" ht="14" x14ac:dyDescent="0.3">
      <c r="B2" s="1351" t="s">
        <v>352</v>
      </c>
      <c r="C2" s="1351"/>
      <c r="D2" s="1351"/>
      <c r="E2" s="1351"/>
      <c r="F2" s="1351"/>
      <c r="G2" s="1351"/>
      <c r="H2" s="1351"/>
      <c r="I2" s="1351"/>
      <c r="J2" s="1351"/>
      <c r="K2" s="1351"/>
    </row>
    <row r="3" spans="2:11" ht="15" thickBot="1" x14ac:dyDescent="0.4">
      <c r="I3" s="1418" t="s">
        <v>230</v>
      </c>
      <c r="J3" s="1419"/>
      <c r="K3" s="1420"/>
    </row>
    <row r="4" spans="2:11" ht="19" thickTop="1" x14ac:dyDescent="0.45">
      <c r="B4" s="1143" t="s">
        <v>229</v>
      </c>
      <c r="C4" s="1248"/>
      <c r="D4" s="1145"/>
      <c r="E4" s="1145"/>
      <c r="F4" s="1145"/>
      <c r="G4" s="1145"/>
      <c r="H4" s="1145"/>
      <c r="I4" s="1145"/>
      <c r="J4" s="1146" t="s">
        <v>181</v>
      </c>
      <c r="K4" s="1147">
        <v>42656</v>
      </c>
    </row>
    <row r="5" spans="2:11" x14ac:dyDescent="0.35">
      <c r="B5" s="1148" t="s">
        <v>228</v>
      </c>
      <c r="C5" s="1149"/>
      <c r="D5" s="1150" t="s">
        <v>343</v>
      </c>
      <c r="E5" s="1150"/>
      <c r="F5" s="1149"/>
      <c r="G5" s="1149"/>
      <c r="H5" s="1149"/>
      <c r="I5" s="1149"/>
      <c r="J5" s="1151" t="s">
        <v>179</v>
      </c>
      <c r="K5" s="1152" t="s">
        <v>176</v>
      </c>
    </row>
    <row r="6" spans="2:11" x14ac:dyDescent="0.35">
      <c r="B6" s="1148"/>
      <c r="C6" s="1149"/>
      <c r="D6" s="1149"/>
      <c r="E6" s="1149"/>
      <c r="F6" s="1149"/>
      <c r="G6" s="1149"/>
      <c r="H6" s="1149"/>
      <c r="I6" s="1149"/>
      <c r="J6" s="1151" t="s">
        <v>177</v>
      </c>
      <c r="K6" s="1152" t="s">
        <v>178</v>
      </c>
    </row>
    <row r="7" spans="2:11" ht="15" thickBot="1" x14ac:dyDescent="0.4">
      <c r="B7" s="1153"/>
      <c r="C7" s="1154"/>
      <c r="D7" s="1154"/>
      <c r="E7" s="1154"/>
      <c r="F7" s="1154"/>
      <c r="G7" s="1154"/>
      <c r="H7" s="1154"/>
      <c r="I7" s="1154"/>
      <c r="J7" s="1155" t="s">
        <v>175</v>
      </c>
      <c r="K7" s="1156" t="s">
        <v>256</v>
      </c>
    </row>
    <row r="8" spans="2:11" ht="16" thickBot="1" x14ac:dyDescent="0.4">
      <c r="B8" s="1424" t="s">
        <v>11</v>
      </c>
      <c r="C8" s="1425"/>
      <c r="D8" s="1425"/>
      <c r="E8" s="1425"/>
      <c r="F8" s="1425"/>
      <c r="G8" s="1425"/>
      <c r="H8" s="1425"/>
      <c r="I8" s="1425"/>
      <c r="J8" s="1425"/>
      <c r="K8" s="1426"/>
    </row>
    <row r="9" spans="2:11" ht="15.5" x14ac:dyDescent="0.35">
      <c r="B9" s="1249" t="s">
        <v>12</v>
      </c>
      <c r="C9" s="1250"/>
      <c r="D9" s="1251"/>
      <c r="E9" s="1252" t="s">
        <v>173</v>
      </c>
      <c r="F9" s="1252" t="s">
        <v>172</v>
      </c>
      <c r="G9" s="1253" t="s">
        <v>171</v>
      </c>
      <c r="H9" s="1254" t="s">
        <v>170</v>
      </c>
      <c r="I9" s="1254" t="s">
        <v>169</v>
      </c>
      <c r="J9" s="1251"/>
      <c r="K9" s="1255" t="s">
        <v>226</v>
      </c>
    </row>
    <row r="10" spans="2:11" x14ac:dyDescent="0.35">
      <c r="B10" s="1256" t="s">
        <v>168</v>
      </c>
      <c r="C10" s="1149" t="s">
        <v>225</v>
      </c>
      <c r="D10" s="1149"/>
      <c r="E10" s="1197">
        <f>E12*2</f>
        <v>730</v>
      </c>
      <c r="F10" s="1178" t="s">
        <v>155</v>
      </c>
      <c r="G10" s="1177">
        <v>105</v>
      </c>
      <c r="H10" s="1180"/>
      <c r="I10" s="1180">
        <f>E10*G10</f>
        <v>76650</v>
      </c>
      <c r="J10" s="1257"/>
      <c r="K10" s="1191">
        <f>I10</f>
        <v>76650</v>
      </c>
    </row>
    <row r="11" spans="2:11" x14ac:dyDescent="0.35">
      <c r="B11" s="1256" t="s">
        <v>144</v>
      </c>
      <c r="C11" s="1149" t="s">
        <v>224</v>
      </c>
      <c r="D11" s="1149"/>
      <c r="E11" s="1197">
        <f>E12/2</f>
        <v>182.5</v>
      </c>
      <c r="F11" s="1178" t="s">
        <v>155</v>
      </c>
      <c r="G11" s="1177">
        <v>125</v>
      </c>
      <c r="H11" s="1180"/>
      <c r="I11" s="1180">
        <f>E11*G11</f>
        <v>22812.5</v>
      </c>
      <c r="J11" s="1257"/>
      <c r="K11" s="1191">
        <f t="shared" ref="K11:K12" si="0">I11</f>
        <v>22812.5</v>
      </c>
    </row>
    <row r="12" spans="2:11" x14ac:dyDescent="0.35">
      <c r="B12" s="1256" t="s">
        <v>113</v>
      </c>
      <c r="C12" s="1149" t="s">
        <v>223</v>
      </c>
      <c r="D12" s="1149"/>
      <c r="E12" s="1197">
        <f>365*E51/100</f>
        <v>365</v>
      </c>
      <c r="F12" s="1186" t="s">
        <v>155</v>
      </c>
      <c r="G12" s="1177">
        <v>105</v>
      </c>
      <c r="H12" s="1180"/>
      <c r="I12" s="1180">
        <f>E12*G12</f>
        <v>38325</v>
      </c>
      <c r="J12" s="1257"/>
      <c r="K12" s="1191">
        <f t="shared" si="0"/>
        <v>38325</v>
      </c>
    </row>
    <row r="13" spans="2:11" x14ac:dyDescent="0.35">
      <c r="B13" s="1256" t="s">
        <v>111</v>
      </c>
      <c r="C13" s="1149" t="s">
        <v>222</v>
      </c>
      <c r="D13" s="1149"/>
      <c r="E13" s="1177"/>
      <c r="F13" s="1186" t="s">
        <v>127</v>
      </c>
      <c r="G13" s="1177"/>
      <c r="H13" s="1258" t="s">
        <v>200</v>
      </c>
      <c r="I13" s="1180"/>
      <c r="J13" s="1257"/>
      <c r="K13" s="1191"/>
    </row>
    <row r="14" spans="2:11" x14ac:dyDescent="0.35">
      <c r="B14" s="1256" t="s">
        <v>107</v>
      </c>
      <c r="C14" s="1149" t="s">
        <v>221</v>
      </c>
      <c r="D14" s="1149"/>
      <c r="E14" s="1178"/>
      <c r="F14" s="1178"/>
      <c r="G14" s="1180"/>
      <c r="H14" s="1180"/>
      <c r="I14" s="1180"/>
      <c r="J14" s="1257"/>
      <c r="K14" s="1191"/>
    </row>
    <row r="15" spans="2:11" x14ac:dyDescent="0.35">
      <c r="B15" s="1148"/>
      <c r="C15" s="1259" t="s">
        <v>142</v>
      </c>
      <c r="D15" s="1259" t="s">
        <v>346</v>
      </c>
      <c r="E15" s="1260">
        <f>6.84*8760/2000</f>
        <v>29.959199999999999</v>
      </c>
      <c r="F15" s="1178" t="s">
        <v>135</v>
      </c>
      <c r="G15" s="1260">
        <f>0.75/(8.33*0.9)*2000</f>
        <v>200.08003201280513</v>
      </c>
      <c r="H15" s="1180">
        <f>E15*G15</f>
        <v>5994.2376950780317</v>
      </c>
      <c r="I15" s="1180"/>
      <c r="J15" s="1257"/>
      <c r="K15" s="1191">
        <f>H15</f>
        <v>5994.2376950780317</v>
      </c>
    </row>
    <row r="16" spans="2:11" x14ac:dyDescent="0.35">
      <c r="B16" s="1148"/>
      <c r="C16" s="1259" t="s">
        <v>139</v>
      </c>
      <c r="D16" s="1259" t="s">
        <v>219</v>
      </c>
      <c r="E16" s="1197">
        <f>7.98*8760</f>
        <v>69904.800000000003</v>
      </c>
      <c r="F16" s="1178" t="s">
        <v>235</v>
      </c>
      <c r="G16" s="1177">
        <v>0.18</v>
      </c>
      <c r="H16" s="1180">
        <f>E16*G16</f>
        <v>12582.864</v>
      </c>
      <c r="I16" s="1180"/>
      <c r="J16" s="1257"/>
      <c r="K16" s="1191">
        <f>H16</f>
        <v>12582.864</v>
      </c>
    </row>
    <row r="17" spans="2:11" x14ac:dyDescent="0.35">
      <c r="B17" s="1148"/>
      <c r="C17" s="1259"/>
      <c r="D17" s="1149"/>
      <c r="E17" s="1261"/>
      <c r="F17" s="1186"/>
      <c r="G17" s="1186"/>
      <c r="H17" s="1258"/>
      <c r="I17" s="1180"/>
      <c r="J17" s="1257"/>
      <c r="K17" s="1191"/>
    </row>
    <row r="18" spans="2:11" x14ac:dyDescent="0.35">
      <c r="B18" s="1256" t="s">
        <v>105</v>
      </c>
      <c r="C18" s="1427" t="s">
        <v>273</v>
      </c>
      <c r="D18" s="1427"/>
      <c r="E18" s="1197">
        <v>0</v>
      </c>
      <c r="F18" s="1186" t="s">
        <v>109</v>
      </c>
      <c r="G18" s="1262">
        <v>10000</v>
      </c>
      <c r="H18" s="1180">
        <f>E18*G18</f>
        <v>0</v>
      </c>
      <c r="I18" s="1180"/>
      <c r="J18" s="1257"/>
      <c r="K18" s="1191">
        <f>H18</f>
        <v>0</v>
      </c>
    </row>
    <row r="19" spans="2:11" x14ac:dyDescent="0.35">
      <c r="B19" s="1148"/>
      <c r="C19" s="1259"/>
      <c r="D19" s="1149"/>
      <c r="E19" s="1261"/>
      <c r="F19" s="1186"/>
      <c r="G19" s="1186"/>
      <c r="H19" s="1258"/>
      <c r="I19" s="1180"/>
      <c r="J19" s="1257"/>
      <c r="K19" s="1191"/>
    </row>
    <row r="20" spans="2:11" x14ac:dyDescent="0.35">
      <c r="B20" s="1256" t="s">
        <v>208</v>
      </c>
      <c r="C20" s="1259" t="s">
        <v>245</v>
      </c>
      <c r="D20" s="1149"/>
      <c r="E20" s="1178"/>
      <c r="F20" s="1178"/>
      <c r="G20" s="1180"/>
      <c r="H20" s="1180"/>
      <c r="I20" s="1180"/>
      <c r="J20" s="1257"/>
      <c r="K20" s="1191"/>
    </row>
    <row r="21" spans="2:11" x14ac:dyDescent="0.35">
      <c r="B21" s="1148"/>
      <c r="C21" s="1263" t="s">
        <v>142</v>
      </c>
      <c r="D21" s="1259" t="s">
        <v>216</v>
      </c>
      <c r="E21" s="1220">
        <v>0.3</v>
      </c>
      <c r="F21" s="1178" t="s">
        <v>215</v>
      </c>
      <c r="G21" s="1180">
        <f>'[1]Total Capital Investment'!K31</f>
        <v>2842107.84</v>
      </c>
      <c r="H21" s="1219">
        <f>G21*E21</f>
        <v>852632.35199999996</v>
      </c>
      <c r="I21" s="1180"/>
      <c r="J21" s="1257"/>
      <c r="K21" s="1191">
        <f>H21*E26</f>
        <v>411899.68695652165</v>
      </c>
    </row>
    <row r="22" spans="2:11" x14ac:dyDescent="0.35">
      <c r="B22" s="1148"/>
      <c r="C22" s="1263" t="s">
        <v>139</v>
      </c>
      <c r="D22" s="1259" t="s">
        <v>213</v>
      </c>
      <c r="E22" s="1177">
        <v>180</v>
      </c>
      <c r="F22" s="1178" t="s">
        <v>155</v>
      </c>
      <c r="G22" s="1177">
        <v>105</v>
      </c>
      <c r="H22" s="1258"/>
      <c r="I22" s="1180">
        <f>E22*G22</f>
        <v>18900</v>
      </c>
      <c r="J22" s="1257"/>
      <c r="K22" s="1191">
        <f>I22*E26</f>
        <v>9130.4347826086941</v>
      </c>
    </row>
    <row r="23" spans="2:11" x14ac:dyDescent="0.35">
      <c r="B23" s="1148"/>
      <c r="C23" s="1263" t="s">
        <v>137</v>
      </c>
      <c r="D23" s="1259" t="s">
        <v>236</v>
      </c>
      <c r="E23" s="1220">
        <v>0.13</v>
      </c>
      <c r="F23" s="1178" t="s">
        <v>248</v>
      </c>
      <c r="G23" s="1180"/>
      <c r="H23" s="1258"/>
      <c r="I23" s="1264">
        <f>E23*H21</f>
        <v>110842.20576</v>
      </c>
      <c r="J23" s="1257"/>
      <c r="K23" s="1191">
        <f>I23*E26</f>
        <v>53546.959304347816</v>
      </c>
    </row>
    <row r="24" spans="2:11" x14ac:dyDescent="0.35">
      <c r="B24" s="1148"/>
      <c r="C24" s="1263" t="s">
        <v>134</v>
      </c>
      <c r="D24" s="1259" t="s">
        <v>211</v>
      </c>
      <c r="E24" s="1220">
        <v>0.13</v>
      </c>
      <c r="F24" s="1178" t="s">
        <v>248</v>
      </c>
      <c r="G24" s="1180"/>
      <c r="H24" s="1258"/>
      <c r="I24" s="1180">
        <f>E24*H21</f>
        <v>110842.20576</v>
      </c>
      <c r="J24" s="1257"/>
      <c r="K24" s="1191">
        <f>I24*E26</f>
        <v>53546.959304347816</v>
      </c>
    </row>
    <row r="25" spans="2:11" x14ac:dyDescent="0.35">
      <c r="B25" s="1148"/>
      <c r="C25" s="1263"/>
      <c r="D25" s="1259"/>
      <c r="E25" s="1265"/>
      <c r="F25" s="1178"/>
      <c r="G25" s="1180"/>
      <c r="H25" s="1180"/>
      <c r="I25" s="1180"/>
      <c r="J25" s="1257"/>
      <c r="K25" s="1191"/>
    </row>
    <row r="26" spans="2:11" x14ac:dyDescent="0.35">
      <c r="B26" s="1266" t="s">
        <v>210</v>
      </c>
      <c r="C26" s="1267"/>
      <c r="D26" s="1149"/>
      <c r="E26" s="1268">
        <f>($E$48/100)/(POWER(1+($E$48/100),($E$50)/($E$51/100))-1)</f>
        <v>0.48309178743961345</v>
      </c>
      <c r="F26" s="1151"/>
      <c r="G26" s="1257"/>
      <c r="H26" s="1180"/>
      <c r="I26" s="1269"/>
      <c r="J26" s="1180"/>
      <c r="K26" s="1191"/>
    </row>
    <row r="27" spans="2:11" x14ac:dyDescent="0.35">
      <c r="B27" s="1266"/>
      <c r="C27" s="1267"/>
      <c r="D27" s="1149"/>
      <c r="E27" s="1268"/>
      <c r="F27" s="1151"/>
      <c r="G27" s="1257"/>
      <c r="H27" s="1180"/>
      <c r="I27" s="1269"/>
      <c r="J27" s="1180"/>
      <c r="K27" s="1191"/>
    </row>
    <row r="28" spans="2:11" x14ac:dyDescent="0.35">
      <c r="B28" s="1270" t="s">
        <v>13</v>
      </c>
      <c r="C28" s="1271"/>
      <c r="D28" s="1272"/>
      <c r="E28" s="1273"/>
      <c r="F28" s="1274"/>
      <c r="G28" s="1275"/>
      <c r="H28" s="1214"/>
      <c r="I28" s="1276"/>
      <c r="J28" s="1277" t="s">
        <v>209</v>
      </c>
      <c r="K28" s="1278">
        <f>SUM(K10:K24)</f>
        <v>684488.64204290404</v>
      </c>
    </row>
    <row r="29" spans="2:11" x14ac:dyDescent="0.35">
      <c r="B29" s="1148"/>
      <c r="C29" s="1267"/>
      <c r="D29" s="1149"/>
      <c r="E29" s="1178"/>
      <c r="F29" s="1149"/>
      <c r="G29" s="1180"/>
      <c r="H29" s="1180"/>
      <c r="I29" s="1269"/>
      <c r="J29" s="1279"/>
      <c r="K29" s="1191"/>
    </row>
    <row r="30" spans="2:11" ht="15.5" x14ac:dyDescent="0.35">
      <c r="B30" s="1280" t="s">
        <v>14</v>
      </c>
      <c r="C30" s="1169"/>
      <c r="D30" s="1181"/>
      <c r="E30" s="1178"/>
      <c r="F30" s="1178"/>
      <c r="G30" s="1180"/>
      <c r="H30" s="1180"/>
      <c r="I30" s="1180"/>
      <c r="J30" s="1180"/>
      <c r="K30" s="1191"/>
    </row>
    <row r="31" spans="2:11" x14ac:dyDescent="0.35">
      <c r="B31" s="1256" t="s">
        <v>206</v>
      </c>
      <c r="C31" s="1149" t="s">
        <v>207</v>
      </c>
      <c r="D31" s="1149"/>
      <c r="E31" s="1177"/>
      <c r="F31" s="1178" t="s">
        <v>152</v>
      </c>
      <c r="G31" s="1186"/>
      <c r="H31" s="1258" t="s">
        <v>200</v>
      </c>
      <c r="I31" s="1180">
        <f>E31*G31</f>
        <v>0</v>
      </c>
      <c r="J31" s="1257"/>
      <c r="K31" s="1191">
        <f>I31</f>
        <v>0</v>
      </c>
    </row>
    <row r="32" spans="2:11" x14ac:dyDescent="0.35">
      <c r="B32" s="1256" t="s">
        <v>204</v>
      </c>
      <c r="C32" s="1149" t="s">
        <v>347</v>
      </c>
      <c r="D32" s="1149"/>
      <c r="E32" s="1281">
        <v>0.03</v>
      </c>
      <c r="F32" s="1178" t="s">
        <v>249</v>
      </c>
      <c r="G32" s="1186"/>
      <c r="H32" s="1258"/>
      <c r="I32" s="1180">
        <f>E32*'[1]Total Capital Investment'!K63</f>
        <v>255789.70559999999</v>
      </c>
      <c r="J32" s="1257"/>
      <c r="K32" s="1191">
        <f>I32</f>
        <v>255789.70559999999</v>
      </c>
    </row>
    <row r="33" spans="2:12" x14ac:dyDescent="0.35">
      <c r="B33" s="1256"/>
      <c r="C33" s="1259" t="s">
        <v>199</v>
      </c>
      <c r="D33" s="1149"/>
      <c r="E33" s="1268">
        <f>($E$48/100*POWER((1+($E$48/100)),$E$49))/((POWER(((1+$E$48/100)),$E$49))-1)</f>
        <v>0.14237750272736471</v>
      </c>
      <c r="F33" s="1186"/>
      <c r="G33" s="1180"/>
      <c r="H33" s="1180"/>
      <c r="I33" s="1180"/>
      <c r="J33" s="1257"/>
      <c r="K33" s="1282"/>
      <c r="L33" s="1283"/>
    </row>
    <row r="34" spans="2:12" x14ac:dyDescent="0.35">
      <c r="B34" s="1256" t="s">
        <v>202</v>
      </c>
      <c r="C34" s="1149" t="s">
        <v>197</v>
      </c>
      <c r="D34" s="1149"/>
      <c r="E34" s="1149"/>
      <c r="F34" s="1149"/>
      <c r="G34" s="1180"/>
      <c r="H34" s="1284"/>
      <c r="I34" s="1180"/>
      <c r="J34" s="1285" t="s">
        <v>196</v>
      </c>
      <c r="K34" s="1191">
        <f>E33*0</f>
        <v>0</v>
      </c>
      <c r="L34" s="1283"/>
    </row>
    <row r="35" spans="2:12" x14ac:dyDescent="0.35">
      <c r="B35" s="1148"/>
      <c r="C35" s="1149"/>
      <c r="D35" s="1149"/>
      <c r="E35" s="1178"/>
      <c r="F35" s="1149"/>
      <c r="G35" s="1180"/>
      <c r="H35" s="1180"/>
      <c r="I35" s="1180"/>
      <c r="J35" s="1180"/>
      <c r="K35" s="1191"/>
    </row>
    <row r="36" spans="2:12" x14ac:dyDescent="0.35">
      <c r="B36" s="1270" t="s">
        <v>15</v>
      </c>
      <c r="C36" s="1271"/>
      <c r="D36" s="1286"/>
      <c r="E36" s="1287"/>
      <c r="F36" s="1274"/>
      <c r="G36" s="1276"/>
      <c r="H36" s="1288"/>
      <c r="I36" s="1276"/>
      <c r="J36" s="1277" t="s">
        <v>195</v>
      </c>
      <c r="K36" s="1278">
        <f>SUM(K31:K34)</f>
        <v>255789.70559999999</v>
      </c>
    </row>
    <row r="37" spans="2:12" x14ac:dyDescent="0.35">
      <c r="B37" s="1289"/>
      <c r="C37" s="1290"/>
      <c r="D37" s="1149"/>
      <c r="E37" s="1178"/>
      <c r="F37" s="1149"/>
      <c r="G37" s="1180"/>
      <c r="H37" s="1180"/>
      <c r="I37" s="1180"/>
      <c r="J37" s="1180"/>
      <c r="K37" s="1191"/>
    </row>
    <row r="38" spans="2:12" ht="15.5" x14ac:dyDescent="0.35">
      <c r="B38" s="1291" t="s">
        <v>194</v>
      </c>
      <c r="C38" s="1292"/>
      <c r="D38" s="1293"/>
      <c r="E38" s="1294"/>
      <c r="F38" s="1293"/>
      <c r="G38" s="1214"/>
      <c r="H38" s="1295"/>
      <c r="I38" s="1214"/>
      <c r="J38" s="1277" t="s">
        <v>193</v>
      </c>
      <c r="K38" s="1278">
        <f>K28+K36</f>
        <v>940278.34764290403</v>
      </c>
    </row>
    <row r="39" spans="2:12" ht="15" thickBot="1" x14ac:dyDescent="0.4">
      <c r="B39" s="1148"/>
      <c r="C39" s="1149"/>
      <c r="D39" s="1149"/>
      <c r="E39" s="1178"/>
      <c r="F39" s="1149"/>
      <c r="G39" s="1149"/>
      <c r="H39" s="1149"/>
      <c r="I39" s="1149"/>
      <c r="J39" s="1149"/>
      <c r="K39" s="1171"/>
    </row>
    <row r="40" spans="2:12" ht="16" thickBot="1" x14ac:dyDescent="0.4">
      <c r="B40" s="1421" t="s">
        <v>16</v>
      </c>
      <c r="C40" s="1422"/>
      <c r="D40" s="1422"/>
      <c r="E40" s="1422"/>
      <c r="F40" s="1422"/>
      <c r="G40" s="1422"/>
      <c r="H40" s="1422"/>
      <c r="I40" s="1422"/>
      <c r="J40" s="1422"/>
      <c r="K40" s="1423"/>
    </row>
    <row r="41" spans="2:12" x14ac:dyDescent="0.35">
      <c r="B41" s="1148"/>
      <c r="C41" s="1149"/>
      <c r="D41" s="1149"/>
      <c r="E41" s="1149"/>
      <c r="F41" s="1149"/>
      <c r="G41" s="1149"/>
      <c r="H41" s="1149"/>
      <c r="I41" s="1149"/>
      <c r="J41" s="1149"/>
      <c r="K41" s="1171"/>
    </row>
    <row r="42" spans="2:12" ht="15.5" x14ac:dyDescent="0.35">
      <c r="B42" s="1163" t="s">
        <v>192</v>
      </c>
      <c r="C42" s="1169"/>
      <c r="D42" s="1149"/>
      <c r="E42" s="1149"/>
      <c r="F42" s="1149"/>
      <c r="G42" s="1149"/>
      <c r="H42" s="1149"/>
      <c r="I42" s="1149"/>
      <c r="J42" s="1296" t="s">
        <v>3</v>
      </c>
      <c r="K42" s="1297">
        <v>36</v>
      </c>
    </row>
    <row r="43" spans="2:12" x14ac:dyDescent="0.35">
      <c r="B43" s="1148"/>
      <c r="C43" s="1149"/>
      <c r="D43" s="1149"/>
      <c r="E43" s="1149"/>
      <c r="F43" s="1149"/>
      <c r="G43" s="1149"/>
      <c r="H43" s="1149"/>
      <c r="I43" s="1149"/>
      <c r="J43" s="1149"/>
      <c r="K43" s="1171"/>
    </row>
    <row r="44" spans="2:12" ht="16" thickBot="1" x14ac:dyDescent="0.4">
      <c r="B44" s="1298" t="s">
        <v>191</v>
      </c>
      <c r="C44" s="1299"/>
      <c r="D44" s="1300"/>
      <c r="E44" s="1300"/>
      <c r="F44" s="1300"/>
      <c r="G44" s="1300"/>
      <c r="H44" s="1301"/>
      <c r="I44" s="1300"/>
      <c r="J44" s="1302" t="s">
        <v>190</v>
      </c>
      <c r="K44" s="1303">
        <f>K38/K42</f>
        <v>26118.842990080666</v>
      </c>
    </row>
    <row r="45" spans="2:12" ht="15" thickTop="1" x14ac:dyDescent="0.35"/>
    <row r="46" spans="2:12" ht="15" thickBot="1" x14ac:dyDescent="0.4"/>
    <row r="47" spans="2:12" x14ac:dyDescent="0.35">
      <c r="D47" s="1304" t="s">
        <v>189</v>
      </c>
      <c r="E47" s="1251"/>
      <c r="F47" s="1305"/>
      <c r="G47" s="1306"/>
    </row>
    <row r="48" spans="2:12" x14ac:dyDescent="0.35">
      <c r="D48" s="1307" t="s">
        <v>188</v>
      </c>
      <c r="E48" s="1260">
        <v>7</v>
      </c>
      <c r="F48" s="1308" t="s">
        <v>152</v>
      </c>
    </row>
    <row r="49" spans="4:6" x14ac:dyDescent="0.35">
      <c r="D49" s="1307" t="s">
        <v>187</v>
      </c>
      <c r="E49" s="1177">
        <v>10</v>
      </c>
      <c r="F49" s="1308" t="s">
        <v>185</v>
      </c>
    </row>
    <row r="50" spans="4:6" x14ac:dyDescent="0.35">
      <c r="D50" s="1307" t="s">
        <v>250</v>
      </c>
      <c r="E50" s="1177">
        <v>2</v>
      </c>
      <c r="F50" s="1308" t="s">
        <v>185</v>
      </c>
    </row>
    <row r="51" spans="4:6" ht="15" thickBot="1" x14ac:dyDescent="0.4">
      <c r="D51" s="1309" t="s">
        <v>184</v>
      </c>
      <c r="E51" s="1310">
        <v>100</v>
      </c>
      <c r="F51" s="1311" t="s">
        <v>152</v>
      </c>
    </row>
  </sheetData>
  <mergeCells count="6">
    <mergeCell ref="B40:K40"/>
    <mergeCell ref="B1:K1"/>
    <mergeCell ref="B2:K2"/>
    <mergeCell ref="I3:K3"/>
    <mergeCell ref="B8:K8"/>
    <mergeCell ref="C18:D18"/>
  </mergeCells>
  <printOptions horizontalCentered="1"/>
  <pageMargins left="0.42" right="0.3" top="0.44" bottom="0.52" header="0.3" footer="0.3"/>
  <pageSetup scale="56" orientation="portrait" r:id="rId1"/>
  <headerFooter>
    <oddFooter>&amp;LUAF
PM2.5 Serious NAA BACT Analysis&amp;CPage 63&amp;RJanuary 2017</oddFoot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B1:K65"/>
  <sheetViews>
    <sheetView view="pageLayout" topLeftCell="E39" zoomScale="80" zoomScaleNormal="90" zoomScalePageLayoutView="80" workbookViewId="0">
      <selection activeCell="L66" sqref="L66"/>
    </sheetView>
  </sheetViews>
  <sheetFormatPr defaultColWidth="8.81640625" defaultRowHeight="12.5" x14ac:dyDescent="0.25"/>
  <cols>
    <col min="1" max="1" width="2.26953125" style="40" customWidth="1"/>
    <col min="2" max="2" width="5.26953125" style="40" customWidth="1"/>
    <col min="3" max="3" width="6" style="40" customWidth="1"/>
    <col min="4" max="4" width="63.7265625" style="40" customWidth="1"/>
    <col min="5" max="5" width="8.81640625" style="40"/>
    <col min="6" max="6" width="19.26953125" style="40" customWidth="1"/>
    <col min="7" max="7" width="13" style="40" customWidth="1"/>
    <col min="8" max="8" width="24.1796875" style="40" customWidth="1"/>
    <col min="9" max="9" width="20.453125" style="40" customWidth="1"/>
    <col min="10" max="10" width="14.7265625" style="40" customWidth="1"/>
    <col min="11" max="11" width="17.26953125" style="40" customWidth="1"/>
    <col min="12" max="12" width="8.81640625" style="40"/>
    <col min="13" max="13" width="29.81640625" style="40" customWidth="1"/>
    <col min="14" max="16384" width="8.81640625" style="40"/>
  </cols>
  <sheetData>
    <row r="1" spans="2:11" ht="14" x14ac:dyDescent="0.3">
      <c r="B1" s="1351" t="s">
        <v>348</v>
      </c>
      <c r="C1" s="1351"/>
      <c r="D1" s="1351"/>
      <c r="E1" s="1351"/>
      <c r="F1" s="1351"/>
      <c r="G1" s="1351"/>
      <c r="H1" s="1351"/>
      <c r="I1" s="1351"/>
      <c r="J1" s="1351"/>
      <c r="K1" s="1351"/>
    </row>
    <row r="2" spans="2:11" ht="14" x14ac:dyDescent="0.3">
      <c r="B2" s="1351" t="s">
        <v>251</v>
      </c>
      <c r="C2" s="1351"/>
      <c r="D2" s="1351"/>
      <c r="E2" s="1351"/>
      <c r="F2" s="1351"/>
      <c r="G2" s="1351"/>
      <c r="H2" s="1351"/>
      <c r="I2" s="1351"/>
      <c r="J2" s="1351"/>
      <c r="K2" s="1351"/>
    </row>
    <row r="3" spans="2:11" ht="13" thickBot="1" x14ac:dyDescent="0.3">
      <c r="J3" s="1432" t="s">
        <v>183</v>
      </c>
      <c r="K3" s="1432"/>
    </row>
    <row r="4" spans="2:11" ht="13.5" thickTop="1" x14ac:dyDescent="0.3">
      <c r="B4" s="122" t="s">
        <v>182</v>
      </c>
      <c r="C4" s="121"/>
      <c r="D4" s="121"/>
      <c r="E4" s="121"/>
      <c r="F4" s="121"/>
      <c r="G4" s="121"/>
      <c r="H4" s="121"/>
      <c r="I4" s="121"/>
      <c r="J4" s="120" t="s">
        <v>181</v>
      </c>
      <c r="K4" s="119">
        <v>42356</v>
      </c>
    </row>
    <row r="5" spans="2:11" ht="15.5" x14ac:dyDescent="0.4">
      <c r="B5" s="50" t="s">
        <v>180</v>
      </c>
      <c r="C5" s="49"/>
      <c r="D5" s="118" t="s">
        <v>308</v>
      </c>
      <c r="E5" s="49"/>
      <c r="F5" s="49"/>
      <c r="G5" s="49"/>
      <c r="H5" s="49"/>
      <c r="I5" s="49"/>
      <c r="J5" s="76" t="s">
        <v>179</v>
      </c>
      <c r="K5" s="117" t="s">
        <v>178</v>
      </c>
    </row>
    <row r="6" spans="2:11" x14ac:dyDescent="0.25">
      <c r="B6" s="50"/>
      <c r="C6" s="49"/>
      <c r="D6" s="49"/>
      <c r="E6" s="49"/>
      <c r="F6" s="49"/>
      <c r="G6" s="49"/>
      <c r="H6" s="49"/>
      <c r="I6" s="49"/>
      <c r="J6" s="76" t="s">
        <v>177</v>
      </c>
      <c r="K6" s="117" t="s">
        <v>176</v>
      </c>
    </row>
    <row r="7" spans="2:11" ht="13" thickBot="1" x14ac:dyDescent="0.3">
      <c r="B7" s="116"/>
      <c r="C7" s="115"/>
      <c r="D7" s="115"/>
      <c r="E7" s="115"/>
      <c r="F7" s="115"/>
      <c r="G7" s="115"/>
      <c r="H7" s="115"/>
      <c r="I7" s="115"/>
      <c r="J7" s="114" t="s">
        <v>175</v>
      </c>
      <c r="K7" s="113" t="s">
        <v>174</v>
      </c>
    </row>
    <row r="8" spans="2:11" ht="36.75" customHeight="1" thickBot="1" x14ac:dyDescent="0.3">
      <c r="B8" s="1429" t="s">
        <v>1</v>
      </c>
      <c r="C8" s="1430"/>
      <c r="D8" s="1430"/>
      <c r="E8" s="1430"/>
      <c r="F8" s="1430"/>
      <c r="G8" s="1430"/>
      <c r="H8" s="1430"/>
      <c r="I8" s="1430"/>
      <c r="J8" s="1430"/>
      <c r="K8" s="1431"/>
    </row>
    <row r="9" spans="2:11" ht="26.5" thickTop="1" x14ac:dyDescent="0.3">
      <c r="B9" s="112" t="s">
        <v>2</v>
      </c>
      <c r="C9" s="108"/>
      <c r="D9" s="108"/>
      <c r="E9" s="111" t="s">
        <v>173</v>
      </c>
      <c r="F9" s="111" t="s">
        <v>172</v>
      </c>
      <c r="G9" s="110" t="s">
        <v>171</v>
      </c>
      <c r="H9" s="109" t="s">
        <v>170</v>
      </c>
      <c r="I9" s="109" t="s">
        <v>169</v>
      </c>
      <c r="J9" s="108"/>
      <c r="K9" s="107"/>
    </row>
    <row r="10" spans="2:11" ht="13" x14ac:dyDescent="0.3">
      <c r="B10" s="52"/>
      <c r="C10" s="49"/>
      <c r="D10" s="49"/>
      <c r="E10" s="106"/>
      <c r="F10" s="106"/>
      <c r="G10" s="105"/>
      <c r="H10" s="104"/>
      <c r="I10" s="104"/>
      <c r="J10" s="49"/>
      <c r="K10" s="103"/>
    </row>
    <row r="11" spans="2:11" ht="13" x14ac:dyDescent="0.3">
      <c r="B11" s="78" t="s">
        <v>168</v>
      </c>
      <c r="C11" s="73" t="s">
        <v>167</v>
      </c>
      <c r="D11" s="73"/>
      <c r="E11" s="49"/>
      <c r="F11" s="49"/>
      <c r="G11" s="49"/>
      <c r="H11" s="49"/>
      <c r="I11" s="49"/>
      <c r="J11" s="102"/>
      <c r="K11" s="101"/>
    </row>
    <row r="12" spans="2:11" ht="13" x14ac:dyDescent="0.3">
      <c r="B12" s="52"/>
      <c r="C12" s="73" t="s">
        <v>142</v>
      </c>
      <c r="D12" s="73" t="s">
        <v>166</v>
      </c>
      <c r="E12" s="49"/>
      <c r="F12" s="49"/>
      <c r="G12" s="49"/>
      <c r="H12" s="49"/>
      <c r="I12" s="49"/>
      <c r="J12" s="100"/>
      <c r="K12" s="81"/>
    </row>
    <row r="13" spans="2:11" ht="13" x14ac:dyDescent="0.3">
      <c r="B13" s="52"/>
      <c r="C13" s="73"/>
      <c r="D13" s="49" t="s">
        <v>165</v>
      </c>
      <c r="E13" s="71">
        <v>1</v>
      </c>
      <c r="F13" s="62" t="s">
        <v>109</v>
      </c>
      <c r="G13" s="71">
        <v>107120</v>
      </c>
      <c r="H13" s="60">
        <f>E13*G13</f>
        <v>107120</v>
      </c>
      <c r="I13" s="60"/>
      <c r="J13" s="59"/>
      <c r="K13" s="47"/>
    </row>
    <row r="14" spans="2:11" ht="13" x14ac:dyDescent="0.3">
      <c r="B14" s="98"/>
      <c r="C14" s="97"/>
      <c r="D14" s="84" t="s">
        <v>160</v>
      </c>
      <c r="E14" s="85"/>
      <c r="F14" s="85"/>
      <c r="G14" s="99"/>
      <c r="H14" s="83"/>
      <c r="I14" s="83"/>
      <c r="J14" s="82" t="s">
        <v>147</v>
      </c>
      <c r="K14" s="81">
        <f>SUM(H13:H13)</f>
        <v>107120</v>
      </c>
    </row>
    <row r="15" spans="2:11" ht="13" x14ac:dyDescent="0.3">
      <c r="B15" s="98"/>
      <c r="C15" s="97" t="s">
        <v>139</v>
      </c>
      <c r="D15" s="97" t="s">
        <v>164</v>
      </c>
      <c r="E15" s="85"/>
      <c r="F15" s="85"/>
      <c r="G15" s="99"/>
      <c r="H15" s="83"/>
      <c r="I15" s="83"/>
      <c r="J15" s="82"/>
      <c r="K15" s="74"/>
    </row>
    <row r="16" spans="2:11" ht="13" x14ac:dyDescent="0.3">
      <c r="B16" s="98"/>
      <c r="C16" s="97"/>
      <c r="D16" s="84" t="s">
        <v>163</v>
      </c>
      <c r="E16" s="71"/>
      <c r="F16" s="85" t="s">
        <v>109</v>
      </c>
      <c r="G16" s="71"/>
      <c r="H16" s="60">
        <f>E16*G16</f>
        <v>0</v>
      </c>
      <c r="I16" s="83"/>
      <c r="J16" s="59"/>
      <c r="K16" s="74"/>
    </row>
    <row r="17" spans="2:11" ht="13" x14ac:dyDescent="0.3">
      <c r="B17" s="96"/>
      <c r="C17" s="95"/>
      <c r="D17" s="93"/>
      <c r="E17" s="94"/>
      <c r="F17" s="94"/>
      <c r="G17" s="93"/>
      <c r="H17" s="92"/>
      <c r="I17" s="92"/>
      <c r="J17" s="82" t="s">
        <v>147</v>
      </c>
      <c r="K17" s="81">
        <f>SUM(H16:H16)</f>
        <v>0</v>
      </c>
    </row>
    <row r="18" spans="2:11" ht="13" x14ac:dyDescent="0.3">
      <c r="B18" s="52"/>
      <c r="C18" s="73" t="s">
        <v>137</v>
      </c>
      <c r="D18" s="73" t="s">
        <v>162</v>
      </c>
      <c r="E18" s="62"/>
      <c r="F18" s="62"/>
      <c r="G18" s="49"/>
      <c r="H18" s="60"/>
      <c r="I18" s="60"/>
      <c r="J18" s="59"/>
      <c r="K18" s="74"/>
    </row>
    <row r="19" spans="2:11" ht="13" x14ac:dyDescent="0.3">
      <c r="B19" s="52"/>
      <c r="C19" s="73"/>
      <c r="D19" s="49" t="s">
        <v>161</v>
      </c>
      <c r="E19" s="85"/>
      <c r="F19" s="62"/>
      <c r="G19" s="91">
        <v>10500</v>
      </c>
      <c r="H19" s="60"/>
      <c r="I19" s="60">
        <f>G19</f>
        <v>10500</v>
      </c>
      <c r="J19" s="59"/>
      <c r="K19" s="74"/>
    </row>
    <row r="20" spans="2:11" ht="13" x14ac:dyDescent="0.3">
      <c r="B20" s="86"/>
      <c r="C20" s="84"/>
      <c r="D20" s="84" t="s">
        <v>160</v>
      </c>
      <c r="E20" s="85"/>
      <c r="F20" s="85"/>
      <c r="G20" s="84"/>
      <c r="H20" s="83"/>
      <c r="I20" s="83"/>
      <c r="J20" s="82" t="s">
        <v>147</v>
      </c>
      <c r="K20" s="81">
        <f>SUM(I19:I19)</f>
        <v>10500</v>
      </c>
    </row>
    <row r="21" spans="2:11" ht="13" x14ac:dyDescent="0.3">
      <c r="B21" s="52"/>
      <c r="C21" s="73" t="s">
        <v>134</v>
      </c>
      <c r="D21" s="73" t="s">
        <v>159</v>
      </c>
      <c r="E21" s="62"/>
      <c r="F21" s="62"/>
      <c r="G21" s="49"/>
      <c r="H21" s="60"/>
      <c r="I21" s="60"/>
      <c r="J21" s="59"/>
      <c r="K21" s="74"/>
    </row>
    <row r="22" spans="2:11" x14ac:dyDescent="0.25">
      <c r="B22" s="50"/>
      <c r="C22" s="49"/>
      <c r="D22" s="84" t="s">
        <v>158</v>
      </c>
      <c r="E22" s="71"/>
      <c r="F22" s="62" t="s">
        <v>155</v>
      </c>
      <c r="G22" s="90"/>
      <c r="H22" s="60" t="s">
        <v>157</v>
      </c>
      <c r="I22" s="60">
        <f>E22*G22</f>
        <v>0</v>
      </c>
      <c r="J22" s="59"/>
      <c r="K22" s="74"/>
    </row>
    <row r="23" spans="2:11" x14ac:dyDescent="0.25">
      <c r="B23" s="50"/>
      <c r="C23" s="49"/>
      <c r="D23" s="84" t="s">
        <v>156</v>
      </c>
      <c r="E23" s="71">
        <v>16</v>
      </c>
      <c r="F23" s="62" t="s">
        <v>155</v>
      </c>
      <c r="G23" s="90">
        <v>105</v>
      </c>
      <c r="H23" s="60"/>
      <c r="I23" s="60">
        <f>E23*G23</f>
        <v>1680</v>
      </c>
      <c r="J23" s="59"/>
      <c r="K23" s="74"/>
    </row>
    <row r="24" spans="2:11" ht="13" x14ac:dyDescent="0.3">
      <c r="B24" s="86"/>
      <c r="C24" s="84"/>
      <c r="D24" s="84"/>
      <c r="E24" s="85"/>
      <c r="F24" s="85"/>
      <c r="G24" s="84"/>
      <c r="H24" s="83"/>
      <c r="I24" s="83"/>
      <c r="J24" s="82" t="s">
        <v>147</v>
      </c>
      <c r="K24" s="81">
        <f>SUM(I22:I23)</f>
        <v>1680</v>
      </c>
    </row>
    <row r="25" spans="2:11" ht="13" x14ac:dyDescent="0.3">
      <c r="B25" s="52"/>
      <c r="C25" s="73" t="s">
        <v>132</v>
      </c>
      <c r="D25" s="73" t="s">
        <v>154</v>
      </c>
      <c r="E25" s="49"/>
      <c r="F25" s="49"/>
      <c r="G25" s="49"/>
      <c r="H25" s="60"/>
      <c r="I25" s="60"/>
      <c r="J25" s="59"/>
      <c r="K25" s="74"/>
    </row>
    <row r="26" spans="2:11" x14ac:dyDescent="0.25">
      <c r="B26" s="50"/>
      <c r="C26" s="49"/>
      <c r="D26" s="49" t="s">
        <v>153</v>
      </c>
      <c r="E26" s="89">
        <v>5.0000000000000001E-3</v>
      </c>
      <c r="F26" s="62" t="s">
        <v>152</v>
      </c>
      <c r="G26" s="88"/>
      <c r="H26" s="87">
        <f>E26*G13</f>
        <v>535.6</v>
      </c>
      <c r="I26" s="60"/>
      <c r="J26" s="59"/>
      <c r="K26" s="74"/>
    </row>
    <row r="27" spans="2:11" ht="13" x14ac:dyDescent="0.3">
      <c r="B27" s="86"/>
      <c r="C27" s="84"/>
      <c r="D27" s="84"/>
      <c r="E27" s="85"/>
      <c r="F27" s="85"/>
      <c r="G27" s="84"/>
      <c r="H27" s="83"/>
      <c r="I27" s="83"/>
      <c r="J27" s="82" t="s">
        <v>147</v>
      </c>
      <c r="K27" s="81">
        <f>SUM(H26)</f>
        <v>535.6</v>
      </c>
    </row>
    <row r="28" spans="2:11" ht="13" x14ac:dyDescent="0.3">
      <c r="B28" s="52"/>
      <c r="C28" s="73" t="s">
        <v>129</v>
      </c>
      <c r="D28" s="73" t="s">
        <v>151</v>
      </c>
      <c r="E28" s="62"/>
      <c r="F28" s="62"/>
      <c r="G28" s="49"/>
      <c r="H28" s="60"/>
      <c r="I28" s="60"/>
      <c r="J28" s="59"/>
      <c r="K28" s="74"/>
    </row>
    <row r="29" spans="2:11" ht="13" x14ac:dyDescent="0.3">
      <c r="B29" s="52"/>
      <c r="C29" s="73"/>
      <c r="D29" s="49" t="s">
        <v>150</v>
      </c>
      <c r="E29" s="71"/>
      <c r="F29" s="62" t="s">
        <v>148</v>
      </c>
      <c r="G29" s="71"/>
      <c r="H29" s="60"/>
      <c r="I29" s="60">
        <f>G29*E29</f>
        <v>0</v>
      </c>
      <c r="J29" s="59"/>
      <c r="K29" s="74"/>
    </row>
    <row r="30" spans="2:11" ht="13" x14ac:dyDescent="0.3">
      <c r="B30" s="52"/>
      <c r="C30" s="73"/>
      <c r="D30" s="49" t="s">
        <v>149</v>
      </c>
      <c r="E30" s="71"/>
      <c r="F30" s="62" t="s">
        <v>148</v>
      </c>
      <c r="G30" s="71"/>
      <c r="H30" s="60"/>
      <c r="I30" s="60">
        <f>G30*E30</f>
        <v>0</v>
      </c>
      <c r="J30" s="59"/>
      <c r="K30" s="74"/>
    </row>
    <row r="31" spans="2:11" ht="13" x14ac:dyDescent="0.3">
      <c r="B31" s="52"/>
      <c r="C31" s="73"/>
      <c r="D31" s="73"/>
      <c r="E31" s="62"/>
      <c r="F31" s="62"/>
      <c r="G31" s="49"/>
      <c r="H31" s="60"/>
      <c r="I31" s="60"/>
      <c r="J31" s="82" t="s">
        <v>147</v>
      </c>
      <c r="K31" s="81">
        <f>SUM(I29:I30)</f>
        <v>0</v>
      </c>
    </row>
    <row r="32" spans="2:11" ht="13" x14ac:dyDescent="0.3">
      <c r="B32" s="57" t="s">
        <v>146</v>
      </c>
      <c r="C32" s="80"/>
      <c r="D32" s="80"/>
      <c r="E32" s="1428"/>
      <c r="F32" s="1428"/>
      <c r="G32" s="1428"/>
      <c r="H32" s="1428"/>
      <c r="I32" s="79"/>
      <c r="J32" s="54" t="s">
        <v>145</v>
      </c>
      <c r="K32" s="65">
        <f>K14+K17+K20+K24+K27+K31</f>
        <v>119835.6</v>
      </c>
    </row>
    <row r="33" spans="2:11" x14ac:dyDescent="0.25">
      <c r="B33" s="50"/>
      <c r="C33" s="49"/>
      <c r="D33" s="49"/>
      <c r="E33" s="62"/>
      <c r="F33" s="62"/>
      <c r="G33" s="49"/>
      <c r="H33" s="60"/>
      <c r="I33" s="60"/>
      <c r="J33" s="48"/>
      <c r="K33" s="74"/>
    </row>
    <row r="34" spans="2:11" ht="13" x14ac:dyDescent="0.3">
      <c r="B34" s="78" t="s">
        <v>144</v>
      </c>
      <c r="C34" s="73" t="s">
        <v>143</v>
      </c>
      <c r="D34" s="73"/>
      <c r="E34" s="62"/>
      <c r="F34" s="62"/>
      <c r="G34" s="49"/>
      <c r="H34" s="60"/>
      <c r="I34" s="60"/>
      <c r="J34" s="48"/>
      <c r="K34" s="74"/>
    </row>
    <row r="35" spans="2:11" ht="13" x14ac:dyDescent="0.3">
      <c r="B35" s="52"/>
      <c r="C35" s="73" t="s">
        <v>142</v>
      </c>
      <c r="D35" s="73" t="s">
        <v>141</v>
      </c>
      <c r="E35" s="71"/>
      <c r="F35" s="62" t="s">
        <v>140</v>
      </c>
      <c r="G35" s="71"/>
      <c r="H35" s="60">
        <f t="shared" ref="H35:H41" si="0">E35*G35</f>
        <v>0</v>
      </c>
      <c r="I35" s="60"/>
      <c r="J35" s="59"/>
      <c r="K35" s="74">
        <f t="shared" ref="K35:K41" si="1">H35+I35</f>
        <v>0</v>
      </c>
    </row>
    <row r="36" spans="2:11" ht="13" x14ac:dyDescent="0.3">
      <c r="B36" s="52"/>
      <c r="C36" s="73" t="s">
        <v>139</v>
      </c>
      <c r="D36" s="73" t="s">
        <v>138</v>
      </c>
      <c r="E36" s="71"/>
      <c r="F36" s="62" t="s">
        <v>135</v>
      </c>
      <c r="G36" s="71"/>
      <c r="H36" s="60">
        <f t="shared" si="0"/>
        <v>0</v>
      </c>
      <c r="I36" s="60"/>
      <c r="J36" s="59"/>
      <c r="K36" s="74">
        <f t="shared" si="1"/>
        <v>0</v>
      </c>
    </row>
    <row r="37" spans="2:11" ht="13" x14ac:dyDescent="0.3">
      <c r="B37" s="52"/>
      <c r="C37" s="73" t="s">
        <v>137</v>
      </c>
      <c r="D37" s="73" t="s">
        <v>136</v>
      </c>
      <c r="E37" s="71"/>
      <c r="F37" s="62" t="s">
        <v>135</v>
      </c>
      <c r="G37" s="71"/>
      <c r="H37" s="60">
        <f t="shared" si="0"/>
        <v>0</v>
      </c>
      <c r="I37" s="60"/>
      <c r="J37" s="59"/>
      <c r="K37" s="74">
        <f t="shared" si="1"/>
        <v>0</v>
      </c>
    </row>
    <row r="38" spans="2:11" ht="13" x14ac:dyDescent="0.3">
      <c r="B38" s="52"/>
      <c r="C38" s="73" t="s">
        <v>134</v>
      </c>
      <c r="D38" s="73" t="s">
        <v>133</v>
      </c>
      <c r="E38" s="71"/>
      <c r="F38" s="62" t="s">
        <v>127</v>
      </c>
      <c r="G38" s="71"/>
      <c r="H38" s="60">
        <f t="shared" si="0"/>
        <v>0</v>
      </c>
      <c r="I38" s="60"/>
      <c r="J38" s="59"/>
      <c r="K38" s="74">
        <f t="shared" si="1"/>
        <v>0</v>
      </c>
    </row>
    <row r="39" spans="2:11" ht="13" x14ac:dyDescent="0.3">
      <c r="B39" s="52"/>
      <c r="C39" s="73" t="s">
        <v>132</v>
      </c>
      <c r="D39" s="73" t="s">
        <v>131</v>
      </c>
      <c r="E39" s="71"/>
      <c r="F39" s="62" t="s">
        <v>130</v>
      </c>
      <c r="G39" s="71"/>
      <c r="H39" s="60">
        <f t="shared" si="0"/>
        <v>0</v>
      </c>
      <c r="I39" s="60"/>
      <c r="J39" s="59"/>
      <c r="K39" s="74">
        <f t="shared" si="1"/>
        <v>0</v>
      </c>
    </row>
    <row r="40" spans="2:11" ht="13" x14ac:dyDescent="0.3">
      <c r="B40" s="52"/>
      <c r="C40" s="73" t="s">
        <v>129</v>
      </c>
      <c r="D40" s="73" t="s">
        <v>128</v>
      </c>
      <c r="E40" s="71"/>
      <c r="F40" s="62" t="s">
        <v>127</v>
      </c>
      <c r="G40" s="71"/>
      <c r="H40" s="60">
        <f t="shared" si="0"/>
        <v>0</v>
      </c>
      <c r="I40" s="60"/>
      <c r="J40" s="59"/>
      <c r="K40" s="74">
        <f t="shared" si="1"/>
        <v>0</v>
      </c>
    </row>
    <row r="41" spans="2:11" ht="13" x14ac:dyDescent="0.3">
      <c r="B41" s="52"/>
      <c r="C41" s="73" t="s">
        <v>126</v>
      </c>
      <c r="D41" s="73" t="s">
        <v>125</v>
      </c>
      <c r="E41" s="71"/>
      <c r="F41" s="62" t="s">
        <v>124</v>
      </c>
      <c r="G41" s="71"/>
      <c r="H41" s="60">
        <f t="shared" si="0"/>
        <v>0</v>
      </c>
      <c r="I41" s="60"/>
      <c r="J41" s="59"/>
      <c r="K41" s="74">
        <f t="shared" si="1"/>
        <v>0</v>
      </c>
    </row>
    <row r="42" spans="2:11" ht="13" x14ac:dyDescent="0.3">
      <c r="B42" s="52"/>
      <c r="C42" s="73" t="s">
        <v>123</v>
      </c>
      <c r="D42" s="73" t="s">
        <v>122</v>
      </c>
      <c r="E42" s="62"/>
      <c r="F42" s="62"/>
      <c r="G42" s="48"/>
      <c r="H42" s="60"/>
      <c r="I42" s="60"/>
      <c r="J42" s="59"/>
      <c r="K42" s="74"/>
    </row>
    <row r="43" spans="2:11" ht="13" x14ac:dyDescent="0.3">
      <c r="B43" s="52"/>
      <c r="C43" s="73"/>
      <c r="D43" s="49" t="s">
        <v>121</v>
      </c>
      <c r="F43" s="76" t="s">
        <v>120</v>
      </c>
      <c r="G43" s="72"/>
      <c r="H43" s="77"/>
      <c r="I43" s="60">
        <f>G43*I22</f>
        <v>0</v>
      </c>
      <c r="J43" s="59"/>
      <c r="K43" s="74">
        <f>H43+I43</f>
        <v>0</v>
      </c>
    </row>
    <row r="44" spans="2:11" ht="13" x14ac:dyDescent="0.3">
      <c r="B44" s="52"/>
      <c r="C44" s="73"/>
      <c r="D44" s="49" t="s">
        <v>338</v>
      </c>
      <c r="F44" s="76" t="s">
        <v>119</v>
      </c>
      <c r="G44" s="72"/>
      <c r="H44" s="77"/>
      <c r="I44" s="60">
        <f>G44*I23</f>
        <v>0</v>
      </c>
      <c r="J44" s="59"/>
      <c r="K44" s="74">
        <f>H44+I44</f>
        <v>0</v>
      </c>
    </row>
    <row r="45" spans="2:11" ht="13" x14ac:dyDescent="0.3">
      <c r="B45" s="52"/>
      <c r="C45" s="73"/>
      <c r="D45" s="49" t="s">
        <v>118</v>
      </c>
      <c r="F45" s="76" t="s">
        <v>117</v>
      </c>
      <c r="G45" s="75"/>
      <c r="H45" s="60"/>
      <c r="I45" s="60">
        <f>G45*K14</f>
        <v>0</v>
      </c>
      <c r="J45" s="59"/>
      <c r="K45" s="74">
        <f>H45+I45</f>
        <v>0</v>
      </c>
    </row>
    <row r="46" spans="2:11" ht="13" x14ac:dyDescent="0.3">
      <c r="B46" s="57" t="s">
        <v>116</v>
      </c>
      <c r="C46" s="68"/>
      <c r="D46" s="68"/>
      <c r="E46" s="1428"/>
      <c r="F46" s="1428"/>
      <c r="G46" s="1428"/>
      <c r="H46" s="1428"/>
      <c r="I46" s="66"/>
      <c r="J46" s="54" t="s">
        <v>115</v>
      </c>
      <c r="K46" s="65">
        <f>0.1*K32</f>
        <v>11983.560000000001</v>
      </c>
    </row>
    <row r="47" spans="2:11" x14ac:dyDescent="0.25">
      <c r="B47" s="50"/>
      <c r="C47" s="49"/>
      <c r="D47" s="49"/>
      <c r="E47" s="49"/>
      <c r="F47" s="49"/>
      <c r="G47" s="49"/>
      <c r="H47" s="48"/>
      <c r="I47" s="48"/>
      <c r="J47" s="48"/>
      <c r="K47" s="74"/>
    </row>
    <row r="48" spans="2:11" x14ac:dyDescent="0.25">
      <c r="B48" s="50"/>
      <c r="C48" s="49"/>
      <c r="D48" s="49"/>
      <c r="E48" s="49"/>
      <c r="F48" s="49"/>
      <c r="G48" s="49"/>
      <c r="H48" s="48"/>
      <c r="I48" s="48"/>
      <c r="J48" s="48"/>
      <c r="K48" s="74"/>
    </row>
    <row r="49" spans="2:11" ht="13" x14ac:dyDescent="0.3">
      <c r="B49" s="57" t="s">
        <v>4</v>
      </c>
      <c r="C49" s="70"/>
      <c r="D49" s="70"/>
      <c r="E49" s="1428"/>
      <c r="F49" s="1428"/>
      <c r="G49" s="1428"/>
      <c r="H49" s="1428"/>
      <c r="I49" s="67"/>
      <c r="J49" s="54" t="s">
        <v>114</v>
      </c>
      <c r="K49" s="65">
        <f>K32+K46</f>
        <v>131819.16</v>
      </c>
    </row>
    <row r="50" spans="2:11" ht="13" x14ac:dyDescent="0.3">
      <c r="B50" s="52"/>
      <c r="C50" s="49"/>
      <c r="D50" s="49"/>
      <c r="E50" s="49"/>
      <c r="F50" s="49"/>
      <c r="G50" s="73"/>
      <c r="H50" s="48"/>
      <c r="I50" s="48"/>
      <c r="J50" s="48"/>
      <c r="K50" s="47"/>
    </row>
    <row r="51" spans="2:11" x14ac:dyDescent="0.25">
      <c r="B51" s="50"/>
      <c r="C51" s="49"/>
      <c r="D51" s="49"/>
      <c r="E51" s="49"/>
      <c r="F51" s="49"/>
      <c r="G51" s="49"/>
      <c r="H51" s="48"/>
      <c r="I51" s="48"/>
      <c r="J51" s="48"/>
      <c r="K51" s="47"/>
    </row>
    <row r="52" spans="2:11" ht="13" x14ac:dyDescent="0.3">
      <c r="B52" s="52" t="s">
        <v>5</v>
      </c>
      <c r="C52" s="49"/>
      <c r="D52" s="49"/>
      <c r="E52" s="49"/>
      <c r="F52" s="49"/>
      <c r="G52" s="49"/>
      <c r="H52" s="48"/>
      <c r="I52" s="48"/>
      <c r="J52" s="48"/>
      <c r="K52" s="47"/>
    </row>
    <row r="53" spans="2:11" x14ac:dyDescent="0.25">
      <c r="B53" s="64" t="s">
        <v>113</v>
      </c>
      <c r="C53" s="49" t="s">
        <v>112</v>
      </c>
      <c r="D53" s="49"/>
      <c r="E53" s="72">
        <v>0.15</v>
      </c>
      <c r="F53" s="62" t="s">
        <v>103</v>
      </c>
      <c r="G53" s="61"/>
      <c r="H53" s="48"/>
      <c r="I53" s="60">
        <f>E53*K49</f>
        <v>19772.874</v>
      </c>
      <c r="J53" s="59"/>
      <c r="K53" s="58"/>
    </row>
    <row r="54" spans="2:11" x14ac:dyDescent="0.25">
      <c r="B54" s="64" t="s">
        <v>111</v>
      </c>
      <c r="C54" s="49" t="s">
        <v>110</v>
      </c>
      <c r="D54" s="49"/>
      <c r="E54" s="71">
        <v>0</v>
      </c>
      <c r="F54" s="62" t="s">
        <v>109</v>
      </c>
      <c r="G54" s="71"/>
      <c r="H54" s="48"/>
      <c r="I54" s="60">
        <f>E54*G54</f>
        <v>0</v>
      </c>
      <c r="J54" s="59"/>
      <c r="K54" s="58" t="s">
        <v>102</v>
      </c>
    </row>
    <row r="55" spans="2:11" ht="13" x14ac:dyDescent="0.3">
      <c r="B55" s="57" t="s">
        <v>7</v>
      </c>
      <c r="C55" s="70"/>
      <c r="D55" s="70"/>
      <c r="E55" s="68"/>
      <c r="F55" s="69"/>
      <c r="G55" s="68"/>
      <c r="H55" s="67"/>
      <c r="I55" s="66"/>
      <c r="J55" s="54" t="s">
        <v>108</v>
      </c>
      <c r="K55" s="65">
        <f>SUM(I53:I54)</f>
        <v>19772.874</v>
      </c>
    </row>
    <row r="56" spans="2:11" ht="13" x14ac:dyDescent="0.3">
      <c r="B56" s="52"/>
      <c r="C56" s="49"/>
      <c r="D56" s="49"/>
      <c r="E56" s="49"/>
      <c r="F56" s="62"/>
      <c r="G56" s="49"/>
      <c r="H56" s="48"/>
      <c r="I56" s="60"/>
      <c r="J56" s="51"/>
      <c r="K56" s="47"/>
    </row>
    <row r="57" spans="2:11" x14ac:dyDescent="0.25">
      <c r="B57" s="50"/>
      <c r="C57" s="49"/>
      <c r="D57" s="49"/>
      <c r="E57" s="49"/>
      <c r="F57" s="62"/>
      <c r="G57" s="49"/>
      <c r="H57" s="48"/>
      <c r="I57" s="60"/>
      <c r="J57" s="48"/>
      <c r="K57" s="47"/>
    </row>
    <row r="58" spans="2:11" ht="13" x14ac:dyDescent="0.3">
      <c r="B58" s="52" t="s">
        <v>8</v>
      </c>
      <c r="C58" s="49"/>
      <c r="D58" s="49"/>
      <c r="E58" s="49"/>
      <c r="F58" s="62"/>
      <c r="G58" s="49"/>
      <c r="H58" s="48"/>
      <c r="I58" s="60"/>
      <c r="J58" s="48"/>
      <c r="K58" s="47"/>
    </row>
    <row r="59" spans="2:11" x14ac:dyDescent="0.25">
      <c r="B59" s="64" t="s">
        <v>107</v>
      </c>
      <c r="C59" s="49" t="s">
        <v>106</v>
      </c>
      <c r="D59" s="49"/>
      <c r="E59" s="49"/>
      <c r="F59" s="62" t="s">
        <v>103</v>
      </c>
      <c r="G59" s="49"/>
      <c r="H59" s="48"/>
      <c r="I59" s="60"/>
      <c r="J59" s="59"/>
      <c r="K59" s="58" t="s">
        <v>102</v>
      </c>
    </row>
    <row r="60" spans="2:11" x14ac:dyDescent="0.25">
      <c r="B60" s="64" t="s">
        <v>105</v>
      </c>
      <c r="C60" s="49" t="s">
        <v>104</v>
      </c>
      <c r="D60" s="49"/>
      <c r="E60" s="63"/>
      <c r="F60" s="62" t="s">
        <v>103</v>
      </c>
      <c r="G60" s="61"/>
      <c r="H60" s="48"/>
      <c r="I60" s="60">
        <f>E60*K49</f>
        <v>0</v>
      </c>
      <c r="J60" s="59"/>
      <c r="K60" s="58" t="s">
        <v>102</v>
      </c>
    </row>
    <row r="61" spans="2:11" ht="13" x14ac:dyDescent="0.3">
      <c r="B61" s="57" t="s">
        <v>9</v>
      </c>
      <c r="C61" s="56"/>
      <c r="D61" s="56"/>
      <c r="E61" s="56"/>
      <c r="F61" s="56"/>
      <c r="G61" s="56"/>
      <c r="H61" s="55"/>
      <c r="I61" s="55"/>
      <c r="J61" s="54" t="s">
        <v>101</v>
      </c>
      <c r="K61" s="53">
        <f>SUM(I59:I60)</f>
        <v>0</v>
      </c>
    </row>
    <row r="62" spans="2:11" ht="13" x14ac:dyDescent="0.3">
      <c r="B62" s="52"/>
      <c r="C62" s="49"/>
      <c r="D62" s="49"/>
      <c r="E62" s="49"/>
      <c r="F62" s="49"/>
      <c r="G62" s="49"/>
      <c r="H62" s="48"/>
      <c r="I62" s="48"/>
      <c r="J62" s="51"/>
      <c r="K62" s="47"/>
    </row>
    <row r="63" spans="2:11" x14ac:dyDescent="0.25">
      <c r="B63" s="50"/>
      <c r="C63" s="49"/>
      <c r="D63" s="49"/>
      <c r="E63" s="49"/>
      <c r="F63" s="49"/>
      <c r="G63" s="49"/>
      <c r="H63" s="48"/>
      <c r="I63" s="48"/>
      <c r="J63" s="48"/>
      <c r="K63" s="47"/>
    </row>
    <row r="64" spans="2:11" ht="34.5" customHeight="1" thickBot="1" x14ac:dyDescent="0.35">
      <c r="B64" s="46" t="s">
        <v>10</v>
      </c>
      <c r="C64" s="45"/>
      <c r="D64" s="45"/>
      <c r="E64" s="45"/>
      <c r="F64" s="45"/>
      <c r="G64" s="44"/>
      <c r="H64" s="43"/>
      <c r="I64" s="43"/>
      <c r="J64" s="42" t="s">
        <v>100</v>
      </c>
      <c r="K64" s="41">
        <f>K49+K55+K61</f>
        <v>151592.03400000001</v>
      </c>
    </row>
    <row r="65" ht="13" thickTop="1" x14ac:dyDescent="0.25"/>
  </sheetData>
  <mergeCells count="7">
    <mergeCell ref="E46:H46"/>
    <mergeCell ref="E49:H49"/>
    <mergeCell ref="B1:K1"/>
    <mergeCell ref="B2:K2"/>
    <mergeCell ref="B8:K8"/>
    <mergeCell ref="J3:K3"/>
    <mergeCell ref="E32:H32"/>
  </mergeCells>
  <printOptions horizontalCentered="1"/>
  <pageMargins left="0.33" right="0.41" top="0.56000000000000005" bottom="0.52" header="0.3" footer="0.3"/>
  <pageSetup scale="50" fitToHeight="0" orientation="portrait" r:id="rId1"/>
  <headerFooter>
    <oddFooter>&amp;LUAF
PM&amp;Y2.5&amp;Y Serious NAA BACT Analysis&amp;CPage 64&amp;RJanuary 2017</oddFoot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B1:L51"/>
  <sheetViews>
    <sheetView tabSelected="1" view="pageLayout" topLeftCell="B19" zoomScale="70" zoomScaleNormal="100" zoomScalePageLayoutView="70" workbookViewId="0">
      <selection activeCell="H45" sqref="H45"/>
    </sheetView>
  </sheetViews>
  <sheetFormatPr defaultColWidth="8.81640625" defaultRowHeight="12.5" x14ac:dyDescent="0.25"/>
  <cols>
    <col min="1" max="1" width="3" style="40" customWidth="1"/>
    <col min="2" max="3" width="6" style="40" customWidth="1"/>
    <col min="4" max="4" width="52.26953125" style="40" customWidth="1"/>
    <col min="5" max="5" width="11.54296875" style="40" bestFit="1" customWidth="1"/>
    <col min="6" max="6" width="13.1796875" style="40" customWidth="1"/>
    <col min="7" max="7" width="15.453125" style="40" customWidth="1"/>
    <col min="8" max="8" width="24" style="40" customWidth="1"/>
    <col min="9" max="9" width="18.7265625" style="40" customWidth="1"/>
    <col min="10" max="10" width="8.81640625" style="40"/>
    <col min="11" max="11" width="13.26953125" style="40" customWidth="1"/>
    <col min="12" max="16384" width="8.81640625" style="40"/>
  </cols>
  <sheetData>
    <row r="1" spans="2:11" ht="14" x14ac:dyDescent="0.3">
      <c r="B1" s="1351" t="s">
        <v>349</v>
      </c>
      <c r="C1" s="1351"/>
      <c r="D1" s="1351"/>
      <c r="E1" s="1351"/>
      <c r="F1" s="1351"/>
      <c r="G1" s="1351"/>
      <c r="H1" s="1351"/>
      <c r="I1" s="1351"/>
      <c r="J1" s="1351"/>
      <c r="K1" s="1351"/>
    </row>
    <row r="2" spans="2:11" ht="14" x14ac:dyDescent="0.3">
      <c r="B2" s="1351" t="s">
        <v>251</v>
      </c>
      <c r="C2" s="1351"/>
      <c r="D2" s="1351"/>
      <c r="E2" s="1351"/>
      <c r="F2" s="1351"/>
      <c r="G2" s="1351"/>
      <c r="H2" s="1351"/>
      <c r="I2" s="1351"/>
      <c r="J2" s="1351"/>
      <c r="K2" s="1351"/>
    </row>
    <row r="3" spans="2:11" ht="13" thickBot="1" x14ac:dyDescent="0.3">
      <c r="I3" s="1439" t="s">
        <v>230</v>
      </c>
      <c r="J3" s="1440"/>
      <c r="K3" s="1441"/>
    </row>
    <row r="4" spans="2:11" ht="13.5" thickTop="1" x14ac:dyDescent="0.3">
      <c r="B4" s="122" t="s">
        <v>229</v>
      </c>
      <c r="C4" s="179"/>
      <c r="D4" s="121"/>
      <c r="E4" s="121"/>
      <c r="F4" s="121"/>
      <c r="G4" s="121"/>
      <c r="H4" s="121"/>
      <c r="I4" s="121"/>
      <c r="J4" s="120" t="s">
        <v>181</v>
      </c>
      <c r="K4" s="119">
        <v>42356</v>
      </c>
    </row>
    <row r="5" spans="2:11" ht="15.5" x14ac:dyDescent="0.4">
      <c r="B5" s="50" t="s">
        <v>228</v>
      </c>
      <c r="C5" s="49"/>
      <c r="D5" s="118" t="s">
        <v>308</v>
      </c>
      <c r="E5" s="49"/>
      <c r="F5" s="49"/>
      <c r="G5" s="49"/>
      <c r="H5" s="49"/>
      <c r="I5" s="49"/>
      <c r="J5" s="76" t="s">
        <v>179</v>
      </c>
      <c r="K5" s="117" t="s">
        <v>227</v>
      </c>
    </row>
    <row r="6" spans="2:11" x14ac:dyDescent="0.25">
      <c r="B6" s="50"/>
      <c r="C6" s="49"/>
      <c r="D6" s="49"/>
      <c r="E6" s="49"/>
      <c r="F6" s="49"/>
      <c r="G6" s="49"/>
      <c r="H6" s="49"/>
      <c r="I6" s="49"/>
      <c r="J6" s="76" t="s">
        <v>177</v>
      </c>
      <c r="K6" s="117" t="s">
        <v>176</v>
      </c>
    </row>
    <row r="7" spans="2:11" ht="13" thickBot="1" x14ac:dyDescent="0.3">
      <c r="B7" s="116"/>
      <c r="C7" s="115"/>
      <c r="D7" s="115"/>
      <c r="E7" s="115"/>
      <c r="F7" s="115"/>
      <c r="G7" s="115"/>
      <c r="H7" s="115"/>
      <c r="I7" s="115"/>
      <c r="J7" s="114" t="s">
        <v>175</v>
      </c>
      <c r="K7" s="113" t="s">
        <v>174</v>
      </c>
    </row>
    <row r="8" spans="2:11" ht="13.5" thickBot="1" x14ac:dyDescent="0.35">
      <c r="B8" s="1433" t="s">
        <v>11</v>
      </c>
      <c r="C8" s="1434"/>
      <c r="D8" s="1434"/>
      <c r="E8" s="1434"/>
      <c r="F8" s="1434"/>
      <c r="G8" s="1434"/>
      <c r="H8" s="1434"/>
      <c r="I8" s="1434"/>
      <c r="J8" s="1434"/>
      <c r="K8" s="1435"/>
    </row>
    <row r="9" spans="2:11" ht="26" x14ac:dyDescent="0.3">
      <c r="B9" s="178" t="s">
        <v>12</v>
      </c>
      <c r="C9" s="177"/>
      <c r="D9" s="131"/>
      <c r="E9" s="176" t="s">
        <v>173</v>
      </c>
      <c r="F9" s="176" t="s">
        <v>172</v>
      </c>
      <c r="G9" s="175" t="s">
        <v>171</v>
      </c>
      <c r="H9" s="174" t="s">
        <v>170</v>
      </c>
      <c r="I9" s="174" t="s">
        <v>169</v>
      </c>
      <c r="J9" s="131"/>
      <c r="K9" s="173" t="s">
        <v>226</v>
      </c>
    </row>
    <row r="10" spans="2:11" x14ac:dyDescent="0.25">
      <c r="B10" s="64" t="s">
        <v>168</v>
      </c>
      <c r="C10" s="49" t="s">
        <v>225</v>
      </c>
      <c r="D10" s="49"/>
      <c r="E10" s="172">
        <f>E12/3</f>
        <v>60.833333333333336</v>
      </c>
      <c r="F10" s="62" t="s">
        <v>155</v>
      </c>
      <c r="G10" s="71">
        <v>105</v>
      </c>
      <c r="H10" s="60"/>
      <c r="I10" s="60">
        <f>E10*G10</f>
        <v>6387.5</v>
      </c>
      <c r="J10" s="158"/>
      <c r="K10" s="74">
        <f>I10</f>
        <v>6387.5</v>
      </c>
    </row>
    <row r="11" spans="2:11" x14ac:dyDescent="0.25">
      <c r="B11" s="64" t="s">
        <v>144</v>
      </c>
      <c r="C11" s="49" t="s">
        <v>224</v>
      </c>
      <c r="D11" s="49"/>
      <c r="E11" s="172">
        <f>E12/2</f>
        <v>91.25</v>
      </c>
      <c r="F11" s="62" t="s">
        <v>155</v>
      </c>
      <c r="G11" s="71">
        <v>125</v>
      </c>
      <c r="H11" s="60"/>
      <c r="I11" s="60">
        <f>E11*G11</f>
        <v>11406.25</v>
      </c>
      <c r="J11" s="158"/>
      <c r="K11" s="74">
        <f>I11</f>
        <v>11406.25</v>
      </c>
    </row>
    <row r="12" spans="2:11" x14ac:dyDescent="0.25">
      <c r="B12" s="64" t="s">
        <v>113</v>
      </c>
      <c r="C12" s="49" t="s">
        <v>223</v>
      </c>
      <c r="D12" s="49"/>
      <c r="E12" s="172">
        <f>365*E51/100</f>
        <v>182.5</v>
      </c>
      <c r="F12" s="85" t="s">
        <v>155</v>
      </c>
      <c r="G12" s="71">
        <v>105</v>
      </c>
      <c r="H12" s="60"/>
      <c r="I12" s="60">
        <f>E12*G12</f>
        <v>19162.5</v>
      </c>
      <c r="J12" s="158"/>
      <c r="K12" s="74">
        <f>I12</f>
        <v>19162.5</v>
      </c>
    </row>
    <row r="13" spans="2:11" x14ac:dyDescent="0.25">
      <c r="B13" s="64" t="s">
        <v>111</v>
      </c>
      <c r="C13" s="49" t="s">
        <v>222</v>
      </c>
      <c r="D13" s="49"/>
      <c r="E13" s="71"/>
      <c r="F13" s="85" t="s">
        <v>127</v>
      </c>
      <c r="G13" s="71"/>
      <c r="H13" s="161" t="s">
        <v>200</v>
      </c>
      <c r="I13" s="60"/>
      <c r="J13" s="158"/>
      <c r="K13" s="74"/>
    </row>
    <row r="14" spans="2:11" x14ac:dyDescent="0.25">
      <c r="B14" s="64" t="s">
        <v>107</v>
      </c>
      <c r="C14" s="49" t="s">
        <v>221</v>
      </c>
      <c r="D14" s="49"/>
      <c r="E14" s="62"/>
      <c r="F14" s="62"/>
      <c r="G14" s="60"/>
      <c r="H14" s="60"/>
      <c r="I14" s="60"/>
      <c r="J14" s="158"/>
      <c r="K14" s="74"/>
    </row>
    <row r="15" spans="2:11" x14ac:dyDescent="0.25">
      <c r="B15" s="50"/>
      <c r="C15" s="84" t="s">
        <v>142</v>
      </c>
      <c r="D15" s="49" t="s">
        <v>220</v>
      </c>
      <c r="E15" s="128">
        <f>(7.7*0.9)*(60/46.01)*2.2/0.5</f>
        <v>39.763529667463608</v>
      </c>
      <c r="F15" s="62" t="s">
        <v>135</v>
      </c>
      <c r="G15" s="71">
        <v>587</v>
      </c>
      <c r="H15" s="60">
        <f>E15*G15</f>
        <v>23341.191914801137</v>
      </c>
      <c r="I15" s="60"/>
      <c r="J15" s="158"/>
      <c r="K15" s="74">
        <f>H15</f>
        <v>23341.191914801137</v>
      </c>
    </row>
    <row r="16" spans="2:11" x14ac:dyDescent="0.25">
      <c r="B16" s="50"/>
      <c r="C16" s="84" t="s">
        <v>139</v>
      </c>
      <c r="D16" s="49" t="s">
        <v>219</v>
      </c>
      <c r="E16" s="128"/>
      <c r="F16" s="62" t="s">
        <v>218</v>
      </c>
      <c r="G16" s="71"/>
      <c r="H16" s="161" t="s">
        <v>200</v>
      </c>
      <c r="I16" s="60"/>
      <c r="J16" s="158"/>
      <c r="K16" s="74"/>
    </row>
    <row r="17" spans="2:12" x14ac:dyDescent="0.25">
      <c r="B17" s="64" t="s">
        <v>105</v>
      </c>
      <c r="C17" s="84" t="s">
        <v>217</v>
      </c>
      <c r="D17" s="49"/>
      <c r="E17" s="62"/>
      <c r="F17" s="62"/>
      <c r="G17" s="60"/>
      <c r="H17" s="60"/>
      <c r="I17" s="60"/>
      <c r="J17" s="158"/>
      <c r="K17" s="74"/>
    </row>
    <row r="18" spans="2:12" x14ac:dyDescent="0.25">
      <c r="B18" s="50"/>
      <c r="C18" s="171" t="s">
        <v>142</v>
      </c>
      <c r="D18" s="84" t="s">
        <v>216</v>
      </c>
      <c r="E18" s="72">
        <v>0.3</v>
      </c>
      <c r="F18" s="62" t="s">
        <v>215</v>
      </c>
      <c r="G18" s="60">
        <f>'3-16 - EU 27 - SCR TCI'!K32</f>
        <v>119835.6</v>
      </c>
      <c r="H18" s="48">
        <f>G18*E18</f>
        <v>35950.68</v>
      </c>
      <c r="I18" s="60"/>
      <c r="J18" s="158"/>
      <c r="K18" s="74">
        <f>H18*E24</f>
        <v>2858.2435331191441</v>
      </c>
    </row>
    <row r="19" spans="2:12" x14ac:dyDescent="0.25">
      <c r="B19" s="50"/>
      <c r="C19" s="171"/>
      <c r="D19" s="84" t="s">
        <v>214</v>
      </c>
      <c r="E19" s="170"/>
      <c r="F19" s="62"/>
      <c r="G19" s="60"/>
      <c r="H19" s="48"/>
      <c r="I19" s="60"/>
      <c r="J19" s="158"/>
      <c r="K19" s="74"/>
    </row>
    <row r="20" spans="2:12" x14ac:dyDescent="0.25">
      <c r="B20" s="50"/>
      <c r="C20" s="171" t="s">
        <v>139</v>
      </c>
      <c r="D20" s="84" t="s">
        <v>213</v>
      </c>
      <c r="E20" s="71">
        <v>8</v>
      </c>
      <c r="F20" s="62" t="s">
        <v>155</v>
      </c>
      <c r="G20" s="71">
        <v>105</v>
      </c>
      <c r="H20" s="161"/>
      <c r="I20" s="60">
        <f>E20*G20</f>
        <v>840</v>
      </c>
      <c r="J20" s="158"/>
      <c r="K20" s="74">
        <f>I20*E24</f>
        <v>66.783842970983613</v>
      </c>
    </row>
    <row r="21" spans="2:12" x14ac:dyDescent="0.25">
      <c r="B21" s="50"/>
      <c r="C21" s="171" t="s">
        <v>137</v>
      </c>
      <c r="D21" s="84" t="s">
        <v>212</v>
      </c>
      <c r="E21" s="72"/>
      <c r="F21" s="62" t="s">
        <v>152</v>
      </c>
      <c r="G21" s="60"/>
      <c r="H21" s="161" t="s">
        <v>200</v>
      </c>
      <c r="I21" s="60">
        <f>E21*(H15+K18)</f>
        <v>0</v>
      </c>
      <c r="J21" s="158"/>
      <c r="K21" s="74">
        <f>I21*E26</f>
        <v>0</v>
      </c>
    </row>
    <row r="22" spans="2:12" x14ac:dyDescent="0.25">
      <c r="B22" s="50"/>
      <c r="C22" s="171" t="s">
        <v>134</v>
      </c>
      <c r="D22" s="84" t="s">
        <v>211</v>
      </c>
      <c r="E22" s="72"/>
      <c r="F22" s="62" t="s">
        <v>152</v>
      </c>
      <c r="G22" s="60"/>
      <c r="H22" s="161" t="s">
        <v>200</v>
      </c>
      <c r="I22" s="60">
        <f>E22*H18</f>
        <v>0</v>
      </c>
      <c r="J22" s="158"/>
      <c r="K22" s="74">
        <f>I22*E26</f>
        <v>0</v>
      </c>
    </row>
    <row r="23" spans="2:12" x14ac:dyDescent="0.25">
      <c r="B23" s="50"/>
      <c r="C23" s="171"/>
      <c r="D23" s="84"/>
      <c r="E23" s="170"/>
      <c r="F23" s="62"/>
      <c r="G23" s="60"/>
      <c r="H23" s="60"/>
      <c r="I23" s="60"/>
      <c r="J23" s="158"/>
      <c r="K23" s="74"/>
    </row>
    <row r="24" spans="2:12" ht="13" x14ac:dyDescent="0.3">
      <c r="B24" s="169" t="s">
        <v>210</v>
      </c>
      <c r="C24" s="165"/>
      <c r="D24" s="49"/>
      <c r="E24" s="159">
        <f>($E$48/100)/(POWER(1+($E$48/100),($E$50)/($E$51/100))-1)</f>
        <v>7.9504574965456681E-2</v>
      </c>
      <c r="F24" s="76"/>
      <c r="G24" s="158"/>
      <c r="H24" s="60"/>
      <c r="I24" s="164"/>
      <c r="J24" s="60"/>
      <c r="K24" s="74"/>
    </row>
    <row r="25" spans="2:12" ht="13" x14ac:dyDescent="0.3">
      <c r="B25" s="169"/>
      <c r="C25" s="165"/>
      <c r="D25" s="49"/>
      <c r="E25" s="159"/>
      <c r="F25" s="76"/>
      <c r="G25" s="158"/>
      <c r="H25" s="60"/>
      <c r="I25" s="164"/>
      <c r="J25" s="60"/>
      <c r="K25" s="74"/>
    </row>
    <row r="26" spans="2:12" ht="13" x14ac:dyDescent="0.3">
      <c r="B26" s="153" t="s">
        <v>13</v>
      </c>
      <c r="C26" s="152"/>
      <c r="D26" s="168"/>
      <c r="E26" s="167"/>
      <c r="F26" s="149"/>
      <c r="G26" s="166"/>
      <c r="H26" s="79"/>
      <c r="I26" s="147"/>
      <c r="J26" s="141" t="s">
        <v>209</v>
      </c>
      <c r="K26" s="140">
        <f>SUM(K10:K22)</f>
        <v>63222.469290891262</v>
      </c>
    </row>
    <row r="27" spans="2:12" ht="13" x14ac:dyDescent="0.3">
      <c r="B27" s="50"/>
      <c r="C27" s="165"/>
      <c r="D27" s="49"/>
      <c r="E27" s="62"/>
      <c r="F27" s="49"/>
      <c r="G27" s="60"/>
      <c r="H27" s="60"/>
      <c r="I27" s="164"/>
      <c r="J27" s="163"/>
      <c r="K27" s="74"/>
    </row>
    <row r="28" spans="2:12" ht="13" x14ac:dyDescent="0.3">
      <c r="B28" s="162" t="s">
        <v>14</v>
      </c>
      <c r="C28" s="73"/>
      <c r="D28" s="59"/>
      <c r="E28" s="62"/>
      <c r="F28" s="62"/>
      <c r="G28" s="60"/>
      <c r="H28" s="60"/>
      <c r="I28" s="60"/>
      <c r="J28" s="60"/>
      <c r="K28" s="74"/>
    </row>
    <row r="29" spans="2:12" x14ac:dyDescent="0.25">
      <c r="B29" s="64" t="s">
        <v>208</v>
      </c>
      <c r="C29" s="49" t="s">
        <v>207</v>
      </c>
      <c r="D29" s="49"/>
      <c r="E29" s="71"/>
      <c r="F29" s="62" t="s">
        <v>155</v>
      </c>
      <c r="G29" s="71"/>
      <c r="H29" s="161" t="s">
        <v>200</v>
      </c>
      <c r="I29" s="60">
        <f>E29*G29</f>
        <v>0</v>
      </c>
      <c r="J29" s="158"/>
      <c r="K29" s="74">
        <f>I29</f>
        <v>0</v>
      </c>
    </row>
    <row r="30" spans="2:12" x14ac:dyDescent="0.25">
      <c r="B30" s="64" t="s">
        <v>206</v>
      </c>
      <c r="C30" s="49" t="s">
        <v>205</v>
      </c>
      <c r="D30" s="49"/>
      <c r="E30" s="71"/>
      <c r="F30" s="62" t="s">
        <v>155</v>
      </c>
      <c r="G30" s="71"/>
      <c r="H30" s="161" t="s">
        <v>200</v>
      </c>
      <c r="I30" s="60">
        <f>E30*G30</f>
        <v>0</v>
      </c>
      <c r="J30" s="158"/>
      <c r="K30" s="74">
        <f>I30</f>
        <v>0</v>
      </c>
    </row>
    <row r="31" spans="2:12" ht="13" x14ac:dyDescent="0.3">
      <c r="B31" s="64" t="s">
        <v>204</v>
      </c>
      <c r="C31" s="49" t="s">
        <v>203</v>
      </c>
      <c r="D31" s="49"/>
      <c r="E31" s="85"/>
      <c r="F31" s="85"/>
      <c r="G31" s="60"/>
      <c r="H31" s="161" t="s">
        <v>200</v>
      </c>
      <c r="I31" s="60"/>
      <c r="J31" s="158"/>
      <c r="K31" s="160"/>
      <c r="L31" s="154"/>
    </row>
    <row r="32" spans="2:12" ht="13" x14ac:dyDescent="0.3">
      <c r="B32" s="64" t="s">
        <v>202</v>
      </c>
      <c r="C32" s="49" t="s">
        <v>201</v>
      </c>
      <c r="D32" s="49"/>
      <c r="E32" s="85"/>
      <c r="F32" s="85"/>
      <c r="G32" s="60"/>
      <c r="H32" s="161" t="s">
        <v>200</v>
      </c>
      <c r="I32" s="60"/>
      <c r="J32" s="158"/>
      <c r="K32" s="160"/>
      <c r="L32" s="154"/>
    </row>
    <row r="33" spans="2:12" ht="13" x14ac:dyDescent="0.3">
      <c r="B33" s="64"/>
      <c r="C33" s="84" t="s">
        <v>199</v>
      </c>
      <c r="D33" s="49"/>
      <c r="E33" s="159">
        <f>($E$48/100*POWER((1+($E$48/100)),$E$49))/((POWER(((1+$E$48/100)),$E$49))-1)</f>
        <v>8.0242587190691314E-2</v>
      </c>
      <c r="F33" s="85"/>
      <c r="G33" s="60"/>
      <c r="H33" s="60"/>
      <c r="I33" s="60"/>
      <c r="J33" s="158"/>
      <c r="K33" s="157"/>
      <c r="L33" s="154"/>
    </row>
    <row r="34" spans="2:12" ht="13" x14ac:dyDescent="0.3">
      <c r="B34" s="64" t="s">
        <v>198</v>
      </c>
      <c r="C34" s="49" t="s">
        <v>197</v>
      </c>
      <c r="D34" s="49"/>
      <c r="E34" s="49"/>
      <c r="F34" s="49"/>
      <c r="G34" s="60"/>
      <c r="H34" s="156"/>
      <c r="I34" s="60"/>
      <c r="J34" s="155" t="s">
        <v>196</v>
      </c>
      <c r="K34" s="74">
        <f>E33*'3-16 - EU 27 - SCR TCI'!K64</f>
        <v>12164.137005659244</v>
      </c>
      <c r="L34" s="154"/>
    </row>
    <row r="35" spans="2:12" x14ac:dyDescent="0.25">
      <c r="B35" s="50"/>
      <c r="C35" s="49"/>
      <c r="D35" s="49"/>
      <c r="E35" s="62"/>
      <c r="F35" s="49"/>
      <c r="G35" s="60"/>
      <c r="H35" s="60"/>
      <c r="I35" s="60"/>
      <c r="J35" s="60"/>
      <c r="K35" s="74"/>
    </row>
    <row r="36" spans="2:12" ht="13" x14ac:dyDescent="0.3">
      <c r="B36" s="153" t="s">
        <v>15</v>
      </c>
      <c r="C36" s="152"/>
      <c r="D36" s="151"/>
      <c r="E36" s="150"/>
      <c r="F36" s="149"/>
      <c r="G36" s="147"/>
      <c r="H36" s="148"/>
      <c r="I36" s="147"/>
      <c r="J36" s="141" t="s">
        <v>195</v>
      </c>
      <c r="K36" s="140">
        <f>SUM(K29:K34)</f>
        <v>12164.137005659244</v>
      </c>
    </row>
    <row r="37" spans="2:12" ht="13" x14ac:dyDescent="0.3">
      <c r="B37" s="78"/>
      <c r="C37" s="146"/>
      <c r="D37" s="49"/>
      <c r="E37" s="62"/>
      <c r="F37" s="49"/>
      <c r="G37" s="60"/>
      <c r="H37" s="60"/>
      <c r="I37" s="60"/>
      <c r="J37" s="60"/>
      <c r="K37" s="74"/>
    </row>
    <row r="38" spans="2:12" ht="13" x14ac:dyDescent="0.3">
      <c r="B38" s="145" t="s">
        <v>194</v>
      </c>
      <c r="C38" s="144"/>
      <c r="D38" s="80"/>
      <c r="E38" s="143"/>
      <c r="F38" s="80"/>
      <c r="G38" s="79"/>
      <c r="H38" s="142"/>
      <c r="I38" s="79"/>
      <c r="J38" s="141" t="s">
        <v>193</v>
      </c>
      <c r="K38" s="140">
        <f>K26+K36</f>
        <v>75386.606296550512</v>
      </c>
    </row>
    <row r="39" spans="2:12" ht="13" thickBot="1" x14ac:dyDescent="0.3">
      <c r="B39" s="50"/>
      <c r="C39" s="49"/>
      <c r="D39" s="49"/>
      <c r="E39" s="62"/>
      <c r="F39" s="49"/>
      <c r="G39" s="49"/>
      <c r="H39" s="49"/>
      <c r="I39" s="49"/>
      <c r="J39" s="49"/>
      <c r="K39" s="101"/>
    </row>
    <row r="40" spans="2:12" ht="13.5" thickBot="1" x14ac:dyDescent="0.35">
      <c r="B40" s="1436" t="s">
        <v>16</v>
      </c>
      <c r="C40" s="1437"/>
      <c r="D40" s="1437"/>
      <c r="E40" s="1437"/>
      <c r="F40" s="1437"/>
      <c r="G40" s="1437"/>
      <c r="H40" s="1437"/>
      <c r="I40" s="1437"/>
      <c r="J40" s="1437"/>
      <c r="K40" s="1438"/>
    </row>
    <row r="41" spans="2:12" x14ac:dyDescent="0.25">
      <c r="B41" s="50"/>
      <c r="C41" s="49"/>
      <c r="D41" s="49"/>
      <c r="E41" s="49"/>
      <c r="F41" s="49"/>
      <c r="G41" s="49"/>
      <c r="H41" s="49"/>
      <c r="I41" s="49"/>
      <c r="J41" s="49"/>
      <c r="K41" s="101"/>
    </row>
    <row r="42" spans="2:12" ht="13" x14ac:dyDescent="0.3">
      <c r="B42" s="52" t="s">
        <v>192</v>
      </c>
      <c r="C42" s="73"/>
      <c r="D42" s="49"/>
      <c r="E42" s="49"/>
      <c r="F42" s="49"/>
      <c r="G42" s="49"/>
      <c r="H42" s="49"/>
      <c r="I42" s="49"/>
      <c r="J42" s="139" t="s">
        <v>3</v>
      </c>
      <c r="K42" s="138">
        <f>7.7*(0.9)</f>
        <v>6.9300000000000006</v>
      </c>
    </row>
    <row r="43" spans="2:12" x14ac:dyDescent="0.25">
      <c r="B43" s="50"/>
      <c r="C43" s="49"/>
      <c r="D43" s="49"/>
      <c r="E43" s="49"/>
      <c r="F43" s="49"/>
      <c r="G43" s="49"/>
      <c r="H43" s="49"/>
      <c r="I43" s="49"/>
      <c r="J43" s="49"/>
      <c r="K43" s="101"/>
    </row>
    <row r="44" spans="2:12" ht="13.5" thickBot="1" x14ac:dyDescent="0.35">
      <c r="B44" s="137" t="s">
        <v>191</v>
      </c>
      <c r="C44" s="136"/>
      <c r="D44" s="135"/>
      <c r="E44" s="135"/>
      <c r="F44" s="135"/>
      <c r="G44" s="135"/>
      <c r="H44" s="44"/>
      <c r="I44" s="135"/>
      <c r="J44" s="134" t="s">
        <v>190</v>
      </c>
      <c r="K44" s="133">
        <f>K38/K42</f>
        <v>10878.298166890405</v>
      </c>
    </row>
    <row r="45" spans="2:12" ht="13" thickTop="1" x14ac:dyDescent="0.25"/>
    <row r="46" spans="2:12" ht="13" thickBot="1" x14ac:dyDescent="0.3"/>
    <row r="47" spans="2:12" ht="13" x14ac:dyDescent="0.3">
      <c r="D47" s="132" t="s">
        <v>189</v>
      </c>
      <c r="E47" s="131"/>
      <c r="F47" s="130"/>
      <c r="G47" s="129"/>
    </row>
    <row r="48" spans="2:12" x14ac:dyDescent="0.25">
      <c r="D48" s="127" t="s">
        <v>188</v>
      </c>
      <c r="E48" s="128">
        <v>5</v>
      </c>
      <c r="F48" s="126" t="s">
        <v>152</v>
      </c>
    </row>
    <row r="49" spans="4:6" x14ac:dyDescent="0.25">
      <c r="D49" s="127" t="s">
        <v>187</v>
      </c>
      <c r="E49" s="71">
        <v>20</v>
      </c>
      <c r="F49" s="126" t="s">
        <v>185</v>
      </c>
    </row>
    <row r="50" spans="4:6" x14ac:dyDescent="0.25">
      <c r="D50" s="127" t="s">
        <v>186</v>
      </c>
      <c r="E50" s="71">
        <v>5</v>
      </c>
      <c r="F50" s="126" t="s">
        <v>185</v>
      </c>
    </row>
    <row r="51" spans="4:6" ht="13" thickBot="1" x14ac:dyDescent="0.3">
      <c r="D51" s="125" t="s">
        <v>184</v>
      </c>
      <c r="E51" s="124">
        <v>50</v>
      </c>
      <c r="F51" s="123" t="s">
        <v>152</v>
      </c>
    </row>
  </sheetData>
  <mergeCells count="5">
    <mergeCell ref="B8:K8"/>
    <mergeCell ref="B40:K40"/>
    <mergeCell ref="I3:K3"/>
    <mergeCell ref="B1:K1"/>
    <mergeCell ref="B2:K2"/>
  </mergeCells>
  <printOptions horizontalCentered="1"/>
  <pageMargins left="0.33" right="0.41" top="0.56000000000000005" bottom="0.52" header="0.3" footer="0.3"/>
  <pageSetup scale="59" fitToHeight="0" orientation="portrait" r:id="rId1"/>
  <headerFooter>
    <oddFooter>&amp;LUAF
PM&amp;Y2.5&amp;Y Serious NAA BACT Analysis&amp;CPage 65&amp;RJanuary 2017</oddFooter>
  </headerFooter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view="pageLayout" zoomScaleNormal="80" workbookViewId="0">
      <selection activeCell="D18" sqref="D18"/>
    </sheetView>
  </sheetViews>
  <sheetFormatPr defaultRowHeight="14" x14ac:dyDescent="0.3"/>
  <cols>
    <col min="1" max="1" width="41.26953125" style="1059" customWidth="1"/>
    <col min="2" max="4" width="17.7265625" style="1059" customWidth="1"/>
    <col min="5" max="5" width="36.54296875" style="1059" customWidth="1"/>
    <col min="6" max="6" width="9.26953125" style="1059" bestFit="1" customWidth="1"/>
    <col min="7" max="247" width="9.1796875" style="1059"/>
    <col min="248" max="248" width="35.7265625" style="1059" customWidth="1"/>
    <col min="249" max="249" width="10.7265625" style="1059" customWidth="1"/>
    <col min="250" max="250" width="11" style="1059" customWidth="1"/>
    <col min="251" max="251" width="10.7265625" style="1059" customWidth="1"/>
    <col min="252" max="252" width="13.26953125" style="1059" customWidth="1"/>
    <col min="253" max="253" width="9.26953125" style="1059" bestFit="1" customWidth="1"/>
    <col min="254" max="260" width="9.1796875" style="1059" customWidth="1"/>
    <col min="261" max="261" width="9.26953125" style="1059" bestFit="1" customWidth="1"/>
    <col min="262" max="503" width="9.1796875" style="1059"/>
    <col min="504" max="504" width="35.7265625" style="1059" customWidth="1"/>
    <col min="505" max="505" width="10.7265625" style="1059" customWidth="1"/>
    <col min="506" max="506" width="11" style="1059" customWidth="1"/>
    <col min="507" max="507" width="10.7265625" style="1059" customWidth="1"/>
    <col min="508" max="508" width="13.26953125" style="1059" customWidth="1"/>
    <col min="509" max="509" width="9.26953125" style="1059" bestFit="1" customWidth="1"/>
    <col min="510" max="516" width="9.1796875" style="1059" customWidth="1"/>
    <col min="517" max="517" width="9.26953125" style="1059" bestFit="1" customWidth="1"/>
    <col min="518" max="759" width="9.1796875" style="1059"/>
    <col min="760" max="760" width="35.7265625" style="1059" customWidth="1"/>
    <col min="761" max="761" width="10.7265625" style="1059" customWidth="1"/>
    <col min="762" max="762" width="11" style="1059" customWidth="1"/>
    <col min="763" max="763" width="10.7265625" style="1059" customWidth="1"/>
    <col min="764" max="764" width="13.26953125" style="1059" customWidth="1"/>
    <col min="765" max="765" width="9.26953125" style="1059" bestFit="1" customWidth="1"/>
    <col min="766" max="772" width="9.1796875" style="1059" customWidth="1"/>
    <col min="773" max="773" width="9.26953125" style="1059" bestFit="1" customWidth="1"/>
    <col min="774" max="1015" width="9.1796875" style="1059"/>
    <col min="1016" max="1016" width="35.7265625" style="1059" customWidth="1"/>
    <col min="1017" max="1017" width="10.7265625" style="1059" customWidth="1"/>
    <col min="1018" max="1018" width="11" style="1059" customWidth="1"/>
    <col min="1019" max="1019" width="10.7265625" style="1059" customWidth="1"/>
    <col min="1020" max="1020" width="13.26953125" style="1059" customWidth="1"/>
    <col min="1021" max="1021" width="9.26953125" style="1059" bestFit="1" customWidth="1"/>
    <col min="1022" max="1028" width="9.1796875" style="1059" customWidth="1"/>
    <col min="1029" max="1029" width="9.26953125" style="1059" bestFit="1" customWidth="1"/>
    <col min="1030" max="1271" width="9.1796875" style="1059"/>
    <col min="1272" max="1272" width="35.7265625" style="1059" customWidth="1"/>
    <col min="1273" max="1273" width="10.7265625" style="1059" customWidth="1"/>
    <col min="1274" max="1274" width="11" style="1059" customWidth="1"/>
    <col min="1275" max="1275" width="10.7265625" style="1059" customWidth="1"/>
    <col min="1276" max="1276" width="13.26953125" style="1059" customWidth="1"/>
    <col min="1277" max="1277" width="9.26953125" style="1059" bestFit="1" customWidth="1"/>
    <col min="1278" max="1284" width="9.1796875" style="1059" customWidth="1"/>
    <col min="1285" max="1285" width="9.26953125" style="1059" bestFit="1" customWidth="1"/>
    <col min="1286" max="1527" width="9.1796875" style="1059"/>
    <col min="1528" max="1528" width="35.7265625" style="1059" customWidth="1"/>
    <col min="1529" max="1529" width="10.7265625" style="1059" customWidth="1"/>
    <col min="1530" max="1530" width="11" style="1059" customWidth="1"/>
    <col min="1531" max="1531" width="10.7265625" style="1059" customWidth="1"/>
    <col min="1532" max="1532" width="13.26953125" style="1059" customWidth="1"/>
    <col min="1533" max="1533" width="9.26953125" style="1059" bestFit="1" customWidth="1"/>
    <col min="1534" max="1540" width="9.1796875" style="1059" customWidth="1"/>
    <col min="1541" max="1541" width="9.26953125" style="1059" bestFit="1" customWidth="1"/>
    <col min="1542" max="1783" width="9.1796875" style="1059"/>
    <col min="1784" max="1784" width="35.7265625" style="1059" customWidth="1"/>
    <col min="1785" max="1785" width="10.7265625" style="1059" customWidth="1"/>
    <col min="1786" max="1786" width="11" style="1059" customWidth="1"/>
    <col min="1787" max="1787" width="10.7265625" style="1059" customWidth="1"/>
    <col min="1788" max="1788" width="13.26953125" style="1059" customWidth="1"/>
    <col min="1789" max="1789" width="9.26953125" style="1059" bestFit="1" customWidth="1"/>
    <col min="1790" max="1796" width="9.1796875" style="1059" customWidth="1"/>
    <col min="1797" max="1797" width="9.26953125" style="1059" bestFit="1" customWidth="1"/>
    <col min="1798" max="2039" width="9.1796875" style="1059"/>
    <col min="2040" max="2040" width="35.7265625" style="1059" customWidth="1"/>
    <col min="2041" max="2041" width="10.7265625" style="1059" customWidth="1"/>
    <col min="2042" max="2042" width="11" style="1059" customWidth="1"/>
    <col min="2043" max="2043" width="10.7265625" style="1059" customWidth="1"/>
    <col min="2044" max="2044" width="13.26953125" style="1059" customWidth="1"/>
    <col min="2045" max="2045" width="9.26953125" style="1059" bestFit="1" customWidth="1"/>
    <col min="2046" max="2052" width="9.1796875" style="1059" customWidth="1"/>
    <col min="2053" max="2053" width="9.26953125" style="1059" bestFit="1" customWidth="1"/>
    <col min="2054" max="2295" width="9.1796875" style="1059"/>
    <col min="2296" max="2296" width="35.7265625" style="1059" customWidth="1"/>
    <col min="2297" max="2297" width="10.7265625" style="1059" customWidth="1"/>
    <col min="2298" max="2298" width="11" style="1059" customWidth="1"/>
    <col min="2299" max="2299" width="10.7265625" style="1059" customWidth="1"/>
    <col min="2300" max="2300" width="13.26953125" style="1059" customWidth="1"/>
    <col min="2301" max="2301" width="9.26953125" style="1059" bestFit="1" customWidth="1"/>
    <col min="2302" max="2308" width="9.1796875" style="1059" customWidth="1"/>
    <col min="2309" max="2309" width="9.26953125" style="1059" bestFit="1" customWidth="1"/>
    <col min="2310" max="2551" width="9.1796875" style="1059"/>
    <col min="2552" max="2552" width="35.7265625" style="1059" customWidth="1"/>
    <col min="2553" max="2553" width="10.7265625" style="1059" customWidth="1"/>
    <col min="2554" max="2554" width="11" style="1059" customWidth="1"/>
    <col min="2555" max="2555" width="10.7265625" style="1059" customWidth="1"/>
    <col min="2556" max="2556" width="13.26953125" style="1059" customWidth="1"/>
    <col min="2557" max="2557" width="9.26953125" style="1059" bestFit="1" customWidth="1"/>
    <col min="2558" max="2564" width="9.1796875" style="1059" customWidth="1"/>
    <col min="2565" max="2565" width="9.26953125" style="1059" bestFit="1" customWidth="1"/>
    <col min="2566" max="2807" width="9.1796875" style="1059"/>
    <col min="2808" max="2808" width="35.7265625" style="1059" customWidth="1"/>
    <col min="2809" max="2809" width="10.7265625" style="1059" customWidth="1"/>
    <col min="2810" max="2810" width="11" style="1059" customWidth="1"/>
    <col min="2811" max="2811" width="10.7265625" style="1059" customWidth="1"/>
    <col min="2812" max="2812" width="13.26953125" style="1059" customWidth="1"/>
    <col min="2813" max="2813" width="9.26953125" style="1059" bestFit="1" customWidth="1"/>
    <col min="2814" max="2820" width="9.1796875" style="1059" customWidth="1"/>
    <col min="2821" max="2821" width="9.26953125" style="1059" bestFit="1" customWidth="1"/>
    <col min="2822" max="3063" width="9.1796875" style="1059"/>
    <col min="3064" max="3064" width="35.7265625" style="1059" customWidth="1"/>
    <col min="3065" max="3065" width="10.7265625" style="1059" customWidth="1"/>
    <col min="3066" max="3066" width="11" style="1059" customWidth="1"/>
    <col min="3067" max="3067" width="10.7265625" style="1059" customWidth="1"/>
    <col min="3068" max="3068" width="13.26953125" style="1059" customWidth="1"/>
    <col min="3069" max="3069" width="9.26953125" style="1059" bestFit="1" customWidth="1"/>
    <col min="3070" max="3076" width="9.1796875" style="1059" customWidth="1"/>
    <col min="3077" max="3077" width="9.26953125" style="1059" bestFit="1" customWidth="1"/>
    <col min="3078" max="3319" width="9.1796875" style="1059"/>
    <col min="3320" max="3320" width="35.7265625" style="1059" customWidth="1"/>
    <col min="3321" max="3321" width="10.7265625" style="1059" customWidth="1"/>
    <col min="3322" max="3322" width="11" style="1059" customWidth="1"/>
    <col min="3323" max="3323" width="10.7265625" style="1059" customWidth="1"/>
    <col min="3324" max="3324" width="13.26953125" style="1059" customWidth="1"/>
    <col min="3325" max="3325" width="9.26953125" style="1059" bestFit="1" customWidth="1"/>
    <col min="3326" max="3332" width="9.1796875" style="1059" customWidth="1"/>
    <col min="3333" max="3333" width="9.26953125" style="1059" bestFit="1" customWidth="1"/>
    <col min="3334" max="3575" width="9.1796875" style="1059"/>
    <col min="3576" max="3576" width="35.7265625" style="1059" customWidth="1"/>
    <col min="3577" max="3577" width="10.7265625" style="1059" customWidth="1"/>
    <col min="3578" max="3578" width="11" style="1059" customWidth="1"/>
    <col min="3579" max="3579" width="10.7265625" style="1059" customWidth="1"/>
    <col min="3580" max="3580" width="13.26953125" style="1059" customWidth="1"/>
    <col min="3581" max="3581" width="9.26953125" style="1059" bestFit="1" customWidth="1"/>
    <col min="3582" max="3588" width="9.1796875" style="1059" customWidth="1"/>
    <col min="3589" max="3589" width="9.26953125" style="1059" bestFit="1" customWidth="1"/>
    <col min="3590" max="3831" width="9.1796875" style="1059"/>
    <col min="3832" max="3832" width="35.7265625" style="1059" customWidth="1"/>
    <col min="3833" max="3833" width="10.7265625" style="1059" customWidth="1"/>
    <col min="3834" max="3834" width="11" style="1059" customWidth="1"/>
    <col min="3835" max="3835" width="10.7265625" style="1059" customWidth="1"/>
    <col min="3836" max="3836" width="13.26953125" style="1059" customWidth="1"/>
    <col min="3837" max="3837" width="9.26953125" style="1059" bestFit="1" customWidth="1"/>
    <col min="3838" max="3844" width="9.1796875" style="1059" customWidth="1"/>
    <col min="3845" max="3845" width="9.26953125" style="1059" bestFit="1" customWidth="1"/>
    <col min="3846" max="4087" width="9.1796875" style="1059"/>
    <col min="4088" max="4088" width="35.7265625" style="1059" customWidth="1"/>
    <col min="4089" max="4089" width="10.7265625" style="1059" customWidth="1"/>
    <col min="4090" max="4090" width="11" style="1059" customWidth="1"/>
    <col min="4091" max="4091" width="10.7265625" style="1059" customWidth="1"/>
    <col min="4092" max="4092" width="13.26953125" style="1059" customWidth="1"/>
    <col min="4093" max="4093" width="9.26953125" style="1059" bestFit="1" customWidth="1"/>
    <col min="4094" max="4100" width="9.1796875" style="1059" customWidth="1"/>
    <col min="4101" max="4101" width="9.26953125" style="1059" bestFit="1" customWidth="1"/>
    <col min="4102" max="4343" width="9.1796875" style="1059"/>
    <col min="4344" max="4344" width="35.7265625" style="1059" customWidth="1"/>
    <col min="4345" max="4345" width="10.7265625" style="1059" customWidth="1"/>
    <col min="4346" max="4346" width="11" style="1059" customWidth="1"/>
    <col min="4347" max="4347" width="10.7265625" style="1059" customWidth="1"/>
    <col min="4348" max="4348" width="13.26953125" style="1059" customWidth="1"/>
    <col min="4349" max="4349" width="9.26953125" style="1059" bestFit="1" customWidth="1"/>
    <col min="4350" max="4356" width="9.1796875" style="1059" customWidth="1"/>
    <col min="4357" max="4357" width="9.26953125" style="1059" bestFit="1" customWidth="1"/>
    <col min="4358" max="4599" width="9.1796875" style="1059"/>
    <col min="4600" max="4600" width="35.7265625" style="1059" customWidth="1"/>
    <col min="4601" max="4601" width="10.7265625" style="1059" customWidth="1"/>
    <col min="4602" max="4602" width="11" style="1059" customWidth="1"/>
    <col min="4603" max="4603" width="10.7265625" style="1059" customWidth="1"/>
    <col min="4604" max="4604" width="13.26953125" style="1059" customWidth="1"/>
    <col min="4605" max="4605" width="9.26953125" style="1059" bestFit="1" customWidth="1"/>
    <col min="4606" max="4612" width="9.1796875" style="1059" customWidth="1"/>
    <col min="4613" max="4613" width="9.26953125" style="1059" bestFit="1" customWidth="1"/>
    <col min="4614" max="4855" width="9.1796875" style="1059"/>
    <col min="4856" max="4856" width="35.7265625" style="1059" customWidth="1"/>
    <col min="4857" max="4857" width="10.7265625" style="1059" customWidth="1"/>
    <col min="4858" max="4858" width="11" style="1059" customWidth="1"/>
    <col min="4859" max="4859" width="10.7265625" style="1059" customWidth="1"/>
    <col min="4860" max="4860" width="13.26953125" style="1059" customWidth="1"/>
    <col min="4861" max="4861" width="9.26953125" style="1059" bestFit="1" customWidth="1"/>
    <col min="4862" max="4868" width="9.1796875" style="1059" customWidth="1"/>
    <col min="4869" max="4869" width="9.26953125" style="1059" bestFit="1" customWidth="1"/>
    <col min="4870" max="5111" width="9.1796875" style="1059"/>
    <col min="5112" max="5112" width="35.7265625" style="1059" customWidth="1"/>
    <col min="5113" max="5113" width="10.7265625" style="1059" customWidth="1"/>
    <col min="5114" max="5114" width="11" style="1059" customWidth="1"/>
    <col min="5115" max="5115" width="10.7265625" style="1059" customWidth="1"/>
    <col min="5116" max="5116" width="13.26953125" style="1059" customWidth="1"/>
    <col min="5117" max="5117" width="9.26953125" style="1059" bestFit="1" customWidth="1"/>
    <col min="5118" max="5124" width="9.1796875" style="1059" customWidth="1"/>
    <col min="5125" max="5125" width="9.26953125" style="1059" bestFit="1" customWidth="1"/>
    <col min="5126" max="5367" width="9.1796875" style="1059"/>
    <col min="5368" max="5368" width="35.7265625" style="1059" customWidth="1"/>
    <col min="5369" max="5369" width="10.7265625" style="1059" customWidth="1"/>
    <col min="5370" max="5370" width="11" style="1059" customWidth="1"/>
    <col min="5371" max="5371" width="10.7265625" style="1059" customWidth="1"/>
    <col min="5372" max="5372" width="13.26953125" style="1059" customWidth="1"/>
    <col min="5373" max="5373" width="9.26953125" style="1059" bestFit="1" customWidth="1"/>
    <col min="5374" max="5380" width="9.1796875" style="1059" customWidth="1"/>
    <col min="5381" max="5381" width="9.26953125" style="1059" bestFit="1" customWidth="1"/>
    <col min="5382" max="5623" width="9.1796875" style="1059"/>
    <col min="5624" max="5624" width="35.7265625" style="1059" customWidth="1"/>
    <col min="5625" max="5625" width="10.7265625" style="1059" customWidth="1"/>
    <col min="5626" max="5626" width="11" style="1059" customWidth="1"/>
    <col min="5627" max="5627" width="10.7265625" style="1059" customWidth="1"/>
    <col min="5628" max="5628" width="13.26953125" style="1059" customWidth="1"/>
    <col min="5629" max="5629" width="9.26953125" style="1059" bestFit="1" customWidth="1"/>
    <col min="5630" max="5636" width="9.1796875" style="1059" customWidth="1"/>
    <col min="5637" max="5637" width="9.26953125" style="1059" bestFit="1" customWidth="1"/>
    <col min="5638" max="5879" width="9.1796875" style="1059"/>
    <col min="5880" max="5880" width="35.7265625" style="1059" customWidth="1"/>
    <col min="5881" max="5881" width="10.7265625" style="1059" customWidth="1"/>
    <col min="5882" max="5882" width="11" style="1059" customWidth="1"/>
    <col min="5883" max="5883" width="10.7265625" style="1059" customWidth="1"/>
    <col min="5884" max="5884" width="13.26953125" style="1059" customWidth="1"/>
    <col min="5885" max="5885" width="9.26953125" style="1059" bestFit="1" customWidth="1"/>
    <col min="5886" max="5892" width="9.1796875" style="1059" customWidth="1"/>
    <col min="5893" max="5893" width="9.26953125" style="1059" bestFit="1" customWidth="1"/>
    <col min="5894" max="6135" width="9.1796875" style="1059"/>
    <col min="6136" max="6136" width="35.7265625" style="1059" customWidth="1"/>
    <col min="6137" max="6137" width="10.7265625" style="1059" customWidth="1"/>
    <col min="6138" max="6138" width="11" style="1059" customWidth="1"/>
    <col min="6139" max="6139" width="10.7265625" style="1059" customWidth="1"/>
    <col min="6140" max="6140" width="13.26953125" style="1059" customWidth="1"/>
    <col min="6141" max="6141" width="9.26953125" style="1059" bestFit="1" customWidth="1"/>
    <col min="6142" max="6148" width="9.1796875" style="1059" customWidth="1"/>
    <col min="6149" max="6149" width="9.26953125" style="1059" bestFit="1" customWidth="1"/>
    <col min="6150" max="6391" width="9.1796875" style="1059"/>
    <col min="6392" max="6392" width="35.7265625" style="1059" customWidth="1"/>
    <col min="6393" max="6393" width="10.7265625" style="1059" customWidth="1"/>
    <col min="6394" max="6394" width="11" style="1059" customWidth="1"/>
    <col min="6395" max="6395" width="10.7265625" style="1059" customWidth="1"/>
    <col min="6396" max="6396" width="13.26953125" style="1059" customWidth="1"/>
    <col min="6397" max="6397" width="9.26953125" style="1059" bestFit="1" customWidth="1"/>
    <col min="6398" max="6404" width="9.1796875" style="1059" customWidth="1"/>
    <col min="6405" max="6405" width="9.26953125" style="1059" bestFit="1" customWidth="1"/>
    <col min="6406" max="6647" width="9.1796875" style="1059"/>
    <col min="6648" max="6648" width="35.7265625" style="1059" customWidth="1"/>
    <col min="6649" max="6649" width="10.7265625" style="1059" customWidth="1"/>
    <col min="6650" max="6650" width="11" style="1059" customWidth="1"/>
    <col min="6651" max="6651" width="10.7265625" style="1059" customWidth="1"/>
    <col min="6652" max="6652" width="13.26953125" style="1059" customWidth="1"/>
    <col min="6653" max="6653" width="9.26953125" style="1059" bestFit="1" customWidth="1"/>
    <col min="6654" max="6660" width="9.1796875" style="1059" customWidth="1"/>
    <col min="6661" max="6661" width="9.26953125" style="1059" bestFit="1" customWidth="1"/>
    <col min="6662" max="6903" width="9.1796875" style="1059"/>
    <col min="6904" max="6904" width="35.7265625" style="1059" customWidth="1"/>
    <col min="6905" max="6905" width="10.7265625" style="1059" customWidth="1"/>
    <col min="6906" max="6906" width="11" style="1059" customWidth="1"/>
    <col min="6907" max="6907" width="10.7265625" style="1059" customWidth="1"/>
    <col min="6908" max="6908" width="13.26953125" style="1059" customWidth="1"/>
    <col min="6909" max="6909" width="9.26953125" style="1059" bestFit="1" customWidth="1"/>
    <col min="6910" max="6916" width="9.1796875" style="1059" customWidth="1"/>
    <col min="6917" max="6917" width="9.26953125" style="1059" bestFit="1" customWidth="1"/>
    <col min="6918" max="7159" width="9.1796875" style="1059"/>
    <col min="7160" max="7160" width="35.7265625" style="1059" customWidth="1"/>
    <col min="7161" max="7161" width="10.7265625" style="1059" customWidth="1"/>
    <col min="7162" max="7162" width="11" style="1059" customWidth="1"/>
    <col min="7163" max="7163" width="10.7265625" style="1059" customWidth="1"/>
    <col min="7164" max="7164" width="13.26953125" style="1059" customWidth="1"/>
    <col min="7165" max="7165" width="9.26953125" style="1059" bestFit="1" customWidth="1"/>
    <col min="7166" max="7172" width="9.1796875" style="1059" customWidth="1"/>
    <col min="7173" max="7173" width="9.26953125" style="1059" bestFit="1" customWidth="1"/>
    <col min="7174" max="7415" width="9.1796875" style="1059"/>
    <col min="7416" max="7416" width="35.7265625" style="1059" customWidth="1"/>
    <col min="7417" max="7417" width="10.7265625" style="1059" customWidth="1"/>
    <col min="7418" max="7418" width="11" style="1059" customWidth="1"/>
    <col min="7419" max="7419" width="10.7265625" style="1059" customWidth="1"/>
    <col min="7420" max="7420" width="13.26953125" style="1059" customWidth="1"/>
    <col min="7421" max="7421" width="9.26953125" style="1059" bestFit="1" customWidth="1"/>
    <col min="7422" max="7428" width="9.1796875" style="1059" customWidth="1"/>
    <col min="7429" max="7429" width="9.26953125" style="1059" bestFit="1" customWidth="1"/>
    <col min="7430" max="7671" width="9.1796875" style="1059"/>
    <col min="7672" max="7672" width="35.7265625" style="1059" customWidth="1"/>
    <col min="7673" max="7673" width="10.7265625" style="1059" customWidth="1"/>
    <col min="7674" max="7674" width="11" style="1059" customWidth="1"/>
    <col min="7675" max="7675" width="10.7265625" style="1059" customWidth="1"/>
    <col min="7676" max="7676" width="13.26953125" style="1059" customWidth="1"/>
    <col min="7677" max="7677" width="9.26953125" style="1059" bestFit="1" customWidth="1"/>
    <col min="7678" max="7684" width="9.1796875" style="1059" customWidth="1"/>
    <col min="7685" max="7685" width="9.26953125" style="1059" bestFit="1" customWidth="1"/>
    <col min="7686" max="7927" width="9.1796875" style="1059"/>
    <col min="7928" max="7928" width="35.7265625" style="1059" customWidth="1"/>
    <col min="7929" max="7929" width="10.7265625" style="1059" customWidth="1"/>
    <col min="7930" max="7930" width="11" style="1059" customWidth="1"/>
    <col min="7931" max="7931" width="10.7265625" style="1059" customWidth="1"/>
    <col min="7932" max="7932" width="13.26953125" style="1059" customWidth="1"/>
    <col min="7933" max="7933" width="9.26953125" style="1059" bestFit="1" customWidth="1"/>
    <col min="7934" max="7940" width="9.1796875" style="1059" customWidth="1"/>
    <col min="7941" max="7941" width="9.26953125" style="1059" bestFit="1" customWidth="1"/>
    <col min="7942" max="8183" width="9.1796875" style="1059"/>
    <col min="8184" max="8184" width="35.7265625" style="1059" customWidth="1"/>
    <col min="8185" max="8185" width="10.7265625" style="1059" customWidth="1"/>
    <col min="8186" max="8186" width="11" style="1059" customWidth="1"/>
    <col min="8187" max="8187" width="10.7265625" style="1059" customWidth="1"/>
    <col min="8188" max="8188" width="13.26953125" style="1059" customWidth="1"/>
    <col min="8189" max="8189" width="9.26953125" style="1059" bestFit="1" customWidth="1"/>
    <col min="8190" max="8196" width="9.1796875" style="1059" customWidth="1"/>
    <col min="8197" max="8197" width="9.26953125" style="1059" bestFit="1" customWidth="1"/>
    <col min="8198" max="8439" width="9.1796875" style="1059"/>
    <col min="8440" max="8440" width="35.7265625" style="1059" customWidth="1"/>
    <col min="8441" max="8441" width="10.7265625" style="1059" customWidth="1"/>
    <col min="8442" max="8442" width="11" style="1059" customWidth="1"/>
    <col min="8443" max="8443" width="10.7265625" style="1059" customWidth="1"/>
    <col min="8444" max="8444" width="13.26953125" style="1059" customWidth="1"/>
    <col min="8445" max="8445" width="9.26953125" style="1059" bestFit="1" customWidth="1"/>
    <col min="8446" max="8452" width="9.1796875" style="1059" customWidth="1"/>
    <col min="8453" max="8453" width="9.26953125" style="1059" bestFit="1" customWidth="1"/>
    <col min="8454" max="8695" width="9.1796875" style="1059"/>
    <col min="8696" max="8696" width="35.7265625" style="1059" customWidth="1"/>
    <col min="8697" max="8697" width="10.7265625" style="1059" customWidth="1"/>
    <col min="8698" max="8698" width="11" style="1059" customWidth="1"/>
    <col min="8699" max="8699" width="10.7265625" style="1059" customWidth="1"/>
    <col min="8700" max="8700" width="13.26953125" style="1059" customWidth="1"/>
    <col min="8701" max="8701" width="9.26953125" style="1059" bestFit="1" customWidth="1"/>
    <col min="8702" max="8708" width="9.1796875" style="1059" customWidth="1"/>
    <col min="8709" max="8709" width="9.26953125" style="1059" bestFit="1" customWidth="1"/>
    <col min="8710" max="8951" width="9.1796875" style="1059"/>
    <col min="8952" max="8952" width="35.7265625" style="1059" customWidth="1"/>
    <col min="8953" max="8953" width="10.7265625" style="1059" customWidth="1"/>
    <col min="8954" max="8954" width="11" style="1059" customWidth="1"/>
    <col min="8955" max="8955" width="10.7265625" style="1059" customWidth="1"/>
    <col min="8956" max="8956" width="13.26953125" style="1059" customWidth="1"/>
    <col min="8957" max="8957" width="9.26953125" style="1059" bestFit="1" customWidth="1"/>
    <col min="8958" max="8964" width="9.1796875" style="1059" customWidth="1"/>
    <col min="8965" max="8965" width="9.26953125" style="1059" bestFit="1" customWidth="1"/>
    <col min="8966" max="9207" width="9.1796875" style="1059"/>
    <col min="9208" max="9208" width="35.7265625" style="1059" customWidth="1"/>
    <col min="9209" max="9209" width="10.7265625" style="1059" customWidth="1"/>
    <col min="9210" max="9210" width="11" style="1059" customWidth="1"/>
    <col min="9211" max="9211" width="10.7265625" style="1059" customWidth="1"/>
    <col min="9212" max="9212" width="13.26953125" style="1059" customWidth="1"/>
    <col min="9213" max="9213" width="9.26953125" style="1059" bestFit="1" customWidth="1"/>
    <col min="9214" max="9220" width="9.1796875" style="1059" customWidth="1"/>
    <col min="9221" max="9221" width="9.26953125" style="1059" bestFit="1" customWidth="1"/>
    <col min="9222" max="9463" width="9.1796875" style="1059"/>
    <col min="9464" max="9464" width="35.7265625" style="1059" customWidth="1"/>
    <col min="9465" max="9465" width="10.7265625" style="1059" customWidth="1"/>
    <col min="9466" max="9466" width="11" style="1059" customWidth="1"/>
    <col min="9467" max="9467" width="10.7265625" style="1059" customWidth="1"/>
    <col min="9468" max="9468" width="13.26953125" style="1059" customWidth="1"/>
    <col min="9469" max="9469" width="9.26953125" style="1059" bestFit="1" customWidth="1"/>
    <col min="9470" max="9476" width="9.1796875" style="1059" customWidth="1"/>
    <col min="9477" max="9477" width="9.26953125" style="1059" bestFit="1" customWidth="1"/>
    <col min="9478" max="9719" width="9.1796875" style="1059"/>
    <col min="9720" max="9720" width="35.7265625" style="1059" customWidth="1"/>
    <col min="9721" max="9721" width="10.7265625" style="1059" customWidth="1"/>
    <col min="9722" max="9722" width="11" style="1059" customWidth="1"/>
    <col min="9723" max="9723" width="10.7265625" style="1059" customWidth="1"/>
    <col min="9724" max="9724" width="13.26953125" style="1059" customWidth="1"/>
    <col min="9725" max="9725" width="9.26953125" style="1059" bestFit="1" customWidth="1"/>
    <col min="9726" max="9732" width="9.1796875" style="1059" customWidth="1"/>
    <col min="9733" max="9733" width="9.26953125" style="1059" bestFit="1" customWidth="1"/>
    <col min="9734" max="9975" width="9.1796875" style="1059"/>
    <col min="9976" max="9976" width="35.7265625" style="1059" customWidth="1"/>
    <col min="9977" max="9977" width="10.7265625" style="1059" customWidth="1"/>
    <col min="9978" max="9978" width="11" style="1059" customWidth="1"/>
    <col min="9979" max="9979" width="10.7265625" style="1059" customWidth="1"/>
    <col min="9980" max="9980" width="13.26953125" style="1059" customWidth="1"/>
    <col min="9981" max="9981" width="9.26953125" style="1059" bestFit="1" customWidth="1"/>
    <col min="9982" max="9988" width="9.1796875" style="1059" customWidth="1"/>
    <col min="9989" max="9989" width="9.26953125" style="1059" bestFit="1" customWidth="1"/>
    <col min="9990" max="10231" width="9.1796875" style="1059"/>
    <col min="10232" max="10232" width="35.7265625" style="1059" customWidth="1"/>
    <col min="10233" max="10233" width="10.7265625" style="1059" customWidth="1"/>
    <col min="10234" max="10234" width="11" style="1059" customWidth="1"/>
    <col min="10235" max="10235" width="10.7265625" style="1059" customWidth="1"/>
    <col min="10236" max="10236" width="13.26953125" style="1059" customWidth="1"/>
    <col min="10237" max="10237" width="9.26953125" style="1059" bestFit="1" customWidth="1"/>
    <col min="10238" max="10244" width="9.1796875" style="1059" customWidth="1"/>
    <col min="10245" max="10245" width="9.26953125" style="1059" bestFit="1" customWidth="1"/>
    <col min="10246" max="10487" width="9.1796875" style="1059"/>
    <col min="10488" max="10488" width="35.7265625" style="1059" customWidth="1"/>
    <col min="10489" max="10489" width="10.7265625" style="1059" customWidth="1"/>
    <col min="10490" max="10490" width="11" style="1059" customWidth="1"/>
    <col min="10491" max="10491" width="10.7265625" style="1059" customWidth="1"/>
    <col min="10492" max="10492" width="13.26953125" style="1059" customWidth="1"/>
    <col min="10493" max="10493" width="9.26953125" style="1059" bestFit="1" customWidth="1"/>
    <col min="10494" max="10500" width="9.1796875" style="1059" customWidth="1"/>
    <col min="10501" max="10501" width="9.26953125" style="1059" bestFit="1" customWidth="1"/>
    <col min="10502" max="10743" width="9.1796875" style="1059"/>
    <col min="10744" max="10744" width="35.7265625" style="1059" customWidth="1"/>
    <col min="10745" max="10745" width="10.7265625" style="1059" customWidth="1"/>
    <col min="10746" max="10746" width="11" style="1059" customWidth="1"/>
    <col min="10747" max="10747" width="10.7265625" style="1059" customWidth="1"/>
    <col min="10748" max="10748" width="13.26953125" style="1059" customWidth="1"/>
    <col min="10749" max="10749" width="9.26953125" style="1059" bestFit="1" customWidth="1"/>
    <col min="10750" max="10756" width="9.1796875" style="1059" customWidth="1"/>
    <col min="10757" max="10757" width="9.26953125" style="1059" bestFit="1" customWidth="1"/>
    <col min="10758" max="10999" width="9.1796875" style="1059"/>
    <col min="11000" max="11000" width="35.7265625" style="1059" customWidth="1"/>
    <col min="11001" max="11001" width="10.7265625" style="1059" customWidth="1"/>
    <col min="11002" max="11002" width="11" style="1059" customWidth="1"/>
    <col min="11003" max="11003" width="10.7265625" style="1059" customWidth="1"/>
    <col min="11004" max="11004" width="13.26953125" style="1059" customWidth="1"/>
    <col min="11005" max="11005" width="9.26953125" style="1059" bestFit="1" customWidth="1"/>
    <col min="11006" max="11012" width="9.1796875" style="1059" customWidth="1"/>
    <col min="11013" max="11013" width="9.26953125" style="1059" bestFit="1" customWidth="1"/>
    <col min="11014" max="11255" width="9.1796875" style="1059"/>
    <col min="11256" max="11256" width="35.7265625" style="1059" customWidth="1"/>
    <col min="11257" max="11257" width="10.7265625" style="1059" customWidth="1"/>
    <col min="11258" max="11258" width="11" style="1059" customWidth="1"/>
    <col min="11259" max="11259" width="10.7265625" style="1059" customWidth="1"/>
    <col min="11260" max="11260" width="13.26953125" style="1059" customWidth="1"/>
    <col min="11261" max="11261" width="9.26953125" style="1059" bestFit="1" customWidth="1"/>
    <col min="11262" max="11268" width="9.1796875" style="1059" customWidth="1"/>
    <col min="11269" max="11269" width="9.26953125" style="1059" bestFit="1" customWidth="1"/>
    <col min="11270" max="11511" width="9.1796875" style="1059"/>
    <col min="11512" max="11512" width="35.7265625" style="1059" customWidth="1"/>
    <col min="11513" max="11513" width="10.7265625" style="1059" customWidth="1"/>
    <col min="11514" max="11514" width="11" style="1059" customWidth="1"/>
    <col min="11515" max="11515" width="10.7265625" style="1059" customWidth="1"/>
    <col min="11516" max="11516" width="13.26953125" style="1059" customWidth="1"/>
    <col min="11517" max="11517" width="9.26953125" style="1059" bestFit="1" customWidth="1"/>
    <col min="11518" max="11524" width="9.1796875" style="1059" customWidth="1"/>
    <col min="11525" max="11525" width="9.26953125" style="1059" bestFit="1" customWidth="1"/>
    <col min="11526" max="11767" width="9.1796875" style="1059"/>
    <col min="11768" max="11768" width="35.7265625" style="1059" customWidth="1"/>
    <col min="11769" max="11769" width="10.7265625" style="1059" customWidth="1"/>
    <col min="11770" max="11770" width="11" style="1059" customWidth="1"/>
    <col min="11771" max="11771" width="10.7265625" style="1059" customWidth="1"/>
    <col min="11772" max="11772" width="13.26953125" style="1059" customWidth="1"/>
    <col min="11773" max="11773" width="9.26953125" style="1059" bestFit="1" customWidth="1"/>
    <col min="11774" max="11780" width="9.1796875" style="1059" customWidth="1"/>
    <col min="11781" max="11781" width="9.26953125" style="1059" bestFit="1" customWidth="1"/>
    <col min="11782" max="12023" width="9.1796875" style="1059"/>
    <col min="12024" max="12024" width="35.7265625" style="1059" customWidth="1"/>
    <col min="12025" max="12025" width="10.7265625" style="1059" customWidth="1"/>
    <col min="12026" max="12026" width="11" style="1059" customWidth="1"/>
    <col min="12027" max="12027" width="10.7265625" style="1059" customWidth="1"/>
    <col min="12028" max="12028" width="13.26953125" style="1059" customWidth="1"/>
    <col min="12029" max="12029" width="9.26953125" style="1059" bestFit="1" customWidth="1"/>
    <col min="12030" max="12036" width="9.1796875" style="1059" customWidth="1"/>
    <col min="12037" max="12037" width="9.26953125" style="1059" bestFit="1" customWidth="1"/>
    <col min="12038" max="12279" width="9.1796875" style="1059"/>
    <col min="12280" max="12280" width="35.7265625" style="1059" customWidth="1"/>
    <col min="12281" max="12281" width="10.7265625" style="1059" customWidth="1"/>
    <col min="12282" max="12282" width="11" style="1059" customWidth="1"/>
    <col min="12283" max="12283" width="10.7265625" style="1059" customWidth="1"/>
    <col min="12284" max="12284" width="13.26953125" style="1059" customWidth="1"/>
    <col min="12285" max="12285" width="9.26953125" style="1059" bestFit="1" customWidth="1"/>
    <col min="12286" max="12292" width="9.1796875" style="1059" customWidth="1"/>
    <col min="12293" max="12293" width="9.26953125" style="1059" bestFit="1" customWidth="1"/>
    <col min="12294" max="12535" width="9.1796875" style="1059"/>
    <col min="12536" max="12536" width="35.7265625" style="1059" customWidth="1"/>
    <col min="12537" max="12537" width="10.7265625" style="1059" customWidth="1"/>
    <col min="12538" max="12538" width="11" style="1059" customWidth="1"/>
    <col min="12539" max="12539" width="10.7265625" style="1059" customWidth="1"/>
    <col min="12540" max="12540" width="13.26953125" style="1059" customWidth="1"/>
    <col min="12541" max="12541" width="9.26953125" style="1059" bestFit="1" customWidth="1"/>
    <col min="12542" max="12548" width="9.1796875" style="1059" customWidth="1"/>
    <col min="12549" max="12549" width="9.26953125" style="1059" bestFit="1" customWidth="1"/>
    <col min="12550" max="12791" width="9.1796875" style="1059"/>
    <col min="12792" max="12792" width="35.7265625" style="1059" customWidth="1"/>
    <col min="12793" max="12793" width="10.7265625" style="1059" customWidth="1"/>
    <col min="12794" max="12794" width="11" style="1059" customWidth="1"/>
    <col min="12795" max="12795" width="10.7265625" style="1059" customWidth="1"/>
    <col min="12796" max="12796" width="13.26953125" style="1059" customWidth="1"/>
    <col min="12797" max="12797" width="9.26953125" style="1059" bestFit="1" customWidth="1"/>
    <col min="12798" max="12804" width="9.1796875" style="1059" customWidth="1"/>
    <col min="12805" max="12805" width="9.26953125" style="1059" bestFit="1" customWidth="1"/>
    <col min="12806" max="13047" width="9.1796875" style="1059"/>
    <col min="13048" max="13048" width="35.7265625" style="1059" customWidth="1"/>
    <col min="13049" max="13049" width="10.7265625" style="1059" customWidth="1"/>
    <col min="13050" max="13050" width="11" style="1059" customWidth="1"/>
    <col min="13051" max="13051" width="10.7265625" style="1059" customWidth="1"/>
    <col min="13052" max="13052" width="13.26953125" style="1059" customWidth="1"/>
    <col min="13053" max="13053" width="9.26953125" style="1059" bestFit="1" customWidth="1"/>
    <col min="13054" max="13060" width="9.1796875" style="1059" customWidth="1"/>
    <col min="13061" max="13061" width="9.26953125" style="1059" bestFit="1" customWidth="1"/>
    <col min="13062" max="13303" width="9.1796875" style="1059"/>
    <col min="13304" max="13304" width="35.7265625" style="1059" customWidth="1"/>
    <col min="13305" max="13305" width="10.7265625" style="1059" customWidth="1"/>
    <col min="13306" max="13306" width="11" style="1059" customWidth="1"/>
    <col min="13307" max="13307" width="10.7265625" style="1059" customWidth="1"/>
    <col min="13308" max="13308" width="13.26953125" style="1059" customWidth="1"/>
    <col min="13309" max="13309" width="9.26953125" style="1059" bestFit="1" customWidth="1"/>
    <col min="13310" max="13316" width="9.1796875" style="1059" customWidth="1"/>
    <col min="13317" max="13317" width="9.26953125" style="1059" bestFit="1" customWidth="1"/>
    <col min="13318" max="13559" width="9.1796875" style="1059"/>
    <col min="13560" max="13560" width="35.7265625" style="1059" customWidth="1"/>
    <col min="13561" max="13561" width="10.7265625" style="1059" customWidth="1"/>
    <col min="13562" max="13562" width="11" style="1059" customWidth="1"/>
    <col min="13563" max="13563" width="10.7265625" style="1059" customWidth="1"/>
    <col min="13564" max="13564" width="13.26953125" style="1059" customWidth="1"/>
    <col min="13565" max="13565" width="9.26953125" style="1059" bestFit="1" customWidth="1"/>
    <col min="13566" max="13572" width="9.1796875" style="1059" customWidth="1"/>
    <col min="13573" max="13573" width="9.26953125" style="1059" bestFit="1" customWidth="1"/>
    <col min="13574" max="13815" width="9.1796875" style="1059"/>
    <col min="13816" max="13816" width="35.7265625" style="1059" customWidth="1"/>
    <col min="13817" max="13817" width="10.7265625" style="1059" customWidth="1"/>
    <col min="13818" max="13818" width="11" style="1059" customWidth="1"/>
    <col min="13819" max="13819" width="10.7265625" style="1059" customWidth="1"/>
    <col min="13820" max="13820" width="13.26953125" style="1059" customWidth="1"/>
    <col min="13821" max="13821" width="9.26953125" style="1059" bestFit="1" customWidth="1"/>
    <col min="13822" max="13828" width="9.1796875" style="1059" customWidth="1"/>
    <col min="13829" max="13829" width="9.26953125" style="1059" bestFit="1" customWidth="1"/>
    <col min="13830" max="14071" width="9.1796875" style="1059"/>
    <col min="14072" max="14072" width="35.7265625" style="1059" customWidth="1"/>
    <col min="14073" max="14073" width="10.7265625" style="1059" customWidth="1"/>
    <col min="14074" max="14074" width="11" style="1059" customWidth="1"/>
    <col min="14075" max="14075" width="10.7265625" style="1059" customWidth="1"/>
    <col min="14076" max="14076" width="13.26953125" style="1059" customWidth="1"/>
    <col min="14077" max="14077" width="9.26953125" style="1059" bestFit="1" customWidth="1"/>
    <col min="14078" max="14084" width="9.1796875" style="1059" customWidth="1"/>
    <col min="14085" max="14085" width="9.26953125" style="1059" bestFit="1" customWidth="1"/>
    <col min="14086" max="14327" width="9.1796875" style="1059"/>
    <col min="14328" max="14328" width="35.7265625" style="1059" customWidth="1"/>
    <col min="14329" max="14329" width="10.7265625" style="1059" customWidth="1"/>
    <col min="14330" max="14330" width="11" style="1059" customWidth="1"/>
    <col min="14331" max="14331" width="10.7265625" style="1059" customWidth="1"/>
    <col min="14332" max="14332" width="13.26953125" style="1059" customWidth="1"/>
    <col min="14333" max="14333" width="9.26953125" style="1059" bestFit="1" customWidth="1"/>
    <col min="14334" max="14340" width="9.1796875" style="1059" customWidth="1"/>
    <col min="14341" max="14341" width="9.26953125" style="1059" bestFit="1" customWidth="1"/>
    <col min="14342" max="14583" width="9.1796875" style="1059"/>
    <col min="14584" max="14584" width="35.7265625" style="1059" customWidth="1"/>
    <col min="14585" max="14585" width="10.7265625" style="1059" customWidth="1"/>
    <col min="14586" max="14586" width="11" style="1059" customWidth="1"/>
    <col min="14587" max="14587" width="10.7265625" style="1059" customWidth="1"/>
    <col min="14588" max="14588" width="13.26953125" style="1059" customWidth="1"/>
    <col min="14589" max="14589" width="9.26953125" style="1059" bestFit="1" customWidth="1"/>
    <col min="14590" max="14596" width="9.1796875" style="1059" customWidth="1"/>
    <col min="14597" max="14597" width="9.26953125" style="1059" bestFit="1" customWidth="1"/>
    <col min="14598" max="14839" width="9.1796875" style="1059"/>
    <col min="14840" max="14840" width="35.7265625" style="1059" customWidth="1"/>
    <col min="14841" max="14841" width="10.7265625" style="1059" customWidth="1"/>
    <col min="14842" max="14842" width="11" style="1059" customWidth="1"/>
    <col min="14843" max="14843" width="10.7265625" style="1059" customWidth="1"/>
    <col min="14844" max="14844" width="13.26953125" style="1059" customWidth="1"/>
    <col min="14845" max="14845" width="9.26953125" style="1059" bestFit="1" customWidth="1"/>
    <col min="14846" max="14852" width="9.1796875" style="1059" customWidth="1"/>
    <col min="14853" max="14853" width="9.26953125" style="1059" bestFit="1" customWidth="1"/>
    <col min="14854" max="15095" width="9.1796875" style="1059"/>
    <col min="15096" max="15096" width="35.7265625" style="1059" customWidth="1"/>
    <col min="15097" max="15097" width="10.7265625" style="1059" customWidth="1"/>
    <col min="15098" max="15098" width="11" style="1059" customWidth="1"/>
    <col min="15099" max="15099" width="10.7265625" style="1059" customWidth="1"/>
    <col min="15100" max="15100" width="13.26953125" style="1059" customWidth="1"/>
    <col min="15101" max="15101" width="9.26953125" style="1059" bestFit="1" customWidth="1"/>
    <col min="15102" max="15108" width="9.1796875" style="1059" customWidth="1"/>
    <col min="15109" max="15109" width="9.26953125" style="1059" bestFit="1" customWidth="1"/>
    <col min="15110" max="15351" width="9.1796875" style="1059"/>
    <col min="15352" max="15352" width="35.7265625" style="1059" customWidth="1"/>
    <col min="15353" max="15353" width="10.7265625" style="1059" customWidth="1"/>
    <col min="15354" max="15354" width="11" style="1059" customWidth="1"/>
    <col min="15355" max="15355" width="10.7265625" style="1059" customWidth="1"/>
    <col min="15356" max="15356" width="13.26953125" style="1059" customWidth="1"/>
    <col min="15357" max="15357" width="9.26953125" style="1059" bestFit="1" customWidth="1"/>
    <col min="15358" max="15364" width="9.1796875" style="1059" customWidth="1"/>
    <col min="15365" max="15365" width="9.26953125" style="1059" bestFit="1" customWidth="1"/>
    <col min="15366" max="15607" width="9.1796875" style="1059"/>
    <col min="15608" max="15608" width="35.7265625" style="1059" customWidth="1"/>
    <col min="15609" max="15609" width="10.7265625" style="1059" customWidth="1"/>
    <col min="15610" max="15610" width="11" style="1059" customWidth="1"/>
    <col min="15611" max="15611" width="10.7265625" style="1059" customWidth="1"/>
    <col min="15612" max="15612" width="13.26953125" style="1059" customWidth="1"/>
    <col min="15613" max="15613" width="9.26953125" style="1059" bestFit="1" customWidth="1"/>
    <col min="15614" max="15620" width="9.1796875" style="1059" customWidth="1"/>
    <col min="15621" max="15621" width="9.26953125" style="1059" bestFit="1" customWidth="1"/>
    <col min="15622" max="15863" width="9.1796875" style="1059"/>
    <col min="15864" max="15864" width="35.7265625" style="1059" customWidth="1"/>
    <col min="15865" max="15865" width="10.7265625" style="1059" customWidth="1"/>
    <col min="15866" max="15866" width="11" style="1059" customWidth="1"/>
    <col min="15867" max="15867" width="10.7265625" style="1059" customWidth="1"/>
    <col min="15868" max="15868" width="13.26953125" style="1059" customWidth="1"/>
    <col min="15869" max="15869" width="9.26953125" style="1059" bestFit="1" customWidth="1"/>
    <col min="15870" max="15876" width="9.1796875" style="1059" customWidth="1"/>
    <col min="15877" max="15877" width="9.26953125" style="1059" bestFit="1" customWidth="1"/>
    <col min="15878" max="16119" width="9.1796875" style="1059"/>
    <col min="16120" max="16120" width="35.7265625" style="1059" customWidth="1"/>
    <col min="16121" max="16121" width="10.7265625" style="1059" customWidth="1"/>
    <col min="16122" max="16122" width="11" style="1059" customWidth="1"/>
    <col min="16123" max="16123" width="10.7265625" style="1059" customWidth="1"/>
    <col min="16124" max="16124" width="13.26953125" style="1059" customWidth="1"/>
    <col min="16125" max="16125" width="9.26953125" style="1059" bestFit="1" customWidth="1"/>
    <col min="16126" max="16132" width="9.1796875" style="1059" customWidth="1"/>
    <col min="16133" max="16133" width="9.26953125" style="1059" bestFit="1" customWidth="1"/>
    <col min="16134" max="16384" width="9.1796875" style="1059"/>
  </cols>
  <sheetData>
    <row r="1" spans="1:6" ht="17" x14ac:dyDescent="0.45">
      <c r="A1" s="1444" t="s">
        <v>350</v>
      </c>
      <c r="B1" s="1444"/>
      <c r="C1" s="1444"/>
      <c r="D1" s="1444"/>
      <c r="E1" s="1444"/>
    </row>
    <row r="2" spans="1:6" x14ac:dyDescent="0.3">
      <c r="A2" s="1444" t="s">
        <v>44</v>
      </c>
      <c r="B2" s="1444"/>
      <c r="C2" s="1444"/>
      <c r="D2" s="1444"/>
      <c r="E2" s="1444"/>
    </row>
    <row r="3" spans="1:6" s="1061" customFormat="1" ht="14.5" thickBot="1" x14ac:dyDescent="0.35">
      <c r="A3" s="1060" t="s">
        <v>0</v>
      </c>
      <c r="B3" s="1060"/>
      <c r="C3" s="1060"/>
      <c r="D3" s="1060"/>
    </row>
    <row r="4" spans="1:6" s="1065" customFormat="1" ht="42.5" thickBot="1" x14ac:dyDescent="0.3">
      <c r="A4" s="1062" t="s">
        <v>45</v>
      </c>
      <c r="B4" s="1063" t="s">
        <v>239</v>
      </c>
      <c r="C4" s="1063" t="s">
        <v>238</v>
      </c>
      <c r="D4" s="1063" t="s">
        <v>237</v>
      </c>
      <c r="E4" s="1064" t="s">
        <v>330</v>
      </c>
    </row>
    <row r="5" spans="1:6" s="1070" customFormat="1" ht="14.5" thickTop="1" x14ac:dyDescent="0.3">
      <c r="A5" s="1066"/>
      <c r="B5" s="1067"/>
      <c r="C5" s="1067"/>
      <c r="D5" s="1068"/>
      <c r="E5" s="1069"/>
    </row>
    <row r="6" spans="1:6" s="1070" customFormat="1" x14ac:dyDescent="0.3">
      <c r="A6" s="1445" t="s">
        <v>252</v>
      </c>
      <c r="B6" s="1446"/>
      <c r="C6" s="1446"/>
      <c r="D6" s="1446"/>
      <c r="E6" s="1447"/>
    </row>
    <row r="7" spans="1:6" s="1070" customFormat="1" x14ac:dyDescent="0.3">
      <c r="A7" s="1071" t="str">
        <f>'3-3'!C6</f>
        <v>SCR + (CFB with staged combustion)</v>
      </c>
      <c r="B7" s="1072">
        <f>'3-4 - EU 113 - SCR TCI'!K64</f>
        <v>26740640</v>
      </c>
      <c r="C7" s="1072">
        <f>'3-5 - EU 113 - SCR CE'!K35</f>
        <v>5889641.7769444427</v>
      </c>
      <c r="D7" s="1072">
        <f>'3-5 - EU 113 - SCR CE'!K25</f>
        <v>1280157.0324129651</v>
      </c>
      <c r="E7" s="1073">
        <f>'3-5 - EU 113 - SCR CE'!K41</f>
        <v>28424.912050890165</v>
      </c>
    </row>
    <row r="8" spans="1:6" s="1070" customFormat="1" x14ac:dyDescent="0.3">
      <c r="A8" s="1074" t="str">
        <f>'3-3'!C7</f>
        <v>SNCR + (CFB with staged combustion)</v>
      </c>
      <c r="B8" s="1075">
        <f>'3-6 - EU 113 - SNCR TCI'!K61</f>
        <v>2960000</v>
      </c>
      <c r="C8" s="1075">
        <f>'3-7 - EU 113 - SNCR CE'!K29</f>
        <v>527764.4188773213</v>
      </c>
      <c r="D8" s="1075">
        <f>'3-7 - EU 113 - SNCR CE'!K19</f>
        <v>17527.01080432173</v>
      </c>
      <c r="E8" s="1073">
        <f>'3-7 - EU 113 - SNCR CE'!K35</f>
        <v>10192.437599021268</v>
      </c>
    </row>
    <row r="9" spans="1:6" s="1080" customFormat="1" x14ac:dyDescent="0.3">
      <c r="A9" s="1076" t="s">
        <v>80</v>
      </c>
      <c r="B9" s="1077" t="s">
        <v>46</v>
      </c>
      <c r="C9" s="1077" t="s">
        <v>46</v>
      </c>
      <c r="D9" s="1077" t="s">
        <v>46</v>
      </c>
      <c r="E9" s="1078" t="s">
        <v>46</v>
      </c>
      <c r="F9" s="1079"/>
    </row>
    <row r="10" spans="1:6" s="1080" customFormat="1" ht="12.65" customHeight="1" x14ac:dyDescent="0.3">
      <c r="A10" s="1081"/>
      <c r="B10" s="1082"/>
      <c r="C10" s="1082"/>
      <c r="D10" s="1082"/>
      <c r="E10" s="1083"/>
    </row>
    <row r="11" spans="1:6" s="1070" customFormat="1" x14ac:dyDescent="0.3">
      <c r="A11" s="1445" t="s">
        <v>277</v>
      </c>
      <c r="B11" s="1446"/>
      <c r="C11" s="1446"/>
      <c r="D11" s="1446"/>
      <c r="E11" s="1447"/>
    </row>
    <row r="12" spans="1:6" s="1070" customFormat="1" x14ac:dyDescent="0.3">
      <c r="A12" s="1084" t="s">
        <v>26</v>
      </c>
      <c r="B12" s="1072">
        <f>'3-8 - EU 3 - SCR TCI'!K65</f>
        <v>3434525</v>
      </c>
      <c r="C12" s="1085">
        <f>'3-9 - EU 3 - SCR CE'!K41</f>
        <v>992901.46741035441</v>
      </c>
      <c r="D12" s="1085">
        <f>'3-9 - EU 3 - SCR CE'!K31</f>
        <v>400866.62485565216</v>
      </c>
      <c r="E12" s="1073">
        <f>'3-9 - EU 3 - SCR CE'!K47</f>
        <v>8415.8456298555211</v>
      </c>
    </row>
    <row r="13" spans="1:6" s="1070" customFormat="1" ht="16.5" x14ac:dyDescent="0.3">
      <c r="A13" s="1084" t="s">
        <v>341</v>
      </c>
      <c r="B13" s="1072">
        <f>'3-10 - EU ID 3 LNB-FGR TCI'!K51</f>
        <v>1255695.1599999999</v>
      </c>
      <c r="C13" s="1085">
        <f>'3-11 - EU ID 3 LNB-FGR CE'!K25</f>
        <v>216453.59586763865</v>
      </c>
      <c r="D13" s="1077" t="s">
        <v>46</v>
      </c>
      <c r="E13" s="1073">
        <f>'3-11 - EU ID 3 LNB-FGR CE'!K31</f>
        <v>3633.8569425347869</v>
      </c>
    </row>
    <row r="14" spans="1:6" s="1080" customFormat="1" x14ac:dyDescent="0.3">
      <c r="A14" s="1076" t="s">
        <v>40</v>
      </c>
      <c r="B14" s="1077" t="s">
        <v>46</v>
      </c>
      <c r="C14" s="1077" t="s">
        <v>46</v>
      </c>
      <c r="D14" s="1077" t="s">
        <v>46</v>
      </c>
      <c r="E14" s="1078" t="s">
        <v>46</v>
      </c>
      <c r="F14" s="1079"/>
    </row>
    <row r="15" spans="1:6" s="1080" customFormat="1" x14ac:dyDescent="0.3">
      <c r="A15" s="1086"/>
      <c r="B15" s="1087"/>
      <c r="C15" s="1087"/>
      <c r="D15" s="1087"/>
      <c r="E15" s="1088"/>
      <c r="F15" s="1079"/>
    </row>
    <row r="16" spans="1:6" s="1070" customFormat="1" x14ac:dyDescent="0.3">
      <c r="A16" s="1445" t="s">
        <v>278</v>
      </c>
      <c r="B16" s="1446"/>
      <c r="C16" s="1446"/>
      <c r="D16" s="1446"/>
      <c r="E16" s="1447"/>
    </row>
    <row r="17" spans="1:6" s="1070" customFormat="1" x14ac:dyDescent="0.3">
      <c r="A17" s="1084" t="s">
        <v>282</v>
      </c>
      <c r="B17" s="1072">
        <f>'3-12 - EU ID 4 - LNB-FGR TCI'!K50</f>
        <v>1342628.3446003264</v>
      </c>
      <c r="C17" s="1085">
        <f>'3-13 EU ID 4 - LNB-FGR CE'!K25</f>
        <v>231438.92113317995</v>
      </c>
      <c r="D17" s="1077" t="s">
        <v>46</v>
      </c>
      <c r="E17" s="1073">
        <f>'3-13 EU ID 4 - LNB-FGR CE'!K31</f>
        <v>189311.75493173179</v>
      </c>
    </row>
    <row r="18" spans="1:6" s="1080" customFormat="1" x14ac:dyDescent="0.3">
      <c r="A18" s="1076" t="s">
        <v>40</v>
      </c>
      <c r="B18" s="1077" t="s">
        <v>46</v>
      </c>
      <c r="C18" s="1077" t="s">
        <v>46</v>
      </c>
      <c r="D18" s="1077" t="s">
        <v>46</v>
      </c>
      <c r="E18" s="1078" t="s">
        <v>46</v>
      </c>
      <c r="F18" s="1079"/>
    </row>
    <row r="19" spans="1:6" s="1080" customFormat="1" x14ac:dyDescent="0.3">
      <c r="A19" s="1086"/>
      <c r="B19" s="1087"/>
      <c r="C19" s="1087"/>
      <c r="D19" s="1087"/>
      <c r="E19" s="1088"/>
      <c r="F19" s="1079"/>
    </row>
    <row r="20" spans="1:6" s="1080" customFormat="1" x14ac:dyDescent="0.3">
      <c r="A20" s="1448" t="s">
        <v>356</v>
      </c>
      <c r="B20" s="1449"/>
      <c r="C20" s="1449"/>
      <c r="D20" s="1449"/>
      <c r="E20" s="1450"/>
      <c r="F20" s="1079"/>
    </row>
    <row r="21" spans="1:6" s="1080" customFormat="1" ht="28" x14ac:dyDescent="0.3">
      <c r="A21" s="1084" t="s">
        <v>357</v>
      </c>
      <c r="B21" s="1072">
        <f>'3-14 EU8 SCR TCI'!K65</f>
        <v>8526323.5199999996</v>
      </c>
      <c r="C21" s="1085">
        <f>'3-15 EU8 SCR CE'!K38</f>
        <v>940278.34764290403</v>
      </c>
      <c r="D21" s="1085">
        <f>'3-15 EU8 SCR CE'!K28</f>
        <v>684488.64204290404</v>
      </c>
      <c r="E21" s="1073">
        <f>'3-15 EU8 SCR CE'!K44</f>
        <v>26118.842990080666</v>
      </c>
      <c r="F21" s="1079"/>
    </row>
    <row r="22" spans="1:6" s="1080" customFormat="1" ht="28" x14ac:dyDescent="0.3">
      <c r="A22" s="1076" t="s">
        <v>353</v>
      </c>
      <c r="B22" s="1077" t="s">
        <v>46</v>
      </c>
      <c r="C22" s="1077" t="s">
        <v>46</v>
      </c>
      <c r="D22" s="1077" t="s">
        <v>46</v>
      </c>
      <c r="E22" s="1078" t="s">
        <v>46</v>
      </c>
      <c r="F22" s="1079"/>
    </row>
    <row r="23" spans="1:6" s="1080" customFormat="1" x14ac:dyDescent="0.3">
      <c r="A23" s="1081"/>
      <c r="B23" s="1082"/>
      <c r="C23" s="1082"/>
      <c r="D23" s="1082"/>
      <c r="E23" s="1083"/>
    </row>
    <row r="24" spans="1:6" s="1070" customFormat="1" x14ac:dyDescent="0.3">
      <c r="A24" s="1448" t="s">
        <v>99</v>
      </c>
      <c r="B24" s="1449"/>
      <c r="C24" s="1449"/>
      <c r="D24" s="1449"/>
      <c r="E24" s="1450"/>
      <c r="F24" s="1089"/>
    </row>
    <row r="25" spans="1:6" s="1070" customFormat="1" ht="28" x14ac:dyDescent="0.3">
      <c r="A25" s="1084" t="s">
        <v>323</v>
      </c>
      <c r="B25" s="1072">
        <f>'3-16 - EU 27 - SCR TCI'!K64</f>
        <v>151592.03400000001</v>
      </c>
      <c r="C25" s="1085">
        <f>'3-17 - EU 27 - SCR CE'!K38</f>
        <v>75386.606296550512</v>
      </c>
      <c r="D25" s="1085">
        <f>'3-17 - EU 27 - SCR CE'!K26</f>
        <v>63222.469290891262</v>
      </c>
      <c r="E25" s="1073">
        <f>'3-17 - EU 27 - SCR CE'!K44</f>
        <v>10878.298166890405</v>
      </c>
      <c r="F25" s="1090" t="s">
        <v>0</v>
      </c>
    </row>
    <row r="26" spans="1:6" s="1080" customFormat="1" ht="28.5" thickBot="1" x14ac:dyDescent="0.35">
      <c r="A26" s="1091" t="s">
        <v>312</v>
      </c>
      <c r="B26" s="1092" t="s">
        <v>46</v>
      </c>
      <c r="C26" s="1092" t="s">
        <v>46</v>
      </c>
      <c r="D26" s="1092" t="s">
        <v>46</v>
      </c>
      <c r="E26" s="1093" t="s">
        <v>46</v>
      </c>
      <c r="F26" s="1079"/>
    </row>
    <row r="27" spans="1:6" x14ac:dyDescent="0.3">
      <c r="E27" s="1094"/>
      <c r="F27" s="1094"/>
    </row>
    <row r="28" spans="1:6" ht="16.5" x14ac:dyDescent="0.3">
      <c r="A28" s="1094" t="s">
        <v>47</v>
      </c>
      <c r="B28" s="1443" t="s">
        <v>0</v>
      </c>
      <c r="C28" s="1443"/>
      <c r="D28" s="1443"/>
      <c r="E28" s="1443"/>
    </row>
    <row r="29" spans="1:6" ht="32.25" customHeight="1" x14ac:dyDescent="0.3">
      <c r="A29" s="1442" t="s">
        <v>342</v>
      </c>
      <c r="B29" s="1442"/>
      <c r="C29" s="1442"/>
      <c r="D29" s="1442"/>
      <c r="E29" s="1442"/>
    </row>
    <row r="30" spans="1:6" ht="16.5" x14ac:dyDescent="0.3">
      <c r="A30" s="1095" t="s">
        <v>0</v>
      </c>
      <c r="B30" s="1095"/>
      <c r="C30" s="1095"/>
      <c r="D30" s="1095"/>
      <c r="E30" s="1096"/>
    </row>
    <row r="31" spans="1:6" ht="16.5" x14ac:dyDescent="0.3">
      <c r="A31" s="1070"/>
      <c r="B31" s="1095"/>
      <c r="C31" s="1095"/>
      <c r="D31" s="1095"/>
      <c r="E31" s="1096"/>
    </row>
    <row r="32" spans="1:6" ht="16.5" x14ac:dyDescent="0.3">
      <c r="B32" s="1095"/>
      <c r="C32" s="1095"/>
      <c r="D32" s="1095"/>
      <c r="E32" s="1096"/>
    </row>
  </sheetData>
  <mergeCells count="9">
    <mergeCell ref="A29:E29"/>
    <mergeCell ref="B28:E28"/>
    <mergeCell ref="A1:E1"/>
    <mergeCell ref="A2:E2"/>
    <mergeCell ref="A6:E6"/>
    <mergeCell ref="A24:E24"/>
    <mergeCell ref="A11:E11"/>
    <mergeCell ref="A16:E16"/>
    <mergeCell ref="A20:E20"/>
  </mergeCells>
  <printOptions horizontalCentered="1"/>
  <pageMargins left="0.33" right="0.41" top="0.56000000000000005" bottom="0.52" header="0.3" footer="0.3"/>
  <pageSetup scale="72" fitToHeight="0" orientation="portrait" r:id="rId1"/>
  <headerFooter>
    <oddFooter>&amp;LUAF
PM&amp;Y2.5&amp;Y Serious NAA BACT Analysis&amp;CPage 66&amp;RJanuary 2017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view="pageLayout" zoomScaleNormal="100" workbookViewId="0">
      <selection activeCell="D21" sqref="D21"/>
    </sheetView>
  </sheetViews>
  <sheetFormatPr defaultRowHeight="14" x14ac:dyDescent="0.3"/>
  <cols>
    <col min="1" max="1" width="25.7265625" style="1094" customWidth="1"/>
    <col min="2" max="2" width="23.26953125" style="1094" customWidth="1"/>
    <col min="3" max="3" width="12.1796875" style="1094" customWidth="1"/>
    <col min="4" max="4" width="38.54296875" style="1094" customWidth="1"/>
    <col min="5" max="5" width="23.7265625" style="1094" customWidth="1"/>
    <col min="6" max="6" width="9.26953125" style="1094" bestFit="1" customWidth="1"/>
    <col min="7" max="244" width="8.81640625" style="1094"/>
    <col min="245" max="245" width="15.7265625" style="1094" customWidth="1"/>
    <col min="246" max="246" width="23.26953125" style="1094" customWidth="1"/>
    <col min="247" max="247" width="12.1796875" style="1094" customWidth="1"/>
    <col min="248" max="248" width="17.81640625" style="1094" customWidth="1"/>
    <col min="249" max="249" width="23.7265625" style="1094" customWidth="1"/>
    <col min="250" max="250" width="9.26953125" style="1094" bestFit="1" customWidth="1"/>
    <col min="251" max="257" width="9.1796875" style="1094" customWidth="1"/>
    <col min="258" max="258" width="9.26953125" style="1094" bestFit="1" customWidth="1"/>
    <col min="259" max="500" width="8.81640625" style="1094"/>
    <col min="501" max="501" width="15.7265625" style="1094" customWidth="1"/>
    <col min="502" max="502" width="23.26953125" style="1094" customWidth="1"/>
    <col min="503" max="503" width="12.1796875" style="1094" customWidth="1"/>
    <col min="504" max="504" width="17.81640625" style="1094" customWidth="1"/>
    <col min="505" max="505" width="23.7265625" style="1094" customWidth="1"/>
    <col min="506" max="506" width="9.26953125" style="1094" bestFit="1" customWidth="1"/>
    <col min="507" max="513" width="9.1796875" style="1094" customWidth="1"/>
    <col min="514" max="514" width="9.26953125" style="1094" bestFit="1" customWidth="1"/>
    <col min="515" max="756" width="8.81640625" style="1094"/>
    <col min="757" max="757" width="15.7265625" style="1094" customWidth="1"/>
    <col min="758" max="758" width="23.26953125" style="1094" customWidth="1"/>
    <col min="759" max="759" width="12.1796875" style="1094" customWidth="1"/>
    <col min="760" max="760" width="17.81640625" style="1094" customWidth="1"/>
    <col min="761" max="761" width="23.7265625" style="1094" customWidth="1"/>
    <col min="762" max="762" width="9.26953125" style="1094" bestFit="1" customWidth="1"/>
    <col min="763" max="769" width="9.1796875" style="1094" customWidth="1"/>
    <col min="770" max="770" width="9.26953125" style="1094" bestFit="1" customWidth="1"/>
    <col min="771" max="1012" width="8.81640625" style="1094"/>
    <col min="1013" max="1013" width="15.7265625" style="1094" customWidth="1"/>
    <col min="1014" max="1014" width="23.26953125" style="1094" customWidth="1"/>
    <col min="1015" max="1015" width="12.1796875" style="1094" customWidth="1"/>
    <col min="1016" max="1016" width="17.81640625" style="1094" customWidth="1"/>
    <col min="1017" max="1017" width="23.7265625" style="1094" customWidth="1"/>
    <col min="1018" max="1018" width="9.26953125" style="1094" bestFit="1" customWidth="1"/>
    <col min="1019" max="1025" width="9.1796875" style="1094" customWidth="1"/>
    <col min="1026" max="1026" width="9.26953125" style="1094" bestFit="1" customWidth="1"/>
    <col min="1027" max="1268" width="8.81640625" style="1094"/>
    <col min="1269" max="1269" width="15.7265625" style="1094" customWidth="1"/>
    <col min="1270" max="1270" width="23.26953125" style="1094" customWidth="1"/>
    <col min="1271" max="1271" width="12.1796875" style="1094" customWidth="1"/>
    <col min="1272" max="1272" width="17.81640625" style="1094" customWidth="1"/>
    <col min="1273" max="1273" width="23.7265625" style="1094" customWidth="1"/>
    <col min="1274" max="1274" width="9.26953125" style="1094" bestFit="1" customWidth="1"/>
    <col min="1275" max="1281" width="9.1796875" style="1094" customWidth="1"/>
    <col min="1282" max="1282" width="9.26953125" style="1094" bestFit="1" customWidth="1"/>
    <col min="1283" max="1524" width="8.81640625" style="1094"/>
    <col min="1525" max="1525" width="15.7265625" style="1094" customWidth="1"/>
    <col min="1526" max="1526" width="23.26953125" style="1094" customWidth="1"/>
    <col min="1527" max="1527" width="12.1796875" style="1094" customWidth="1"/>
    <col min="1528" max="1528" width="17.81640625" style="1094" customWidth="1"/>
    <col min="1529" max="1529" width="23.7265625" style="1094" customWidth="1"/>
    <col min="1530" max="1530" width="9.26953125" style="1094" bestFit="1" customWidth="1"/>
    <col min="1531" max="1537" width="9.1796875" style="1094" customWidth="1"/>
    <col min="1538" max="1538" width="9.26953125" style="1094" bestFit="1" customWidth="1"/>
    <col min="1539" max="1780" width="8.81640625" style="1094"/>
    <col min="1781" max="1781" width="15.7265625" style="1094" customWidth="1"/>
    <col min="1782" max="1782" width="23.26953125" style="1094" customWidth="1"/>
    <col min="1783" max="1783" width="12.1796875" style="1094" customWidth="1"/>
    <col min="1784" max="1784" width="17.81640625" style="1094" customWidth="1"/>
    <col min="1785" max="1785" width="23.7265625" style="1094" customWidth="1"/>
    <col min="1786" max="1786" width="9.26953125" style="1094" bestFit="1" customWidth="1"/>
    <col min="1787" max="1793" width="9.1796875" style="1094" customWidth="1"/>
    <col min="1794" max="1794" width="9.26953125" style="1094" bestFit="1" customWidth="1"/>
    <col min="1795" max="2036" width="8.81640625" style="1094"/>
    <col min="2037" max="2037" width="15.7265625" style="1094" customWidth="1"/>
    <col min="2038" max="2038" width="23.26953125" style="1094" customWidth="1"/>
    <col min="2039" max="2039" width="12.1796875" style="1094" customWidth="1"/>
    <col min="2040" max="2040" width="17.81640625" style="1094" customWidth="1"/>
    <col min="2041" max="2041" width="23.7265625" style="1094" customWidth="1"/>
    <col min="2042" max="2042" width="9.26953125" style="1094" bestFit="1" customWidth="1"/>
    <col min="2043" max="2049" width="9.1796875" style="1094" customWidth="1"/>
    <col min="2050" max="2050" width="9.26953125" style="1094" bestFit="1" customWidth="1"/>
    <col min="2051" max="2292" width="8.81640625" style="1094"/>
    <col min="2293" max="2293" width="15.7265625" style="1094" customWidth="1"/>
    <col min="2294" max="2294" width="23.26953125" style="1094" customWidth="1"/>
    <col min="2295" max="2295" width="12.1796875" style="1094" customWidth="1"/>
    <col min="2296" max="2296" width="17.81640625" style="1094" customWidth="1"/>
    <col min="2297" max="2297" width="23.7265625" style="1094" customWidth="1"/>
    <col min="2298" max="2298" width="9.26953125" style="1094" bestFit="1" customWidth="1"/>
    <col min="2299" max="2305" width="9.1796875" style="1094" customWidth="1"/>
    <col min="2306" max="2306" width="9.26953125" style="1094" bestFit="1" customWidth="1"/>
    <col min="2307" max="2548" width="8.81640625" style="1094"/>
    <col min="2549" max="2549" width="15.7265625" style="1094" customWidth="1"/>
    <col min="2550" max="2550" width="23.26953125" style="1094" customWidth="1"/>
    <col min="2551" max="2551" width="12.1796875" style="1094" customWidth="1"/>
    <col min="2552" max="2552" width="17.81640625" style="1094" customWidth="1"/>
    <col min="2553" max="2553" width="23.7265625" style="1094" customWidth="1"/>
    <col min="2554" max="2554" width="9.26953125" style="1094" bestFit="1" customWidth="1"/>
    <col min="2555" max="2561" width="9.1796875" style="1094" customWidth="1"/>
    <col min="2562" max="2562" width="9.26953125" style="1094" bestFit="1" customWidth="1"/>
    <col min="2563" max="2804" width="8.81640625" style="1094"/>
    <col min="2805" max="2805" width="15.7265625" style="1094" customWidth="1"/>
    <col min="2806" max="2806" width="23.26953125" style="1094" customWidth="1"/>
    <col min="2807" max="2807" width="12.1796875" style="1094" customWidth="1"/>
    <col min="2808" max="2808" width="17.81640625" style="1094" customWidth="1"/>
    <col min="2809" max="2809" width="23.7265625" style="1094" customWidth="1"/>
    <col min="2810" max="2810" width="9.26953125" style="1094" bestFit="1" customWidth="1"/>
    <col min="2811" max="2817" width="9.1796875" style="1094" customWidth="1"/>
    <col min="2818" max="2818" width="9.26953125" style="1094" bestFit="1" customWidth="1"/>
    <col min="2819" max="3060" width="8.81640625" style="1094"/>
    <col min="3061" max="3061" width="15.7265625" style="1094" customWidth="1"/>
    <col min="3062" max="3062" width="23.26953125" style="1094" customWidth="1"/>
    <col min="3063" max="3063" width="12.1796875" style="1094" customWidth="1"/>
    <col min="3064" max="3064" width="17.81640625" style="1094" customWidth="1"/>
    <col min="3065" max="3065" width="23.7265625" style="1094" customWidth="1"/>
    <col min="3066" max="3066" width="9.26953125" style="1094" bestFit="1" customWidth="1"/>
    <col min="3067" max="3073" width="9.1796875" style="1094" customWidth="1"/>
    <col min="3074" max="3074" width="9.26953125" style="1094" bestFit="1" customWidth="1"/>
    <col min="3075" max="3316" width="8.81640625" style="1094"/>
    <col min="3317" max="3317" width="15.7265625" style="1094" customWidth="1"/>
    <col min="3318" max="3318" width="23.26953125" style="1094" customWidth="1"/>
    <col min="3319" max="3319" width="12.1796875" style="1094" customWidth="1"/>
    <col min="3320" max="3320" width="17.81640625" style="1094" customWidth="1"/>
    <col min="3321" max="3321" width="23.7265625" style="1094" customWidth="1"/>
    <col min="3322" max="3322" width="9.26953125" style="1094" bestFit="1" customWidth="1"/>
    <col min="3323" max="3329" width="9.1796875" style="1094" customWidth="1"/>
    <col min="3330" max="3330" width="9.26953125" style="1094" bestFit="1" customWidth="1"/>
    <col min="3331" max="3572" width="8.81640625" style="1094"/>
    <col min="3573" max="3573" width="15.7265625" style="1094" customWidth="1"/>
    <col min="3574" max="3574" width="23.26953125" style="1094" customWidth="1"/>
    <col min="3575" max="3575" width="12.1796875" style="1094" customWidth="1"/>
    <col min="3576" max="3576" width="17.81640625" style="1094" customWidth="1"/>
    <col min="3577" max="3577" width="23.7265625" style="1094" customWidth="1"/>
    <col min="3578" max="3578" width="9.26953125" style="1094" bestFit="1" customWidth="1"/>
    <col min="3579" max="3585" width="9.1796875" style="1094" customWidth="1"/>
    <col min="3586" max="3586" width="9.26953125" style="1094" bestFit="1" customWidth="1"/>
    <col min="3587" max="3828" width="8.81640625" style="1094"/>
    <col min="3829" max="3829" width="15.7265625" style="1094" customWidth="1"/>
    <col min="3830" max="3830" width="23.26953125" style="1094" customWidth="1"/>
    <col min="3831" max="3831" width="12.1796875" style="1094" customWidth="1"/>
    <col min="3832" max="3832" width="17.81640625" style="1094" customWidth="1"/>
    <col min="3833" max="3833" width="23.7265625" style="1094" customWidth="1"/>
    <col min="3834" max="3834" width="9.26953125" style="1094" bestFit="1" customWidth="1"/>
    <col min="3835" max="3841" width="9.1796875" style="1094" customWidth="1"/>
    <col min="3842" max="3842" width="9.26953125" style="1094" bestFit="1" customWidth="1"/>
    <col min="3843" max="4084" width="8.81640625" style="1094"/>
    <col min="4085" max="4085" width="15.7265625" style="1094" customWidth="1"/>
    <col min="4086" max="4086" width="23.26953125" style="1094" customWidth="1"/>
    <col min="4087" max="4087" width="12.1796875" style="1094" customWidth="1"/>
    <col min="4088" max="4088" width="17.81640625" style="1094" customWidth="1"/>
    <col min="4089" max="4089" width="23.7265625" style="1094" customWidth="1"/>
    <col min="4090" max="4090" width="9.26953125" style="1094" bestFit="1" customWidth="1"/>
    <col min="4091" max="4097" width="9.1796875" style="1094" customWidth="1"/>
    <col min="4098" max="4098" width="9.26953125" style="1094" bestFit="1" customWidth="1"/>
    <col min="4099" max="4340" width="8.81640625" style="1094"/>
    <col min="4341" max="4341" width="15.7265625" style="1094" customWidth="1"/>
    <col min="4342" max="4342" width="23.26953125" style="1094" customWidth="1"/>
    <col min="4343" max="4343" width="12.1796875" style="1094" customWidth="1"/>
    <col min="4344" max="4344" width="17.81640625" style="1094" customWidth="1"/>
    <col min="4345" max="4345" width="23.7265625" style="1094" customWidth="1"/>
    <col min="4346" max="4346" width="9.26953125" style="1094" bestFit="1" customWidth="1"/>
    <col min="4347" max="4353" width="9.1796875" style="1094" customWidth="1"/>
    <col min="4354" max="4354" width="9.26953125" style="1094" bestFit="1" customWidth="1"/>
    <col min="4355" max="4596" width="8.81640625" style="1094"/>
    <col min="4597" max="4597" width="15.7265625" style="1094" customWidth="1"/>
    <col min="4598" max="4598" width="23.26953125" style="1094" customWidth="1"/>
    <col min="4599" max="4599" width="12.1796875" style="1094" customWidth="1"/>
    <col min="4600" max="4600" width="17.81640625" style="1094" customWidth="1"/>
    <col min="4601" max="4601" width="23.7265625" style="1094" customWidth="1"/>
    <col min="4602" max="4602" width="9.26953125" style="1094" bestFit="1" customWidth="1"/>
    <col min="4603" max="4609" width="9.1796875" style="1094" customWidth="1"/>
    <col min="4610" max="4610" width="9.26953125" style="1094" bestFit="1" customWidth="1"/>
    <col min="4611" max="4852" width="8.81640625" style="1094"/>
    <col min="4853" max="4853" width="15.7265625" style="1094" customWidth="1"/>
    <col min="4854" max="4854" width="23.26953125" style="1094" customWidth="1"/>
    <col min="4855" max="4855" width="12.1796875" style="1094" customWidth="1"/>
    <col min="4856" max="4856" width="17.81640625" style="1094" customWidth="1"/>
    <col min="4857" max="4857" width="23.7265625" style="1094" customWidth="1"/>
    <col min="4858" max="4858" width="9.26953125" style="1094" bestFit="1" customWidth="1"/>
    <col min="4859" max="4865" width="9.1796875" style="1094" customWidth="1"/>
    <col min="4866" max="4866" width="9.26953125" style="1094" bestFit="1" customWidth="1"/>
    <col min="4867" max="5108" width="8.81640625" style="1094"/>
    <col min="5109" max="5109" width="15.7265625" style="1094" customWidth="1"/>
    <col min="5110" max="5110" width="23.26953125" style="1094" customWidth="1"/>
    <col min="5111" max="5111" width="12.1796875" style="1094" customWidth="1"/>
    <col min="5112" max="5112" width="17.81640625" style="1094" customWidth="1"/>
    <col min="5113" max="5113" width="23.7265625" style="1094" customWidth="1"/>
    <col min="5114" max="5114" width="9.26953125" style="1094" bestFit="1" customWidth="1"/>
    <col min="5115" max="5121" width="9.1796875" style="1094" customWidth="1"/>
    <col min="5122" max="5122" width="9.26953125" style="1094" bestFit="1" customWidth="1"/>
    <col min="5123" max="5364" width="8.81640625" style="1094"/>
    <col min="5365" max="5365" width="15.7265625" style="1094" customWidth="1"/>
    <col min="5366" max="5366" width="23.26953125" style="1094" customWidth="1"/>
    <col min="5367" max="5367" width="12.1796875" style="1094" customWidth="1"/>
    <col min="5368" max="5368" width="17.81640625" style="1094" customWidth="1"/>
    <col min="5369" max="5369" width="23.7265625" style="1094" customWidth="1"/>
    <col min="5370" max="5370" width="9.26953125" style="1094" bestFit="1" customWidth="1"/>
    <col min="5371" max="5377" width="9.1796875" style="1094" customWidth="1"/>
    <col min="5378" max="5378" width="9.26953125" style="1094" bestFit="1" customWidth="1"/>
    <col min="5379" max="5620" width="8.81640625" style="1094"/>
    <col min="5621" max="5621" width="15.7265625" style="1094" customWidth="1"/>
    <col min="5622" max="5622" width="23.26953125" style="1094" customWidth="1"/>
    <col min="5623" max="5623" width="12.1796875" style="1094" customWidth="1"/>
    <col min="5624" max="5624" width="17.81640625" style="1094" customWidth="1"/>
    <col min="5625" max="5625" width="23.7265625" style="1094" customWidth="1"/>
    <col min="5626" max="5626" width="9.26953125" style="1094" bestFit="1" customWidth="1"/>
    <col min="5627" max="5633" width="9.1796875" style="1094" customWidth="1"/>
    <col min="5634" max="5634" width="9.26953125" style="1094" bestFit="1" customWidth="1"/>
    <col min="5635" max="5876" width="8.81640625" style="1094"/>
    <col min="5877" max="5877" width="15.7265625" style="1094" customWidth="1"/>
    <col min="5878" max="5878" width="23.26953125" style="1094" customWidth="1"/>
    <col min="5879" max="5879" width="12.1796875" style="1094" customWidth="1"/>
    <col min="5880" max="5880" width="17.81640625" style="1094" customWidth="1"/>
    <col min="5881" max="5881" width="23.7265625" style="1094" customWidth="1"/>
    <col min="5882" max="5882" width="9.26953125" style="1094" bestFit="1" customWidth="1"/>
    <col min="5883" max="5889" width="9.1796875" style="1094" customWidth="1"/>
    <col min="5890" max="5890" width="9.26953125" style="1094" bestFit="1" customWidth="1"/>
    <col min="5891" max="6132" width="8.81640625" style="1094"/>
    <col min="6133" max="6133" width="15.7265625" style="1094" customWidth="1"/>
    <col min="6134" max="6134" width="23.26953125" style="1094" customWidth="1"/>
    <col min="6135" max="6135" width="12.1796875" style="1094" customWidth="1"/>
    <col min="6136" max="6136" width="17.81640625" style="1094" customWidth="1"/>
    <col min="6137" max="6137" width="23.7265625" style="1094" customWidth="1"/>
    <col min="6138" max="6138" width="9.26953125" style="1094" bestFit="1" customWidth="1"/>
    <col min="6139" max="6145" width="9.1796875" style="1094" customWidth="1"/>
    <col min="6146" max="6146" width="9.26953125" style="1094" bestFit="1" customWidth="1"/>
    <col min="6147" max="6388" width="8.81640625" style="1094"/>
    <col min="6389" max="6389" width="15.7265625" style="1094" customWidth="1"/>
    <col min="6390" max="6390" width="23.26953125" style="1094" customWidth="1"/>
    <col min="6391" max="6391" width="12.1796875" style="1094" customWidth="1"/>
    <col min="6392" max="6392" width="17.81640625" style="1094" customWidth="1"/>
    <col min="6393" max="6393" width="23.7265625" style="1094" customWidth="1"/>
    <col min="6394" max="6394" width="9.26953125" style="1094" bestFit="1" customWidth="1"/>
    <col min="6395" max="6401" width="9.1796875" style="1094" customWidth="1"/>
    <col min="6402" max="6402" width="9.26953125" style="1094" bestFit="1" customWidth="1"/>
    <col min="6403" max="6644" width="8.81640625" style="1094"/>
    <col min="6645" max="6645" width="15.7265625" style="1094" customWidth="1"/>
    <col min="6646" max="6646" width="23.26953125" style="1094" customWidth="1"/>
    <col min="6647" max="6647" width="12.1796875" style="1094" customWidth="1"/>
    <col min="6648" max="6648" width="17.81640625" style="1094" customWidth="1"/>
    <col min="6649" max="6649" width="23.7265625" style="1094" customWidth="1"/>
    <col min="6650" max="6650" width="9.26953125" style="1094" bestFit="1" customWidth="1"/>
    <col min="6651" max="6657" width="9.1796875" style="1094" customWidth="1"/>
    <col min="6658" max="6658" width="9.26953125" style="1094" bestFit="1" customWidth="1"/>
    <col min="6659" max="6900" width="8.81640625" style="1094"/>
    <col min="6901" max="6901" width="15.7265625" style="1094" customWidth="1"/>
    <col min="6902" max="6902" width="23.26953125" style="1094" customWidth="1"/>
    <col min="6903" max="6903" width="12.1796875" style="1094" customWidth="1"/>
    <col min="6904" max="6904" width="17.81640625" style="1094" customWidth="1"/>
    <col min="6905" max="6905" width="23.7265625" style="1094" customWidth="1"/>
    <col min="6906" max="6906" width="9.26953125" style="1094" bestFit="1" customWidth="1"/>
    <col min="6907" max="6913" width="9.1796875" style="1094" customWidth="1"/>
    <col min="6914" max="6914" width="9.26953125" style="1094" bestFit="1" customWidth="1"/>
    <col min="6915" max="7156" width="8.81640625" style="1094"/>
    <col min="7157" max="7157" width="15.7265625" style="1094" customWidth="1"/>
    <col min="7158" max="7158" width="23.26953125" style="1094" customWidth="1"/>
    <col min="7159" max="7159" width="12.1796875" style="1094" customWidth="1"/>
    <col min="7160" max="7160" width="17.81640625" style="1094" customWidth="1"/>
    <col min="7161" max="7161" width="23.7265625" style="1094" customWidth="1"/>
    <col min="7162" max="7162" width="9.26953125" style="1094" bestFit="1" customWidth="1"/>
    <col min="7163" max="7169" width="9.1796875" style="1094" customWidth="1"/>
    <col min="7170" max="7170" width="9.26953125" style="1094" bestFit="1" customWidth="1"/>
    <col min="7171" max="7412" width="8.81640625" style="1094"/>
    <col min="7413" max="7413" width="15.7265625" style="1094" customWidth="1"/>
    <col min="7414" max="7414" width="23.26953125" style="1094" customWidth="1"/>
    <col min="7415" max="7415" width="12.1796875" style="1094" customWidth="1"/>
    <col min="7416" max="7416" width="17.81640625" style="1094" customWidth="1"/>
    <col min="7417" max="7417" width="23.7265625" style="1094" customWidth="1"/>
    <col min="7418" max="7418" width="9.26953125" style="1094" bestFit="1" customWidth="1"/>
    <col min="7419" max="7425" width="9.1796875" style="1094" customWidth="1"/>
    <col min="7426" max="7426" width="9.26953125" style="1094" bestFit="1" customWidth="1"/>
    <col min="7427" max="7668" width="8.81640625" style="1094"/>
    <col min="7669" max="7669" width="15.7265625" style="1094" customWidth="1"/>
    <col min="7670" max="7670" width="23.26953125" style="1094" customWidth="1"/>
    <col min="7671" max="7671" width="12.1796875" style="1094" customWidth="1"/>
    <col min="7672" max="7672" width="17.81640625" style="1094" customWidth="1"/>
    <col min="7673" max="7673" width="23.7265625" style="1094" customWidth="1"/>
    <col min="7674" max="7674" width="9.26953125" style="1094" bestFit="1" customWidth="1"/>
    <col min="7675" max="7681" width="9.1796875" style="1094" customWidth="1"/>
    <col min="7682" max="7682" width="9.26953125" style="1094" bestFit="1" customWidth="1"/>
    <col min="7683" max="7924" width="8.81640625" style="1094"/>
    <col min="7925" max="7925" width="15.7265625" style="1094" customWidth="1"/>
    <col min="7926" max="7926" width="23.26953125" style="1094" customWidth="1"/>
    <col min="7927" max="7927" width="12.1796875" style="1094" customWidth="1"/>
    <col min="7928" max="7928" width="17.81640625" style="1094" customWidth="1"/>
    <col min="7929" max="7929" width="23.7265625" style="1094" customWidth="1"/>
    <col min="7930" max="7930" width="9.26953125" style="1094" bestFit="1" customWidth="1"/>
    <col min="7931" max="7937" width="9.1796875" style="1094" customWidth="1"/>
    <col min="7938" max="7938" width="9.26953125" style="1094" bestFit="1" customWidth="1"/>
    <col min="7939" max="8180" width="8.81640625" style="1094"/>
    <col min="8181" max="8181" width="15.7265625" style="1094" customWidth="1"/>
    <col min="8182" max="8182" width="23.26953125" style="1094" customWidth="1"/>
    <col min="8183" max="8183" width="12.1796875" style="1094" customWidth="1"/>
    <col min="8184" max="8184" width="17.81640625" style="1094" customWidth="1"/>
    <col min="8185" max="8185" width="23.7265625" style="1094" customWidth="1"/>
    <col min="8186" max="8186" width="9.26953125" style="1094" bestFit="1" customWidth="1"/>
    <col min="8187" max="8193" width="9.1796875" style="1094" customWidth="1"/>
    <col min="8194" max="8194" width="9.26953125" style="1094" bestFit="1" customWidth="1"/>
    <col min="8195" max="8436" width="8.81640625" style="1094"/>
    <col min="8437" max="8437" width="15.7265625" style="1094" customWidth="1"/>
    <col min="8438" max="8438" width="23.26953125" style="1094" customWidth="1"/>
    <col min="8439" max="8439" width="12.1796875" style="1094" customWidth="1"/>
    <col min="8440" max="8440" width="17.81640625" style="1094" customWidth="1"/>
    <col min="8441" max="8441" width="23.7265625" style="1094" customWidth="1"/>
    <col min="8442" max="8442" width="9.26953125" style="1094" bestFit="1" customWidth="1"/>
    <col min="8443" max="8449" width="9.1796875" style="1094" customWidth="1"/>
    <col min="8450" max="8450" width="9.26953125" style="1094" bestFit="1" customWidth="1"/>
    <col min="8451" max="8692" width="8.81640625" style="1094"/>
    <col min="8693" max="8693" width="15.7265625" style="1094" customWidth="1"/>
    <col min="8694" max="8694" width="23.26953125" style="1094" customWidth="1"/>
    <col min="8695" max="8695" width="12.1796875" style="1094" customWidth="1"/>
    <col min="8696" max="8696" width="17.81640625" style="1094" customWidth="1"/>
    <col min="8697" max="8697" width="23.7265625" style="1094" customWidth="1"/>
    <col min="8698" max="8698" width="9.26953125" style="1094" bestFit="1" customWidth="1"/>
    <col min="8699" max="8705" width="9.1796875" style="1094" customWidth="1"/>
    <col min="8706" max="8706" width="9.26953125" style="1094" bestFit="1" customWidth="1"/>
    <col min="8707" max="8948" width="8.81640625" style="1094"/>
    <col min="8949" max="8949" width="15.7265625" style="1094" customWidth="1"/>
    <col min="8950" max="8950" width="23.26953125" style="1094" customWidth="1"/>
    <col min="8951" max="8951" width="12.1796875" style="1094" customWidth="1"/>
    <col min="8952" max="8952" width="17.81640625" style="1094" customWidth="1"/>
    <col min="8953" max="8953" width="23.7265625" style="1094" customWidth="1"/>
    <col min="8954" max="8954" width="9.26953125" style="1094" bestFit="1" customWidth="1"/>
    <col min="8955" max="8961" width="9.1796875" style="1094" customWidth="1"/>
    <col min="8962" max="8962" width="9.26953125" style="1094" bestFit="1" customWidth="1"/>
    <col min="8963" max="9204" width="8.81640625" style="1094"/>
    <col min="9205" max="9205" width="15.7265625" style="1094" customWidth="1"/>
    <col min="9206" max="9206" width="23.26953125" style="1094" customWidth="1"/>
    <col min="9207" max="9207" width="12.1796875" style="1094" customWidth="1"/>
    <col min="9208" max="9208" width="17.81640625" style="1094" customWidth="1"/>
    <col min="9209" max="9209" width="23.7265625" style="1094" customWidth="1"/>
    <col min="9210" max="9210" width="9.26953125" style="1094" bestFit="1" customWidth="1"/>
    <col min="9211" max="9217" width="9.1796875" style="1094" customWidth="1"/>
    <col min="9218" max="9218" width="9.26953125" style="1094" bestFit="1" customWidth="1"/>
    <col min="9219" max="9460" width="8.81640625" style="1094"/>
    <col min="9461" max="9461" width="15.7265625" style="1094" customWidth="1"/>
    <col min="9462" max="9462" width="23.26953125" style="1094" customWidth="1"/>
    <col min="9463" max="9463" width="12.1796875" style="1094" customWidth="1"/>
    <col min="9464" max="9464" width="17.81640625" style="1094" customWidth="1"/>
    <col min="9465" max="9465" width="23.7265625" style="1094" customWidth="1"/>
    <col min="9466" max="9466" width="9.26953125" style="1094" bestFit="1" customWidth="1"/>
    <col min="9467" max="9473" width="9.1796875" style="1094" customWidth="1"/>
    <col min="9474" max="9474" width="9.26953125" style="1094" bestFit="1" customWidth="1"/>
    <col min="9475" max="9716" width="8.81640625" style="1094"/>
    <col min="9717" max="9717" width="15.7265625" style="1094" customWidth="1"/>
    <col min="9718" max="9718" width="23.26953125" style="1094" customWidth="1"/>
    <col min="9719" max="9719" width="12.1796875" style="1094" customWidth="1"/>
    <col min="9720" max="9720" width="17.81640625" style="1094" customWidth="1"/>
    <col min="9721" max="9721" width="23.7265625" style="1094" customWidth="1"/>
    <col min="9722" max="9722" width="9.26953125" style="1094" bestFit="1" customWidth="1"/>
    <col min="9723" max="9729" width="9.1796875" style="1094" customWidth="1"/>
    <col min="9730" max="9730" width="9.26953125" style="1094" bestFit="1" customWidth="1"/>
    <col min="9731" max="9972" width="8.81640625" style="1094"/>
    <col min="9973" max="9973" width="15.7265625" style="1094" customWidth="1"/>
    <col min="9974" max="9974" width="23.26953125" style="1094" customWidth="1"/>
    <col min="9975" max="9975" width="12.1796875" style="1094" customWidth="1"/>
    <col min="9976" max="9976" width="17.81640625" style="1094" customWidth="1"/>
    <col min="9977" max="9977" width="23.7265625" style="1094" customWidth="1"/>
    <col min="9978" max="9978" width="9.26953125" style="1094" bestFit="1" customWidth="1"/>
    <col min="9979" max="9985" width="9.1796875" style="1094" customWidth="1"/>
    <col min="9986" max="9986" width="9.26953125" style="1094" bestFit="1" customWidth="1"/>
    <col min="9987" max="10228" width="8.81640625" style="1094"/>
    <col min="10229" max="10229" width="15.7265625" style="1094" customWidth="1"/>
    <col min="10230" max="10230" width="23.26953125" style="1094" customWidth="1"/>
    <col min="10231" max="10231" width="12.1796875" style="1094" customWidth="1"/>
    <col min="10232" max="10232" width="17.81640625" style="1094" customWidth="1"/>
    <col min="10233" max="10233" width="23.7265625" style="1094" customWidth="1"/>
    <col min="10234" max="10234" width="9.26953125" style="1094" bestFit="1" customWidth="1"/>
    <col min="10235" max="10241" width="9.1796875" style="1094" customWidth="1"/>
    <col min="10242" max="10242" width="9.26953125" style="1094" bestFit="1" customWidth="1"/>
    <col min="10243" max="10484" width="8.81640625" style="1094"/>
    <col min="10485" max="10485" width="15.7265625" style="1094" customWidth="1"/>
    <col min="10486" max="10486" width="23.26953125" style="1094" customWidth="1"/>
    <col min="10487" max="10487" width="12.1796875" style="1094" customWidth="1"/>
    <col min="10488" max="10488" width="17.81640625" style="1094" customWidth="1"/>
    <col min="10489" max="10489" width="23.7265625" style="1094" customWidth="1"/>
    <col min="10490" max="10490" width="9.26953125" style="1094" bestFit="1" customWidth="1"/>
    <col min="10491" max="10497" width="9.1796875" style="1094" customWidth="1"/>
    <col min="10498" max="10498" width="9.26953125" style="1094" bestFit="1" customWidth="1"/>
    <col min="10499" max="10740" width="8.81640625" style="1094"/>
    <col min="10741" max="10741" width="15.7265625" style="1094" customWidth="1"/>
    <col min="10742" max="10742" width="23.26953125" style="1094" customWidth="1"/>
    <col min="10743" max="10743" width="12.1796875" style="1094" customWidth="1"/>
    <col min="10744" max="10744" width="17.81640625" style="1094" customWidth="1"/>
    <col min="10745" max="10745" width="23.7265625" style="1094" customWidth="1"/>
    <col min="10746" max="10746" width="9.26953125" style="1094" bestFit="1" customWidth="1"/>
    <col min="10747" max="10753" width="9.1796875" style="1094" customWidth="1"/>
    <col min="10754" max="10754" width="9.26953125" style="1094" bestFit="1" customWidth="1"/>
    <col min="10755" max="10996" width="8.81640625" style="1094"/>
    <col min="10997" max="10997" width="15.7265625" style="1094" customWidth="1"/>
    <col min="10998" max="10998" width="23.26953125" style="1094" customWidth="1"/>
    <col min="10999" max="10999" width="12.1796875" style="1094" customWidth="1"/>
    <col min="11000" max="11000" width="17.81640625" style="1094" customWidth="1"/>
    <col min="11001" max="11001" width="23.7265625" style="1094" customWidth="1"/>
    <col min="11002" max="11002" width="9.26953125" style="1094" bestFit="1" customWidth="1"/>
    <col min="11003" max="11009" width="9.1796875" style="1094" customWidth="1"/>
    <col min="11010" max="11010" width="9.26953125" style="1094" bestFit="1" customWidth="1"/>
    <col min="11011" max="11252" width="8.81640625" style="1094"/>
    <col min="11253" max="11253" width="15.7265625" style="1094" customWidth="1"/>
    <col min="11254" max="11254" width="23.26953125" style="1094" customWidth="1"/>
    <col min="11255" max="11255" width="12.1796875" style="1094" customWidth="1"/>
    <col min="11256" max="11256" width="17.81640625" style="1094" customWidth="1"/>
    <col min="11257" max="11257" width="23.7265625" style="1094" customWidth="1"/>
    <col min="11258" max="11258" width="9.26953125" style="1094" bestFit="1" customWidth="1"/>
    <col min="11259" max="11265" width="9.1796875" style="1094" customWidth="1"/>
    <col min="11266" max="11266" width="9.26953125" style="1094" bestFit="1" customWidth="1"/>
    <col min="11267" max="11508" width="8.81640625" style="1094"/>
    <col min="11509" max="11509" width="15.7265625" style="1094" customWidth="1"/>
    <col min="11510" max="11510" width="23.26953125" style="1094" customWidth="1"/>
    <col min="11511" max="11511" width="12.1796875" style="1094" customWidth="1"/>
    <col min="11512" max="11512" width="17.81640625" style="1094" customWidth="1"/>
    <col min="11513" max="11513" width="23.7265625" style="1094" customWidth="1"/>
    <col min="11514" max="11514" width="9.26953125" style="1094" bestFit="1" customWidth="1"/>
    <col min="11515" max="11521" width="9.1796875" style="1094" customWidth="1"/>
    <col min="11522" max="11522" width="9.26953125" style="1094" bestFit="1" customWidth="1"/>
    <col min="11523" max="11764" width="8.81640625" style="1094"/>
    <col min="11765" max="11765" width="15.7265625" style="1094" customWidth="1"/>
    <col min="11766" max="11766" width="23.26953125" style="1094" customWidth="1"/>
    <col min="11767" max="11767" width="12.1796875" style="1094" customWidth="1"/>
    <col min="11768" max="11768" width="17.81640625" style="1094" customWidth="1"/>
    <col min="11769" max="11769" width="23.7265625" style="1094" customWidth="1"/>
    <col min="11770" max="11770" width="9.26953125" style="1094" bestFit="1" customWidth="1"/>
    <col min="11771" max="11777" width="9.1796875" style="1094" customWidth="1"/>
    <col min="11778" max="11778" width="9.26953125" style="1094" bestFit="1" customWidth="1"/>
    <col min="11779" max="12020" width="8.81640625" style="1094"/>
    <col min="12021" max="12021" width="15.7265625" style="1094" customWidth="1"/>
    <col min="12022" max="12022" width="23.26953125" style="1094" customWidth="1"/>
    <col min="12023" max="12023" width="12.1796875" style="1094" customWidth="1"/>
    <col min="12024" max="12024" width="17.81640625" style="1094" customWidth="1"/>
    <col min="12025" max="12025" width="23.7265625" style="1094" customWidth="1"/>
    <col min="12026" max="12026" width="9.26953125" style="1094" bestFit="1" customWidth="1"/>
    <col min="12027" max="12033" width="9.1796875" style="1094" customWidth="1"/>
    <col min="12034" max="12034" width="9.26953125" style="1094" bestFit="1" customWidth="1"/>
    <col min="12035" max="12276" width="8.81640625" style="1094"/>
    <col min="12277" max="12277" width="15.7265625" style="1094" customWidth="1"/>
    <col min="12278" max="12278" width="23.26953125" style="1094" customWidth="1"/>
    <col min="12279" max="12279" width="12.1796875" style="1094" customWidth="1"/>
    <col min="12280" max="12280" width="17.81640625" style="1094" customWidth="1"/>
    <col min="12281" max="12281" width="23.7265625" style="1094" customWidth="1"/>
    <col min="12282" max="12282" width="9.26953125" style="1094" bestFit="1" customWidth="1"/>
    <col min="12283" max="12289" width="9.1796875" style="1094" customWidth="1"/>
    <col min="12290" max="12290" width="9.26953125" style="1094" bestFit="1" customWidth="1"/>
    <col min="12291" max="12532" width="8.81640625" style="1094"/>
    <col min="12533" max="12533" width="15.7265625" style="1094" customWidth="1"/>
    <col min="12534" max="12534" width="23.26953125" style="1094" customWidth="1"/>
    <col min="12535" max="12535" width="12.1796875" style="1094" customWidth="1"/>
    <col min="12536" max="12536" width="17.81640625" style="1094" customWidth="1"/>
    <col min="12537" max="12537" width="23.7265625" style="1094" customWidth="1"/>
    <col min="12538" max="12538" width="9.26953125" style="1094" bestFit="1" customWidth="1"/>
    <col min="12539" max="12545" width="9.1796875" style="1094" customWidth="1"/>
    <col min="12546" max="12546" width="9.26953125" style="1094" bestFit="1" customWidth="1"/>
    <col min="12547" max="12788" width="8.81640625" style="1094"/>
    <col min="12789" max="12789" width="15.7265625" style="1094" customWidth="1"/>
    <col min="12790" max="12790" width="23.26953125" style="1094" customWidth="1"/>
    <col min="12791" max="12791" width="12.1796875" style="1094" customWidth="1"/>
    <col min="12792" max="12792" width="17.81640625" style="1094" customWidth="1"/>
    <col min="12793" max="12793" width="23.7265625" style="1094" customWidth="1"/>
    <col min="12794" max="12794" width="9.26953125" style="1094" bestFit="1" customWidth="1"/>
    <col min="12795" max="12801" width="9.1796875" style="1094" customWidth="1"/>
    <col min="12802" max="12802" width="9.26953125" style="1094" bestFit="1" customWidth="1"/>
    <col min="12803" max="13044" width="8.81640625" style="1094"/>
    <col min="13045" max="13045" width="15.7265625" style="1094" customWidth="1"/>
    <col min="13046" max="13046" width="23.26953125" style="1094" customWidth="1"/>
    <col min="13047" max="13047" width="12.1796875" style="1094" customWidth="1"/>
    <col min="13048" max="13048" width="17.81640625" style="1094" customWidth="1"/>
    <col min="13049" max="13049" width="23.7265625" style="1094" customWidth="1"/>
    <col min="13050" max="13050" width="9.26953125" style="1094" bestFit="1" customWidth="1"/>
    <col min="13051" max="13057" width="9.1796875" style="1094" customWidth="1"/>
    <col min="13058" max="13058" width="9.26953125" style="1094" bestFit="1" customWidth="1"/>
    <col min="13059" max="13300" width="8.81640625" style="1094"/>
    <col min="13301" max="13301" width="15.7265625" style="1094" customWidth="1"/>
    <col min="13302" max="13302" width="23.26953125" style="1094" customWidth="1"/>
    <col min="13303" max="13303" width="12.1796875" style="1094" customWidth="1"/>
    <col min="13304" max="13304" width="17.81640625" style="1094" customWidth="1"/>
    <col min="13305" max="13305" width="23.7265625" style="1094" customWidth="1"/>
    <col min="13306" max="13306" width="9.26953125" style="1094" bestFit="1" customWidth="1"/>
    <col min="13307" max="13313" width="9.1796875" style="1094" customWidth="1"/>
    <col min="13314" max="13314" width="9.26953125" style="1094" bestFit="1" customWidth="1"/>
    <col min="13315" max="13556" width="8.81640625" style="1094"/>
    <col min="13557" max="13557" width="15.7265625" style="1094" customWidth="1"/>
    <col min="13558" max="13558" width="23.26953125" style="1094" customWidth="1"/>
    <col min="13559" max="13559" width="12.1796875" style="1094" customWidth="1"/>
    <col min="13560" max="13560" width="17.81640625" style="1094" customWidth="1"/>
    <col min="13561" max="13561" width="23.7265625" style="1094" customWidth="1"/>
    <col min="13562" max="13562" width="9.26953125" style="1094" bestFit="1" customWidth="1"/>
    <col min="13563" max="13569" width="9.1796875" style="1094" customWidth="1"/>
    <col min="13570" max="13570" width="9.26953125" style="1094" bestFit="1" customWidth="1"/>
    <col min="13571" max="13812" width="8.81640625" style="1094"/>
    <col min="13813" max="13813" width="15.7265625" style="1094" customWidth="1"/>
    <col min="13814" max="13814" width="23.26953125" style="1094" customWidth="1"/>
    <col min="13815" max="13815" width="12.1796875" style="1094" customWidth="1"/>
    <col min="13816" max="13816" width="17.81640625" style="1094" customWidth="1"/>
    <col min="13817" max="13817" width="23.7265625" style="1094" customWidth="1"/>
    <col min="13818" max="13818" width="9.26953125" style="1094" bestFit="1" customWidth="1"/>
    <col min="13819" max="13825" width="9.1796875" style="1094" customWidth="1"/>
    <col min="13826" max="13826" width="9.26953125" style="1094" bestFit="1" customWidth="1"/>
    <col min="13827" max="14068" width="8.81640625" style="1094"/>
    <col min="14069" max="14069" width="15.7265625" style="1094" customWidth="1"/>
    <col min="14070" max="14070" width="23.26953125" style="1094" customWidth="1"/>
    <col min="14071" max="14071" width="12.1796875" style="1094" customWidth="1"/>
    <col min="14072" max="14072" width="17.81640625" style="1094" customWidth="1"/>
    <col min="14073" max="14073" width="23.7265625" style="1094" customWidth="1"/>
    <col min="14074" max="14074" width="9.26953125" style="1094" bestFit="1" customWidth="1"/>
    <col min="14075" max="14081" width="9.1796875" style="1094" customWidth="1"/>
    <col min="14082" max="14082" width="9.26953125" style="1094" bestFit="1" customWidth="1"/>
    <col min="14083" max="14324" width="8.81640625" style="1094"/>
    <col min="14325" max="14325" width="15.7265625" style="1094" customWidth="1"/>
    <col min="14326" max="14326" width="23.26953125" style="1094" customWidth="1"/>
    <col min="14327" max="14327" width="12.1796875" style="1094" customWidth="1"/>
    <col min="14328" max="14328" width="17.81640625" style="1094" customWidth="1"/>
    <col min="14329" max="14329" width="23.7265625" style="1094" customWidth="1"/>
    <col min="14330" max="14330" width="9.26953125" style="1094" bestFit="1" customWidth="1"/>
    <col min="14331" max="14337" width="9.1796875" style="1094" customWidth="1"/>
    <col min="14338" max="14338" width="9.26953125" style="1094" bestFit="1" customWidth="1"/>
    <col min="14339" max="14580" width="8.81640625" style="1094"/>
    <col min="14581" max="14581" width="15.7265625" style="1094" customWidth="1"/>
    <col min="14582" max="14582" width="23.26953125" style="1094" customWidth="1"/>
    <col min="14583" max="14583" width="12.1796875" style="1094" customWidth="1"/>
    <col min="14584" max="14584" width="17.81640625" style="1094" customWidth="1"/>
    <col min="14585" max="14585" width="23.7265625" style="1094" customWidth="1"/>
    <col min="14586" max="14586" width="9.26953125" style="1094" bestFit="1" customWidth="1"/>
    <col min="14587" max="14593" width="9.1796875" style="1094" customWidth="1"/>
    <col min="14594" max="14594" width="9.26953125" style="1094" bestFit="1" customWidth="1"/>
    <col min="14595" max="14836" width="8.81640625" style="1094"/>
    <col min="14837" max="14837" width="15.7265625" style="1094" customWidth="1"/>
    <col min="14838" max="14838" width="23.26953125" style="1094" customWidth="1"/>
    <col min="14839" max="14839" width="12.1796875" style="1094" customWidth="1"/>
    <col min="14840" max="14840" width="17.81640625" style="1094" customWidth="1"/>
    <col min="14841" max="14841" width="23.7265625" style="1094" customWidth="1"/>
    <col min="14842" max="14842" width="9.26953125" style="1094" bestFit="1" customWidth="1"/>
    <col min="14843" max="14849" width="9.1796875" style="1094" customWidth="1"/>
    <col min="14850" max="14850" width="9.26953125" style="1094" bestFit="1" customWidth="1"/>
    <col min="14851" max="15092" width="8.81640625" style="1094"/>
    <col min="15093" max="15093" width="15.7265625" style="1094" customWidth="1"/>
    <col min="15094" max="15094" width="23.26953125" style="1094" customWidth="1"/>
    <col min="15095" max="15095" width="12.1796875" style="1094" customWidth="1"/>
    <col min="15096" max="15096" width="17.81640625" style="1094" customWidth="1"/>
    <col min="15097" max="15097" width="23.7265625" style="1094" customWidth="1"/>
    <col min="15098" max="15098" width="9.26953125" style="1094" bestFit="1" customWidth="1"/>
    <col min="15099" max="15105" width="9.1796875" style="1094" customWidth="1"/>
    <col min="15106" max="15106" width="9.26953125" style="1094" bestFit="1" customWidth="1"/>
    <col min="15107" max="15348" width="8.81640625" style="1094"/>
    <col min="15349" max="15349" width="15.7265625" style="1094" customWidth="1"/>
    <col min="15350" max="15350" width="23.26953125" style="1094" customWidth="1"/>
    <col min="15351" max="15351" width="12.1796875" style="1094" customWidth="1"/>
    <col min="15352" max="15352" width="17.81640625" style="1094" customWidth="1"/>
    <col min="15353" max="15353" width="23.7265625" style="1094" customWidth="1"/>
    <col min="15354" max="15354" width="9.26953125" style="1094" bestFit="1" customWidth="1"/>
    <col min="15355" max="15361" width="9.1796875" style="1094" customWidth="1"/>
    <col min="15362" max="15362" width="9.26953125" style="1094" bestFit="1" customWidth="1"/>
    <col min="15363" max="15604" width="8.81640625" style="1094"/>
    <col min="15605" max="15605" width="15.7265625" style="1094" customWidth="1"/>
    <col min="15606" max="15606" width="23.26953125" style="1094" customWidth="1"/>
    <col min="15607" max="15607" width="12.1796875" style="1094" customWidth="1"/>
    <col min="15608" max="15608" width="17.81640625" style="1094" customWidth="1"/>
    <col min="15609" max="15609" width="23.7265625" style="1094" customWidth="1"/>
    <col min="15610" max="15610" width="9.26953125" style="1094" bestFit="1" customWidth="1"/>
    <col min="15611" max="15617" width="9.1796875" style="1094" customWidth="1"/>
    <col min="15618" max="15618" width="9.26953125" style="1094" bestFit="1" customWidth="1"/>
    <col min="15619" max="15860" width="8.81640625" style="1094"/>
    <col min="15861" max="15861" width="15.7265625" style="1094" customWidth="1"/>
    <col min="15862" max="15862" width="23.26953125" style="1094" customWidth="1"/>
    <col min="15863" max="15863" width="12.1796875" style="1094" customWidth="1"/>
    <col min="15864" max="15864" width="17.81640625" style="1094" customWidth="1"/>
    <col min="15865" max="15865" width="23.7265625" style="1094" customWidth="1"/>
    <col min="15866" max="15866" width="9.26953125" style="1094" bestFit="1" customWidth="1"/>
    <col min="15867" max="15873" width="9.1796875" style="1094" customWidth="1"/>
    <col min="15874" max="15874" width="9.26953125" style="1094" bestFit="1" customWidth="1"/>
    <col min="15875" max="16116" width="8.81640625" style="1094"/>
    <col min="16117" max="16117" width="15.7265625" style="1094" customWidth="1"/>
    <col min="16118" max="16118" width="23.26953125" style="1094" customWidth="1"/>
    <col min="16119" max="16119" width="12.1796875" style="1094" customWidth="1"/>
    <col min="16120" max="16120" width="17.81640625" style="1094" customWidth="1"/>
    <col min="16121" max="16121" width="23.7265625" style="1094" customWidth="1"/>
    <col min="16122" max="16122" width="9.26953125" style="1094" bestFit="1" customWidth="1"/>
    <col min="16123" max="16129" width="9.1796875" style="1094" customWidth="1"/>
    <col min="16130" max="16130" width="9.26953125" style="1094" bestFit="1" customWidth="1"/>
    <col min="16131" max="16384" width="8.81640625" style="1094"/>
  </cols>
  <sheetData>
    <row r="1" spans="1:6" x14ac:dyDescent="0.3">
      <c r="A1" s="1451" t="s">
        <v>351</v>
      </c>
      <c r="B1" s="1451"/>
      <c r="C1" s="1451"/>
      <c r="D1" s="1451"/>
      <c r="E1" s="1451"/>
    </row>
    <row r="2" spans="1:6" x14ac:dyDescent="0.3">
      <c r="A2" s="1452" t="s">
        <v>48</v>
      </c>
      <c r="B2" s="1452"/>
      <c r="C2" s="1452"/>
      <c r="D2" s="1452"/>
      <c r="E2" s="1452"/>
    </row>
    <row r="3" spans="1:6" ht="14.5" thickBot="1" x14ac:dyDescent="0.35">
      <c r="A3" s="1097" t="s">
        <v>0</v>
      </c>
      <c r="B3" s="1097"/>
      <c r="C3" s="1098"/>
      <c r="D3" s="1098"/>
      <c r="E3" s="1098"/>
    </row>
    <row r="4" spans="1:6" ht="17" x14ac:dyDescent="0.3">
      <c r="A4" s="1099" t="s">
        <v>18</v>
      </c>
      <c r="B4" s="1100"/>
      <c r="C4" s="1453" t="s">
        <v>19</v>
      </c>
      <c r="D4" s="1101" t="s">
        <v>331</v>
      </c>
      <c r="E4" s="1102"/>
    </row>
    <row r="5" spans="1:6" ht="16.5" thickBot="1" x14ac:dyDescent="0.35">
      <c r="A5" s="1103" t="s">
        <v>20</v>
      </c>
      <c r="B5" s="1104" t="s">
        <v>24</v>
      </c>
      <c r="C5" s="1454"/>
      <c r="D5" s="1105" t="s">
        <v>24</v>
      </c>
      <c r="E5" s="1106" t="s">
        <v>332</v>
      </c>
    </row>
    <row r="6" spans="1:6" ht="14.5" thickTop="1" x14ac:dyDescent="0.3">
      <c r="A6" s="1107"/>
      <c r="B6" s="1067"/>
      <c r="C6" s="1108"/>
      <c r="D6" s="1109"/>
      <c r="E6" s="1069"/>
    </row>
    <row r="7" spans="1:6" s="1065" customFormat="1" ht="28" x14ac:dyDescent="0.25">
      <c r="A7" s="1110">
        <v>113</v>
      </c>
      <c r="B7" s="1111" t="s">
        <v>86</v>
      </c>
      <c r="C7" s="1112" t="s">
        <v>83</v>
      </c>
      <c r="D7" s="1113" t="str">
        <f>'3-3'!C8</f>
        <v>CFB with staged combustion</v>
      </c>
      <c r="E7" s="1114" t="s">
        <v>92</v>
      </c>
      <c r="F7" s="1065" t="s">
        <v>0</v>
      </c>
    </row>
    <row r="8" spans="1:6" ht="28.5" customHeight="1" x14ac:dyDescent="0.3">
      <c r="A8" s="1074">
        <v>3</v>
      </c>
      <c r="B8" s="1115" t="s">
        <v>85</v>
      </c>
      <c r="C8" s="1116" t="s">
        <v>84</v>
      </c>
      <c r="D8" s="1116" t="s">
        <v>40</v>
      </c>
      <c r="E8" s="1114" t="s">
        <v>92</v>
      </c>
    </row>
    <row r="9" spans="1:6" ht="28.5" customHeight="1" x14ac:dyDescent="0.3">
      <c r="A9" s="1455">
        <v>4</v>
      </c>
      <c r="B9" s="1457" t="s">
        <v>85</v>
      </c>
      <c r="C9" s="1115" t="s">
        <v>84</v>
      </c>
      <c r="D9" s="1115" t="s">
        <v>340</v>
      </c>
      <c r="E9" s="1114" t="s">
        <v>92</v>
      </c>
    </row>
    <row r="10" spans="1:6" ht="28.5" customHeight="1" x14ac:dyDescent="0.3">
      <c r="A10" s="1456"/>
      <c r="B10" s="1458"/>
      <c r="C10" s="1117" t="s">
        <v>93</v>
      </c>
      <c r="D10" s="1118" t="s">
        <v>340</v>
      </c>
      <c r="E10" s="1114" t="s">
        <v>94</v>
      </c>
    </row>
    <row r="11" spans="1:6" x14ac:dyDescent="0.3">
      <c r="A11" s="1119" t="s">
        <v>302</v>
      </c>
      <c r="B11" s="1120" t="s">
        <v>87</v>
      </c>
      <c r="C11" s="1117" t="s">
        <v>37</v>
      </c>
      <c r="D11" s="1118" t="s">
        <v>72</v>
      </c>
      <c r="E11" s="1121" t="s">
        <v>95</v>
      </c>
    </row>
    <row r="12" spans="1:6" ht="28" x14ac:dyDescent="0.3">
      <c r="A12" s="1110">
        <v>8</v>
      </c>
      <c r="B12" s="1111" t="s">
        <v>88</v>
      </c>
      <c r="C12" s="1122" t="s">
        <v>84</v>
      </c>
      <c r="D12" s="1123" t="s">
        <v>353</v>
      </c>
      <c r="E12" s="1121" t="s">
        <v>358</v>
      </c>
    </row>
    <row r="13" spans="1:6" ht="28" x14ac:dyDescent="0.3">
      <c r="A13" s="1110">
        <v>27</v>
      </c>
      <c r="B13" s="1111" t="s">
        <v>89</v>
      </c>
      <c r="C13" s="1122" t="s">
        <v>37</v>
      </c>
      <c r="D13" s="1124" t="s">
        <v>312</v>
      </c>
      <c r="E13" s="1121" t="s">
        <v>96</v>
      </c>
    </row>
    <row r="14" spans="1:6" ht="27.65" customHeight="1" thickBot="1" x14ac:dyDescent="0.35">
      <c r="A14" s="1125" t="s">
        <v>75</v>
      </c>
      <c r="B14" s="1126" t="s">
        <v>335</v>
      </c>
      <c r="C14" s="1127" t="s">
        <v>90</v>
      </c>
      <c r="D14" s="1128" t="s">
        <v>339</v>
      </c>
      <c r="E14" s="1129" t="s">
        <v>91</v>
      </c>
    </row>
    <row r="15" spans="1:6" x14ac:dyDescent="0.3">
      <c r="D15" s="1141"/>
    </row>
    <row r="16" spans="1:6" ht="14.25" customHeight="1" x14ac:dyDescent="0.3">
      <c r="A16" s="1094" t="s">
        <v>47</v>
      </c>
      <c r="D16" s="1130"/>
      <c r="E16" s="1130"/>
      <c r="F16" s="1131"/>
    </row>
    <row r="17" spans="1:6" ht="16.5" x14ac:dyDescent="0.3">
      <c r="A17" s="1443" t="s">
        <v>333</v>
      </c>
      <c r="B17" s="1443"/>
      <c r="C17" s="1130"/>
      <c r="D17" s="1140"/>
      <c r="E17" s="1132"/>
      <c r="F17" s="1133"/>
    </row>
    <row r="18" spans="1:6" ht="16.5" x14ac:dyDescent="0.3">
      <c r="A18" s="1095" t="s">
        <v>0</v>
      </c>
      <c r="B18" s="1134"/>
      <c r="C18" s="1130"/>
      <c r="D18" s="1132"/>
      <c r="E18" s="1135"/>
    </row>
    <row r="19" spans="1:6" ht="16.5" x14ac:dyDescent="0.3">
      <c r="A19" s="1095" t="s">
        <v>0</v>
      </c>
    </row>
  </sheetData>
  <mergeCells count="6">
    <mergeCell ref="A17:B17"/>
    <mergeCell ref="A1:E1"/>
    <mergeCell ref="A2:E2"/>
    <mergeCell ref="C4:C5"/>
    <mergeCell ref="A9:A10"/>
    <mergeCell ref="B9:B10"/>
  </mergeCells>
  <printOptions horizontalCentered="1"/>
  <pageMargins left="0.33" right="0.41" top="0.56000000000000005" bottom="0.52" header="0.3" footer="0.3"/>
  <pageSetup scale="76" fitToHeight="0" orientation="portrait" horizontalDpi="4294967293" verticalDpi="4294967293" r:id="rId1"/>
  <headerFooter>
    <oddFooter>&amp;LUAF
PM&amp;Y2.5&amp;Y Serious NAA BACT Analysis&amp;CPage 67&amp;RJanuary 2017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6"/>
  <sheetViews>
    <sheetView zoomScaleNormal="100" workbookViewId="0">
      <selection activeCell="D18" sqref="D18"/>
    </sheetView>
  </sheetViews>
  <sheetFormatPr defaultRowHeight="14" x14ac:dyDescent="0.3"/>
  <cols>
    <col min="1" max="1" width="30.453125" style="979" customWidth="1"/>
    <col min="2" max="2" width="30.453125" style="980" customWidth="1"/>
    <col min="3" max="3" width="35" style="980" customWidth="1"/>
    <col min="4" max="256" width="8.81640625" style="979"/>
    <col min="257" max="257" width="14.54296875" style="979" customWidth="1"/>
    <col min="258" max="258" width="23.7265625" style="979" customWidth="1"/>
    <col min="259" max="259" width="30.7265625" style="979" customWidth="1"/>
    <col min="260" max="512" width="8.81640625" style="979"/>
    <col min="513" max="513" width="14.54296875" style="979" customWidth="1"/>
    <col min="514" max="514" width="23.7265625" style="979" customWidth="1"/>
    <col min="515" max="515" width="30.7265625" style="979" customWidth="1"/>
    <col min="516" max="768" width="8.81640625" style="979"/>
    <col min="769" max="769" width="14.54296875" style="979" customWidth="1"/>
    <col min="770" max="770" width="23.7265625" style="979" customWidth="1"/>
    <col min="771" max="771" width="30.7265625" style="979" customWidth="1"/>
    <col min="772" max="1024" width="8.81640625" style="979"/>
    <col min="1025" max="1025" width="14.54296875" style="979" customWidth="1"/>
    <col min="1026" max="1026" width="23.7265625" style="979" customWidth="1"/>
    <col min="1027" max="1027" width="30.7265625" style="979" customWidth="1"/>
    <col min="1028" max="1280" width="8.81640625" style="979"/>
    <col min="1281" max="1281" width="14.54296875" style="979" customWidth="1"/>
    <col min="1282" max="1282" width="23.7265625" style="979" customWidth="1"/>
    <col min="1283" max="1283" width="30.7265625" style="979" customWidth="1"/>
    <col min="1284" max="1536" width="8.81640625" style="979"/>
    <col min="1537" max="1537" width="14.54296875" style="979" customWidth="1"/>
    <col min="1538" max="1538" width="23.7265625" style="979" customWidth="1"/>
    <col min="1539" max="1539" width="30.7265625" style="979" customWidth="1"/>
    <col min="1540" max="1792" width="8.81640625" style="979"/>
    <col min="1793" max="1793" width="14.54296875" style="979" customWidth="1"/>
    <col min="1794" max="1794" width="23.7265625" style="979" customWidth="1"/>
    <col min="1795" max="1795" width="30.7265625" style="979" customWidth="1"/>
    <col min="1796" max="2048" width="8.81640625" style="979"/>
    <col min="2049" max="2049" width="14.54296875" style="979" customWidth="1"/>
    <col min="2050" max="2050" width="23.7265625" style="979" customWidth="1"/>
    <col min="2051" max="2051" width="30.7265625" style="979" customWidth="1"/>
    <col min="2052" max="2304" width="8.81640625" style="979"/>
    <col min="2305" max="2305" width="14.54296875" style="979" customWidth="1"/>
    <col min="2306" max="2306" width="23.7265625" style="979" customWidth="1"/>
    <col min="2307" max="2307" width="30.7265625" style="979" customWidth="1"/>
    <col min="2308" max="2560" width="8.81640625" style="979"/>
    <col min="2561" max="2561" width="14.54296875" style="979" customWidth="1"/>
    <col min="2562" max="2562" width="23.7265625" style="979" customWidth="1"/>
    <col min="2563" max="2563" width="30.7265625" style="979" customWidth="1"/>
    <col min="2564" max="2816" width="8.81640625" style="979"/>
    <col min="2817" max="2817" width="14.54296875" style="979" customWidth="1"/>
    <col min="2818" max="2818" width="23.7265625" style="979" customWidth="1"/>
    <col min="2819" max="2819" width="30.7265625" style="979" customWidth="1"/>
    <col min="2820" max="3072" width="8.81640625" style="979"/>
    <col min="3073" max="3073" width="14.54296875" style="979" customWidth="1"/>
    <col min="3074" max="3074" width="23.7265625" style="979" customWidth="1"/>
    <col min="3075" max="3075" width="30.7265625" style="979" customWidth="1"/>
    <col min="3076" max="3328" width="8.81640625" style="979"/>
    <col min="3329" max="3329" width="14.54296875" style="979" customWidth="1"/>
    <col min="3330" max="3330" width="23.7265625" style="979" customWidth="1"/>
    <col min="3331" max="3331" width="30.7265625" style="979" customWidth="1"/>
    <col min="3332" max="3584" width="8.81640625" style="979"/>
    <col min="3585" max="3585" width="14.54296875" style="979" customWidth="1"/>
    <col min="3586" max="3586" width="23.7265625" style="979" customWidth="1"/>
    <col min="3587" max="3587" width="30.7265625" style="979" customWidth="1"/>
    <col min="3588" max="3840" width="8.81640625" style="979"/>
    <col min="3841" max="3841" width="14.54296875" style="979" customWidth="1"/>
    <col min="3842" max="3842" width="23.7265625" style="979" customWidth="1"/>
    <col min="3843" max="3843" width="30.7265625" style="979" customWidth="1"/>
    <col min="3844" max="4096" width="8.81640625" style="979"/>
    <col min="4097" max="4097" width="14.54296875" style="979" customWidth="1"/>
    <col min="4098" max="4098" width="23.7265625" style="979" customWidth="1"/>
    <col min="4099" max="4099" width="30.7265625" style="979" customWidth="1"/>
    <col min="4100" max="4352" width="8.81640625" style="979"/>
    <col min="4353" max="4353" width="14.54296875" style="979" customWidth="1"/>
    <col min="4354" max="4354" width="23.7265625" style="979" customWidth="1"/>
    <col min="4355" max="4355" width="30.7265625" style="979" customWidth="1"/>
    <col min="4356" max="4608" width="8.81640625" style="979"/>
    <col min="4609" max="4609" width="14.54296875" style="979" customWidth="1"/>
    <col min="4610" max="4610" width="23.7265625" style="979" customWidth="1"/>
    <col min="4611" max="4611" width="30.7265625" style="979" customWidth="1"/>
    <col min="4612" max="4864" width="8.81640625" style="979"/>
    <col min="4865" max="4865" width="14.54296875" style="979" customWidth="1"/>
    <col min="4866" max="4866" width="23.7265625" style="979" customWidth="1"/>
    <col min="4867" max="4867" width="30.7265625" style="979" customWidth="1"/>
    <col min="4868" max="5120" width="8.81640625" style="979"/>
    <col min="5121" max="5121" width="14.54296875" style="979" customWidth="1"/>
    <col min="5122" max="5122" width="23.7265625" style="979" customWidth="1"/>
    <col min="5123" max="5123" width="30.7265625" style="979" customWidth="1"/>
    <col min="5124" max="5376" width="8.81640625" style="979"/>
    <col min="5377" max="5377" width="14.54296875" style="979" customWidth="1"/>
    <col min="5378" max="5378" width="23.7265625" style="979" customWidth="1"/>
    <col min="5379" max="5379" width="30.7265625" style="979" customWidth="1"/>
    <col min="5380" max="5632" width="8.81640625" style="979"/>
    <col min="5633" max="5633" width="14.54296875" style="979" customWidth="1"/>
    <col min="5634" max="5634" width="23.7265625" style="979" customWidth="1"/>
    <col min="5635" max="5635" width="30.7265625" style="979" customWidth="1"/>
    <col min="5636" max="5888" width="8.81640625" style="979"/>
    <col min="5889" max="5889" width="14.54296875" style="979" customWidth="1"/>
    <col min="5890" max="5890" width="23.7265625" style="979" customWidth="1"/>
    <col min="5891" max="5891" width="30.7265625" style="979" customWidth="1"/>
    <col min="5892" max="6144" width="8.81640625" style="979"/>
    <col min="6145" max="6145" width="14.54296875" style="979" customWidth="1"/>
    <col min="6146" max="6146" width="23.7265625" style="979" customWidth="1"/>
    <col min="6147" max="6147" width="30.7265625" style="979" customWidth="1"/>
    <col min="6148" max="6400" width="8.81640625" style="979"/>
    <col min="6401" max="6401" width="14.54296875" style="979" customWidth="1"/>
    <col min="6402" max="6402" width="23.7265625" style="979" customWidth="1"/>
    <col min="6403" max="6403" width="30.7265625" style="979" customWidth="1"/>
    <col min="6404" max="6656" width="8.81640625" style="979"/>
    <col min="6657" max="6657" width="14.54296875" style="979" customWidth="1"/>
    <col min="6658" max="6658" width="23.7265625" style="979" customWidth="1"/>
    <col min="6659" max="6659" width="30.7265625" style="979" customWidth="1"/>
    <col min="6660" max="6912" width="8.81640625" style="979"/>
    <col min="6913" max="6913" width="14.54296875" style="979" customWidth="1"/>
    <col min="6914" max="6914" width="23.7265625" style="979" customWidth="1"/>
    <col min="6915" max="6915" width="30.7265625" style="979" customWidth="1"/>
    <col min="6916" max="7168" width="8.81640625" style="979"/>
    <col min="7169" max="7169" width="14.54296875" style="979" customWidth="1"/>
    <col min="7170" max="7170" width="23.7265625" style="979" customWidth="1"/>
    <col min="7171" max="7171" width="30.7265625" style="979" customWidth="1"/>
    <col min="7172" max="7424" width="8.81640625" style="979"/>
    <col min="7425" max="7425" width="14.54296875" style="979" customWidth="1"/>
    <col min="7426" max="7426" width="23.7265625" style="979" customWidth="1"/>
    <col min="7427" max="7427" width="30.7265625" style="979" customWidth="1"/>
    <col min="7428" max="7680" width="8.81640625" style="979"/>
    <col min="7681" max="7681" width="14.54296875" style="979" customWidth="1"/>
    <col min="7682" max="7682" width="23.7265625" style="979" customWidth="1"/>
    <col min="7683" max="7683" width="30.7265625" style="979" customWidth="1"/>
    <col min="7684" max="7936" width="8.81640625" style="979"/>
    <col min="7937" max="7937" width="14.54296875" style="979" customWidth="1"/>
    <col min="7938" max="7938" width="23.7265625" style="979" customWidth="1"/>
    <col min="7939" max="7939" width="30.7265625" style="979" customWidth="1"/>
    <col min="7940" max="8192" width="8.81640625" style="979"/>
    <col min="8193" max="8193" width="14.54296875" style="979" customWidth="1"/>
    <col min="8194" max="8194" width="23.7265625" style="979" customWidth="1"/>
    <col min="8195" max="8195" width="30.7265625" style="979" customWidth="1"/>
    <col min="8196" max="8448" width="8.81640625" style="979"/>
    <col min="8449" max="8449" width="14.54296875" style="979" customWidth="1"/>
    <col min="8450" max="8450" width="23.7265625" style="979" customWidth="1"/>
    <col min="8451" max="8451" width="30.7265625" style="979" customWidth="1"/>
    <col min="8452" max="8704" width="8.81640625" style="979"/>
    <col min="8705" max="8705" width="14.54296875" style="979" customWidth="1"/>
    <col min="8706" max="8706" width="23.7265625" style="979" customWidth="1"/>
    <col min="8707" max="8707" width="30.7265625" style="979" customWidth="1"/>
    <col min="8708" max="8960" width="8.81640625" style="979"/>
    <col min="8961" max="8961" width="14.54296875" style="979" customWidth="1"/>
    <col min="8962" max="8962" width="23.7265625" style="979" customWidth="1"/>
    <col min="8963" max="8963" width="30.7265625" style="979" customWidth="1"/>
    <col min="8964" max="9216" width="8.81640625" style="979"/>
    <col min="9217" max="9217" width="14.54296875" style="979" customWidth="1"/>
    <col min="9218" max="9218" width="23.7265625" style="979" customWidth="1"/>
    <col min="9219" max="9219" width="30.7265625" style="979" customWidth="1"/>
    <col min="9220" max="9472" width="8.81640625" style="979"/>
    <col min="9473" max="9473" width="14.54296875" style="979" customWidth="1"/>
    <col min="9474" max="9474" width="23.7265625" style="979" customWidth="1"/>
    <col min="9475" max="9475" width="30.7265625" style="979" customWidth="1"/>
    <col min="9476" max="9728" width="8.81640625" style="979"/>
    <col min="9729" max="9729" width="14.54296875" style="979" customWidth="1"/>
    <col min="9730" max="9730" width="23.7265625" style="979" customWidth="1"/>
    <col min="9731" max="9731" width="30.7265625" style="979" customWidth="1"/>
    <col min="9732" max="9984" width="8.81640625" style="979"/>
    <col min="9985" max="9985" width="14.54296875" style="979" customWidth="1"/>
    <col min="9986" max="9986" width="23.7265625" style="979" customWidth="1"/>
    <col min="9987" max="9987" width="30.7265625" style="979" customWidth="1"/>
    <col min="9988" max="10240" width="8.81640625" style="979"/>
    <col min="10241" max="10241" width="14.54296875" style="979" customWidth="1"/>
    <col min="10242" max="10242" width="23.7265625" style="979" customWidth="1"/>
    <col min="10243" max="10243" width="30.7265625" style="979" customWidth="1"/>
    <col min="10244" max="10496" width="8.81640625" style="979"/>
    <col min="10497" max="10497" width="14.54296875" style="979" customWidth="1"/>
    <col min="10498" max="10498" width="23.7265625" style="979" customWidth="1"/>
    <col min="10499" max="10499" width="30.7265625" style="979" customWidth="1"/>
    <col min="10500" max="10752" width="8.81640625" style="979"/>
    <col min="10753" max="10753" width="14.54296875" style="979" customWidth="1"/>
    <col min="10754" max="10754" width="23.7265625" style="979" customWidth="1"/>
    <col min="10755" max="10755" width="30.7265625" style="979" customWidth="1"/>
    <col min="10756" max="11008" width="8.81640625" style="979"/>
    <col min="11009" max="11009" width="14.54296875" style="979" customWidth="1"/>
    <col min="11010" max="11010" width="23.7265625" style="979" customWidth="1"/>
    <col min="11011" max="11011" width="30.7265625" style="979" customWidth="1"/>
    <col min="11012" max="11264" width="8.81640625" style="979"/>
    <col min="11265" max="11265" width="14.54296875" style="979" customWidth="1"/>
    <col min="11266" max="11266" width="23.7265625" style="979" customWidth="1"/>
    <col min="11267" max="11267" width="30.7265625" style="979" customWidth="1"/>
    <col min="11268" max="11520" width="8.81640625" style="979"/>
    <col min="11521" max="11521" width="14.54296875" style="979" customWidth="1"/>
    <col min="11522" max="11522" width="23.7265625" style="979" customWidth="1"/>
    <col min="11523" max="11523" width="30.7265625" style="979" customWidth="1"/>
    <col min="11524" max="11776" width="8.81640625" style="979"/>
    <col min="11777" max="11777" width="14.54296875" style="979" customWidth="1"/>
    <col min="11778" max="11778" width="23.7265625" style="979" customWidth="1"/>
    <col min="11779" max="11779" width="30.7265625" style="979" customWidth="1"/>
    <col min="11780" max="12032" width="8.81640625" style="979"/>
    <col min="12033" max="12033" width="14.54296875" style="979" customWidth="1"/>
    <col min="12034" max="12034" width="23.7265625" style="979" customWidth="1"/>
    <col min="12035" max="12035" width="30.7265625" style="979" customWidth="1"/>
    <col min="12036" max="12288" width="8.81640625" style="979"/>
    <col min="12289" max="12289" width="14.54296875" style="979" customWidth="1"/>
    <col min="12290" max="12290" width="23.7265625" style="979" customWidth="1"/>
    <col min="12291" max="12291" width="30.7265625" style="979" customWidth="1"/>
    <col min="12292" max="12544" width="8.81640625" style="979"/>
    <col min="12545" max="12545" width="14.54296875" style="979" customWidth="1"/>
    <col min="12546" max="12546" width="23.7265625" style="979" customWidth="1"/>
    <col min="12547" max="12547" width="30.7265625" style="979" customWidth="1"/>
    <col min="12548" max="12800" width="8.81640625" style="979"/>
    <col min="12801" max="12801" width="14.54296875" style="979" customWidth="1"/>
    <col min="12802" max="12802" width="23.7265625" style="979" customWidth="1"/>
    <col min="12803" max="12803" width="30.7265625" style="979" customWidth="1"/>
    <col min="12804" max="13056" width="8.81640625" style="979"/>
    <col min="13057" max="13057" width="14.54296875" style="979" customWidth="1"/>
    <col min="13058" max="13058" width="23.7265625" style="979" customWidth="1"/>
    <col min="13059" max="13059" width="30.7265625" style="979" customWidth="1"/>
    <col min="13060" max="13312" width="8.81640625" style="979"/>
    <col min="13313" max="13313" width="14.54296875" style="979" customWidth="1"/>
    <col min="13314" max="13314" width="23.7265625" style="979" customWidth="1"/>
    <col min="13315" max="13315" width="30.7265625" style="979" customWidth="1"/>
    <col min="13316" max="13568" width="8.81640625" style="979"/>
    <col min="13569" max="13569" width="14.54296875" style="979" customWidth="1"/>
    <col min="13570" max="13570" width="23.7265625" style="979" customWidth="1"/>
    <col min="13571" max="13571" width="30.7265625" style="979" customWidth="1"/>
    <col min="13572" max="13824" width="8.81640625" style="979"/>
    <col min="13825" max="13825" width="14.54296875" style="979" customWidth="1"/>
    <col min="13826" max="13826" width="23.7265625" style="979" customWidth="1"/>
    <col min="13827" max="13827" width="30.7265625" style="979" customWidth="1"/>
    <col min="13828" max="14080" width="8.81640625" style="979"/>
    <col min="14081" max="14081" width="14.54296875" style="979" customWidth="1"/>
    <col min="14082" max="14082" width="23.7265625" style="979" customWidth="1"/>
    <col min="14083" max="14083" width="30.7265625" style="979" customWidth="1"/>
    <col min="14084" max="14336" width="8.81640625" style="979"/>
    <col min="14337" max="14337" width="14.54296875" style="979" customWidth="1"/>
    <col min="14338" max="14338" width="23.7265625" style="979" customWidth="1"/>
    <col min="14339" max="14339" width="30.7265625" style="979" customWidth="1"/>
    <col min="14340" max="14592" width="8.81640625" style="979"/>
    <col min="14593" max="14593" width="14.54296875" style="979" customWidth="1"/>
    <col min="14594" max="14594" width="23.7265625" style="979" customWidth="1"/>
    <col min="14595" max="14595" width="30.7265625" style="979" customWidth="1"/>
    <col min="14596" max="14848" width="8.81640625" style="979"/>
    <col min="14849" max="14849" width="14.54296875" style="979" customWidth="1"/>
    <col min="14850" max="14850" width="23.7265625" style="979" customWidth="1"/>
    <col min="14851" max="14851" width="30.7265625" style="979" customWidth="1"/>
    <col min="14852" max="15104" width="8.81640625" style="979"/>
    <col min="15105" max="15105" width="14.54296875" style="979" customWidth="1"/>
    <col min="15106" max="15106" width="23.7265625" style="979" customWidth="1"/>
    <col min="15107" max="15107" width="30.7265625" style="979" customWidth="1"/>
    <col min="15108" max="15360" width="8.81640625" style="979"/>
    <col min="15361" max="15361" width="14.54296875" style="979" customWidth="1"/>
    <col min="15362" max="15362" width="23.7265625" style="979" customWidth="1"/>
    <col min="15363" max="15363" width="30.7265625" style="979" customWidth="1"/>
    <col min="15364" max="15616" width="8.81640625" style="979"/>
    <col min="15617" max="15617" width="14.54296875" style="979" customWidth="1"/>
    <col min="15618" max="15618" width="23.7265625" style="979" customWidth="1"/>
    <col min="15619" max="15619" width="30.7265625" style="979" customWidth="1"/>
    <col min="15620" max="15872" width="8.81640625" style="979"/>
    <col min="15873" max="15873" width="14.54296875" style="979" customWidth="1"/>
    <col min="15874" max="15874" width="23.7265625" style="979" customWidth="1"/>
    <col min="15875" max="15875" width="30.7265625" style="979" customWidth="1"/>
    <col min="15876" max="16128" width="8.81640625" style="979"/>
    <col min="16129" max="16129" width="14.54296875" style="979" customWidth="1"/>
    <col min="16130" max="16130" width="23.7265625" style="979" customWidth="1"/>
    <col min="16131" max="16131" width="30.7265625" style="979" customWidth="1"/>
    <col min="16132" max="16384" width="8.81640625" style="979"/>
  </cols>
  <sheetData>
    <row r="1" spans="1:3" ht="17" x14ac:dyDescent="0.45">
      <c r="A1" s="978" t="s">
        <v>337</v>
      </c>
      <c r="B1" s="978"/>
      <c r="C1" s="978"/>
    </row>
    <row r="2" spans="1:3" ht="14.5" thickBot="1" x14ac:dyDescent="0.35">
      <c r="A2" s="1004"/>
      <c r="B2" s="1004"/>
    </row>
    <row r="3" spans="1:3" ht="12.75" customHeight="1" x14ac:dyDescent="0.3">
      <c r="A3" s="981" t="s">
        <v>18</v>
      </c>
      <c r="B3" s="982"/>
      <c r="C3" s="1005" t="s">
        <v>28</v>
      </c>
    </row>
    <row r="4" spans="1:3" ht="14.5" thickBot="1" x14ac:dyDescent="0.35">
      <c r="A4" s="984" t="s">
        <v>20</v>
      </c>
      <c r="B4" s="985" t="s">
        <v>24</v>
      </c>
      <c r="C4" s="1006" t="s">
        <v>29</v>
      </c>
    </row>
    <row r="5" spans="1:3" ht="14.5" thickTop="1" x14ac:dyDescent="0.3">
      <c r="A5" s="987"/>
      <c r="B5" s="988"/>
      <c r="C5" s="989"/>
    </row>
    <row r="6" spans="1:3" x14ac:dyDescent="0.3">
      <c r="A6" s="1323">
        <f>'3-1'!A6:A9</f>
        <v>113</v>
      </c>
      <c r="B6" s="1332" t="str">
        <f>'3-1'!B6:B9</f>
        <v>Large Coal-fired Boiler</v>
      </c>
      <c r="C6" s="990" t="str">
        <f>'3-1'!C6</f>
        <v>SCR</v>
      </c>
    </row>
    <row r="7" spans="1:3" x14ac:dyDescent="0.3">
      <c r="A7" s="1318"/>
      <c r="B7" s="1333"/>
      <c r="C7" s="990" t="str">
        <f>'3-1'!C7</f>
        <v>SNCR</v>
      </c>
    </row>
    <row r="8" spans="1:3" x14ac:dyDescent="0.3">
      <c r="A8" s="1318"/>
      <c r="B8" s="1333"/>
      <c r="C8" s="990" t="str">
        <f>'3-1'!C8</f>
        <v>CFB with Staged Combustion</v>
      </c>
    </row>
    <row r="9" spans="1:3" ht="14.5" thickBot="1" x14ac:dyDescent="0.35">
      <c r="A9" s="1319"/>
      <c r="B9" s="1331"/>
      <c r="C9" s="1003" t="str">
        <f>'3-1'!C9</f>
        <v>Good Combustion Practices</v>
      </c>
    </row>
    <row r="10" spans="1:3" ht="13.15" customHeight="1" x14ac:dyDescent="0.3">
      <c r="A10" s="1317">
        <v>3</v>
      </c>
      <c r="B10" s="1330" t="str">
        <f>'3-1'!B10:B14</f>
        <v>Mid-sized Diesel-fired Boilers</v>
      </c>
      <c r="C10" s="1007" t="str">
        <f>'3-1'!C10</f>
        <v>SCR</v>
      </c>
    </row>
    <row r="11" spans="1:3" x14ac:dyDescent="0.3">
      <c r="A11" s="1318"/>
      <c r="B11" s="1333"/>
      <c r="C11" s="990" t="str">
        <f>'3-1'!C12</f>
        <v>LNB/FGR</v>
      </c>
    </row>
    <row r="12" spans="1:3" ht="17.5" customHeight="1" thickBot="1" x14ac:dyDescent="0.35">
      <c r="A12" s="1319"/>
      <c r="B12" s="1331"/>
      <c r="C12" s="1003" t="str">
        <f>'3-1'!C14</f>
        <v>Good Combustion Practices</v>
      </c>
    </row>
    <row r="13" spans="1:3" x14ac:dyDescent="0.3">
      <c r="A13" s="1317">
        <v>4</v>
      </c>
      <c r="B13" s="1330" t="s">
        <v>70</v>
      </c>
      <c r="C13" s="1007" t="str">
        <f>'3-1'!C12</f>
        <v>LNB/FGR</v>
      </c>
    </row>
    <row r="14" spans="1:3" ht="17.5" customHeight="1" x14ac:dyDescent="0.3">
      <c r="A14" s="1318"/>
      <c r="B14" s="1333"/>
      <c r="C14" s="990" t="str">
        <f>'3-1'!C16</f>
        <v>Limited Operation</v>
      </c>
    </row>
    <row r="15" spans="1:3" ht="17.5" customHeight="1" thickBot="1" x14ac:dyDescent="0.35">
      <c r="A15" s="1319"/>
      <c r="B15" s="1331"/>
      <c r="C15" s="1003" t="str">
        <f>'3-1'!C17</f>
        <v>Good Combustion Practices</v>
      </c>
    </row>
    <row r="16" spans="1:3" ht="13.15" customHeight="1" x14ac:dyDescent="0.3">
      <c r="A16" s="1328" t="s">
        <v>302</v>
      </c>
      <c r="B16" s="1330" t="s">
        <v>69</v>
      </c>
      <c r="C16" s="1007" t="str">
        <f>'3-1'!C15</f>
        <v>LNB</v>
      </c>
    </row>
    <row r="17" spans="1:4" ht="18.649999999999999" customHeight="1" thickBot="1" x14ac:dyDescent="0.35">
      <c r="A17" s="1329"/>
      <c r="B17" s="1331"/>
      <c r="C17" s="1003" t="s">
        <v>72</v>
      </c>
    </row>
    <row r="18" spans="1:4" x14ac:dyDescent="0.3">
      <c r="A18" s="1328">
        <v>8</v>
      </c>
      <c r="B18" s="1330" t="s">
        <v>71</v>
      </c>
      <c r="C18" s="1312" t="s">
        <v>26</v>
      </c>
      <c r="D18" s="979" t="s">
        <v>0</v>
      </c>
    </row>
    <row r="19" spans="1:4" ht="33" customHeight="1" thickBot="1" x14ac:dyDescent="0.35">
      <c r="A19" s="1329"/>
      <c r="B19" s="1331"/>
      <c r="C19" s="1313" t="s">
        <v>353</v>
      </c>
    </row>
    <row r="20" spans="1:4" x14ac:dyDescent="0.3">
      <c r="A20" s="1317">
        <v>27</v>
      </c>
      <c r="B20" s="1330" t="s">
        <v>76</v>
      </c>
      <c r="C20" s="1007" t="str">
        <f>'3-1'!C22</f>
        <v>SCR</v>
      </c>
    </row>
    <row r="21" spans="1:4" ht="28.5" thickBot="1" x14ac:dyDescent="0.35">
      <c r="A21" s="1319"/>
      <c r="B21" s="1331"/>
      <c r="C21" s="1008" t="s">
        <v>310</v>
      </c>
    </row>
    <row r="22" spans="1:4" x14ac:dyDescent="0.3">
      <c r="A22" s="1328" t="s">
        <v>75</v>
      </c>
      <c r="B22" s="1320" t="s">
        <v>335</v>
      </c>
      <c r="C22" s="1007" t="str">
        <f>'3-1'!C31</f>
        <v>Good Combustion Practices</v>
      </c>
    </row>
    <row r="23" spans="1:4" ht="14.5" thickBot="1" x14ac:dyDescent="0.35">
      <c r="A23" s="1329"/>
      <c r="B23" s="1322"/>
      <c r="C23" s="1003" t="s">
        <v>72</v>
      </c>
    </row>
    <row r="24" spans="1:4" x14ac:dyDescent="0.3">
      <c r="C24" s="1140"/>
    </row>
    <row r="26" spans="1:4" x14ac:dyDescent="0.3">
      <c r="C26" s="1140"/>
    </row>
  </sheetData>
  <mergeCells count="14">
    <mergeCell ref="A22:A23"/>
    <mergeCell ref="B22:B23"/>
    <mergeCell ref="A20:A21"/>
    <mergeCell ref="B20:B21"/>
    <mergeCell ref="A6:A9"/>
    <mergeCell ref="B6:B9"/>
    <mergeCell ref="A10:A12"/>
    <mergeCell ref="B10:B12"/>
    <mergeCell ref="A16:A17"/>
    <mergeCell ref="B16:B17"/>
    <mergeCell ref="A13:A15"/>
    <mergeCell ref="B13:B15"/>
    <mergeCell ref="A18:A19"/>
    <mergeCell ref="B18:B19"/>
  </mergeCells>
  <printOptions horizontalCentered="1"/>
  <pageMargins left="0.33" right="0.41" top="0.56000000000000005" bottom="0.52" header="0.3" footer="0.3"/>
  <pageSetup scale="96" fitToHeight="0" orientation="portrait" r:id="rId1"/>
  <headerFooter>
    <oddFooter>&amp;LUAF
PM&amp;Y2.5&amp;Y Serious NAA BACT Analysis&amp;CPage 50&amp;RJanuary 2017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workbookViewId="0">
      <selection activeCell="A17" sqref="A17"/>
    </sheetView>
  </sheetViews>
  <sheetFormatPr defaultRowHeight="12.5" x14ac:dyDescent="0.25"/>
  <cols>
    <col min="1" max="1" width="15.7265625" style="1" customWidth="1"/>
    <col min="2" max="2" width="23.26953125" style="1" customWidth="1"/>
    <col min="3" max="3" width="12.1796875" style="1" customWidth="1"/>
    <col min="4" max="4" width="17.81640625" style="1" customWidth="1"/>
    <col min="5" max="5" width="23.7265625" style="1" customWidth="1"/>
    <col min="6" max="6" width="9.26953125" style="1" bestFit="1" customWidth="1"/>
    <col min="7" max="8" width="9.1796875" style="1" customWidth="1"/>
    <col min="9" max="9" width="9.26953125" style="1" bestFit="1" customWidth="1"/>
    <col min="10" max="251" width="9.1796875" style="1"/>
    <col min="252" max="252" width="15.7265625" style="1" customWidth="1"/>
    <col min="253" max="253" width="23.26953125" style="1" customWidth="1"/>
    <col min="254" max="254" width="12.1796875" style="1" customWidth="1"/>
    <col min="255" max="255" width="17.81640625" style="1" customWidth="1"/>
    <col min="256" max="256" width="23.7265625" style="1" customWidth="1"/>
    <col min="257" max="257" width="9.26953125" style="1" bestFit="1" customWidth="1"/>
    <col min="258" max="264" width="9.1796875" style="1" customWidth="1"/>
    <col min="265" max="265" width="9.26953125" style="1" bestFit="1" customWidth="1"/>
    <col min="266" max="507" width="9.1796875" style="1"/>
    <col min="508" max="508" width="15.7265625" style="1" customWidth="1"/>
    <col min="509" max="509" width="23.26953125" style="1" customWidth="1"/>
    <col min="510" max="510" width="12.1796875" style="1" customWidth="1"/>
    <col min="511" max="511" width="17.81640625" style="1" customWidth="1"/>
    <col min="512" max="512" width="23.7265625" style="1" customWidth="1"/>
    <col min="513" max="513" width="9.26953125" style="1" bestFit="1" customWidth="1"/>
    <col min="514" max="520" width="9.1796875" style="1" customWidth="1"/>
    <col min="521" max="521" width="9.26953125" style="1" bestFit="1" customWidth="1"/>
    <col min="522" max="763" width="9.1796875" style="1"/>
    <col min="764" max="764" width="15.7265625" style="1" customWidth="1"/>
    <col min="765" max="765" width="23.26953125" style="1" customWidth="1"/>
    <col min="766" max="766" width="12.1796875" style="1" customWidth="1"/>
    <col min="767" max="767" width="17.81640625" style="1" customWidth="1"/>
    <col min="768" max="768" width="23.7265625" style="1" customWidth="1"/>
    <col min="769" max="769" width="9.26953125" style="1" bestFit="1" customWidth="1"/>
    <col min="770" max="776" width="9.1796875" style="1" customWidth="1"/>
    <col min="777" max="777" width="9.26953125" style="1" bestFit="1" customWidth="1"/>
    <col min="778" max="1019" width="9.1796875" style="1"/>
    <col min="1020" max="1020" width="15.7265625" style="1" customWidth="1"/>
    <col min="1021" max="1021" width="23.26953125" style="1" customWidth="1"/>
    <col min="1022" max="1022" width="12.1796875" style="1" customWidth="1"/>
    <col min="1023" max="1023" width="17.81640625" style="1" customWidth="1"/>
    <col min="1024" max="1024" width="23.7265625" style="1" customWidth="1"/>
    <col min="1025" max="1025" width="9.26953125" style="1" bestFit="1" customWidth="1"/>
    <col min="1026" max="1032" width="9.1796875" style="1" customWidth="1"/>
    <col min="1033" max="1033" width="9.26953125" style="1" bestFit="1" customWidth="1"/>
    <col min="1034" max="1275" width="9.1796875" style="1"/>
    <col min="1276" max="1276" width="15.7265625" style="1" customWidth="1"/>
    <col min="1277" max="1277" width="23.26953125" style="1" customWidth="1"/>
    <col min="1278" max="1278" width="12.1796875" style="1" customWidth="1"/>
    <col min="1279" max="1279" width="17.81640625" style="1" customWidth="1"/>
    <col min="1280" max="1280" width="23.7265625" style="1" customWidth="1"/>
    <col min="1281" max="1281" width="9.26953125" style="1" bestFit="1" customWidth="1"/>
    <col min="1282" max="1288" width="9.1796875" style="1" customWidth="1"/>
    <col min="1289" max="1289" width="9.26953125" style="1" bestFit="1" customWidth="1"/>
    <col min="1290" max="1531" width="9.1796875" style="1"/>
    <col min="1532" max="1532" width="15.7265625" style="1" customWidth="1"/>
    <col min="1533" max="1533" width="23.26953125" style="1" customWidth="1"/>
    <col min="1534" max="1534" width="12.1796875" style="1" customWidth="1"/>
    <col min="1535" max="1535" width="17.81640625" style="1" customWidth="1"/>
    <col min="1536" max="1536" width="23.7265625" style="1" customWidth="1"/>
    <col min="1537" max="1537" width="9.26953125" style="1" bestFit="1" customWidth="1"/>
    <col min="1538" max="1544" width="9.1796875" style="1" customWidth="1"/>
    <col min="1545" max="1545" width="9.26953125" style="1" bestFit="1" customWidth="1"/>
    <col min="1546" max="1787" width="9.1796875" style="1"/>
    <col min="1788" max="1788" width="15.7265625" style="1" customWidth="1"/>
    <col min="1789" max="1789" width="23.26953125" style="1" customWidth="1"/>
    <col min="1790" max="1790" width="12.1796875" style="1" customWidth="1"/>
    <col min="1791" max="1791" width="17.81640625" style="1" customWidth="1"/>
    <col min="1792" max="1792" width="23.7265625" style="1" customWidth="1"/>
    <col min="1793" max="1793" width="9.26953125" style="1" bestFit="1" customWidth="1"/>
    <col min="1794" max="1800" width="9.1796875" style="1" customWidth="1"/>
    <col min="1801" max="1801" width="9.26953125" style="1" bestFit="1" customWidth="1"/>
    <col min="1802" max="2043" width="9.1796875" style="1"/>
    <col min="2044" max="2044" width="15.7265625" style="1" customWidth="1"/>
    <col min="2045" max="2045" width="23.26953125" style="1" customWidth="1"/>
    <col min="2046" max="2046" width="12.1796875" style="1" customWidth="1"/>
    <col min="2047" max="2047" width="17.81640625" style="1" customWidth="1"/>
    <col min="2048" max="2048" width="23.7265625" style="1" customWidth="1"/>
    <col min="2049" max="2049" width="9.26953125" style="1" bestFit="1" customWidth="1"/>
    <col min="2050" max="2056" width="9.1796875" style="1" customWidth="1"/>
    <col min="2057" max="2057" width="9.26953125" style="1" bestFit="1" customWidth="1"/>
    <col min="2058" max="2299" width="9.1796875" style="1"/>
    <col min="2300" max="2300" width="15.7265625" style="1" customWidth="1"/>
    <col min="2301" max="2301" width="23.26953125" style="1" customWidth="1"/>
    <col min="2302" max="2302" width="12.1796875" style="1" customWidth="1"/>
    <col min="2303" max="2303" width="17.81640625" style="1" customWidth="1"/>
    <col min="2304" max="2304" width="23.7265625" style="1" customWidth="1"/>
    <col min="2305" max="2305" width="9.26953125" style="1" bestFit="1" customWidth="1"/>
    <col min="2306" max="2312" width="9.1796875" style="1" customWidth="1"/>
    <col min="2313" max="2313" width="9.26953125" style="1" bestFit="1" customWidth="1"/>
    <col min="2314" max="2555" width="9.1796875" style="1"/>
    <col min="2556" max="2556" width="15.7265625" style="1" customWidth="1"/>
    <col min="2557" max="2557" width="23.26953125" style="1" customWidth="1"/>
    <col min="2558" max="2558" width="12.1796875" style="1" customWidth="1"/>
    <col min="2559" max="2559" width="17.81640625" style="1" customWidth="1"/>
    <col min="2560" max="2560" width="23.7265625" style="1" customWidth="1"/>
    <col min="2561" max="2561" width="9.26953125" style="1" bestFit="1" customWidth="1"/>
    <col min="2562" max="2568" width="9.1796875" style="1" customWidth="1"/>
    <col min="2569" max="2569" width="9.26953125" style="1" bestFit="1" customWidth="1"/>
    <col min="2570" max="2811" width="9.1796875" style="1"/>
    <col min="2812" max="2812" width="15.7265625" style="1" customWidth="1"/>
    <col min="2813" max="2813" width="23.26953125" style="1" customWidth="1"/>
    <col min="2814" max="2814" width="12.1796875" style="1" customWidth="1"/>
    <col min="2815" max="2815" width="17.81640625" style="1" customWidth="1"/>
    <col min="2816" max="2816" width="23.7265625" style="1" customWidth="1"/>
    <col min="2817" max="2817" width="9.26953125" style="1" bestFit="1" customWidth="1"/>
    <col min="2818" max="2824" width="9.1796875" style="1" customWidth="1"/>
    <col min="2825" max="2825" width="9.26953125" style="1" bestFit="1" customWidth="1"/>
    <col min="2826" max="3067" width="9.1796875" style="1"/>
    <col min="3068" max="3068" width="15.7265625" style="1" customWidth="1"/>
    <col min="3069" max="3069" width="23.26953125" style="1" customWidth="1"/>
    <col min="3070" max="3070" width="12.1796875" style="1" customWidth="1"/>
    <col min="3071" max="3071" width="17.81640625" style="1" customWidth="1"/>
    <col min="3072" max="3072" width="23.7265625" style="1" customWidth="1"/>
    <col min="3073" max="3073" width="9.26953125" style="1" bestFit="1" customWidth="1"/>
    <col min="3074" max="3080" width="9.1796875" style="1" customWidth="1"/>
    <col min="3081" max="3081" width="9.26953125" style="1" bestFit="1" customWidth="1"/>
    <col min="3082" max="3323" width="9.1796875" style="1"/>
    <col min="3324" max="3324" width="15.7265625" style="1" customWidth="1"/>
    <col min="3325" max="3325" width="23.26953125" style="1" customWidth="1"/>
    <col min="3326" max="3326" width="12.1796875" style="1" customWidth="1"/>
    <col min="3327" max="3327" width="17.81640625" style="1" customWidth="1"/>
    <col min="3328" max="3328" width="23.7265625" style="1" customWidth="1"/>
    <col min="3329" max="3329" width="9.26953125" style="1" bestFit="1" customWidth="1"/>
    <col min="3330" max="3336" width="9.1796875" style="1" customWidth="1"/>
    <col min="3337" max="3337" width="9.26953125" style="1" bestFit="1" customWidth="1"/>
    <col min="3338" max="3579" width="9.1796875" style="1"/>
    <col min="3580" max="3580" width="15.7265625" style="1" customWidth="1"/>
    <col min="3581" max="3581" width="23.26953125" style="1" customWidth="1"/>
    <col min="3582" max="3582" width="12.1796875" style="1" customWidth="1"/>
    <col min="3583" max="3583" width="17.81640625" style="1" customWidth="1"/>
    <col min="3584" max="3584" width="23.7265625" style="1" customWidth="1"/>
    <col min="3585" max="3585" width="9.26953125" style="1" bestFit="1" customWidth="1"/>
    <col min="3586" max="3592" width="9.1796875" style="1" customWidth="1"/>
    <col min="3593" max="3593" width="9.26953125" style="1" bestFit="1" customWidth="1"/>
    <col min="3594" max="3835" width="9.1796875" style="1"/>
    <col min="3836" max="3836" width="15.7265625" style="1" customWidth="1"/>
    <col min="3837" max="3837" width="23.26953125" style="1" customWidth="1"/>
    <col min="3838" max="3838" width="12.1796875" style="1" customWidth="1"/>
    <col min="3839" max="3839" width="17.81640625" style="1" customWidth="1"/>
    <col min="3840" max="3840" width="23.7265625" style="1" customWidth="1"/>
    <col min="3841" max="3841" width="9.26953125" style="1" bestFit="1" customWidth="1"/>
    <col min="3842" max="3848" width="9.1796875" style="1" customWidth="1"/>
    <col min="3849" max="3849" width="9.26953125" style="1" bestFit="1" customWidth="1"/>
    <col min="3850" max="4091" width="9.1796875" style="1"/>
    <col min="4092" max="4092" width="15.7265625" style="1" customWidth="1"/>
    <col min="4093" max="4093" width="23.26953125" style="1" customWidth="1"/>
    <col min="4094" max="4094" width="12.1796875" style="1" customWidth="1"/>
    <col min="4095" max="4095" width="17.81640625" style="1" customWidth="1"/>
    <col min="4096" max="4096" width="23.7265625" style="1" customWidth="1"/>
    <col min="4097" max="4097" width="9.26953125" style="1" bestFit="1" customWidth="1"/>
    <col min="4098" max="4104" width="9.1796875" style="1" customWidth="1"/>
    <col min="4105" max="4105" width="9.26953125" style="1" bestFit="1" customWidth="1"/>
    <col min="4106" max="4347" width="9.1796875" style="1"/>
    <col min="4348" max="4348" width="15.7265625" style="1" customWidth="1"/>
    <col min="4349" max="4349" width="23.26953125" style="1" customWidth="1"/>
    <col min="4350" max="4350" width="12.1796875" style="1" customWidth="1"/>
    <col min="4351" max="4351" width="17.81640625" style="1" customWidth="1"/>
    <col min="4352" max="4352" width="23.7265625" style="1" customWidth="1"/>
    <col min="4353" max="4353" width="9.26953125" style="1" bestFit="1" customWidth="1"/>
    <col min="4354" max="4360" width="9.1796875" style="1" customWidth="1"/>
    <col min="4361" max="4361" width="9.26953125" style="1" bestFit="1" customWidth="1"/>
    <col min="4362" max="4603" width="9.1796875" style="1"/>
    <col min="4604" max="4604" width="15.7265625" style="1" customWidth="1"/>
    <col min="4605" max="4605" width="23.26953125" style="1" customWidth="1"/>
    <col min="4606" max="4606" width="12.1796875" style="1" customWidth="1"/>
    <col min="4607" max="4607" width="17.81640625" style="1" customWidth="1"/>
    <col min="4608" max="4608" width="23.7265625" style="1" customWidth="1"/>
    <col min="4609" max="4609" width="9.26953125" style="1" bestFit="1" customWidth="1"/>
    <col min="4610" max="4616" width="9.1796875" style="1" customWidth="1"/>
    <col min="4617" max="4617" width="9.26953125" style="1" bestFit="1" customWidth="1"/>
    <col min="4618" max="4859" width="9.1796875" style="1"/>
    <col min="4860" max="4860" width="15.7265625" style="1" customWidth="1"/>
    <col min="4861" max="4861" width="23.26953125" style="1" customWidth="1"/>
    <col min="4862" max="4862" width="12.1796875" style="1" customWidth="1"/>
    <col min="4863" max="4863" width="17.81640625" style="1" customWidth="1"/>
    <col min="4864" max="4864" width="23.7265625" style="1" customWidth="1"/>
    <col min="4865" max="4865" width="9.26953125" style="1" bestFit="1" customWidth="1"/>
    <col min="4866" max="4872" width="9.1796875" style="1" customWidth="1"/>
    <col min="4873" max="4873" width="9.26953125" style="1" bestFit="1" customWidth="1"/>
    <col min="4874" max="5115" width="9.1796875" style="1"/>
    <col min="5116" max="5116" width="15.7265625" style="1" customWidth="1"/>
    <col min="5117" max="5117" width="23.26953125" style="1" customWidth="1"/>
    <col min="5118" max="5118" width="12.1796875" style="1" customWidth="1"/>
    <col min="5119" max="5119" width="17.81640625" style="1" customWidth="1"/>
    <col min="5120" max="5120" width="23.7265625" style="1" customWidth="1"/>
    <col min="5121" max="5121" width="9.26953125" style="1" bestFit="1" customWidth="1"/>
    <col min="5122" max="5128" width="9.1796875" style="1" customWidth="1"/>
    <col min="5129" max="5129" width="9.26953125" style="1" bestFit="1" customWidth="1"/>
    <col min="5130" max="5371" width="9.1796875" style="1"/>
    <col min="5372" max="5372" width="15.7265625" style="1" customWidth="1"/>
    <col min="5373" max="5373" width="23.26953125" style="1" customWidth="1"/>
    <col min="5374" max="5374" width="12.1796875" style="1" customWidth="1"/>
    <col min="5375" max="5375" width="17.81640625" style="1" customWidth="1"/>
    <col min="5376" max="5376" width="23.7265625" style="1" customWidth="1"/>
    <col min="5377" max="5377" width="9.26953125" style="1" bestFit="1" customWidth="1"/>
    <col min="5378" max="5384" width="9.1796875" style="1" customWidth="1"/>
    <col min="5385" max="5385" width="9.26953125" style="1" bestFit="1" customWidth="1"/>
    <col min="5386" max="5627" width="9.1796875" style="1"/>
    <col min="5628" max="5628" width="15.7265625" style="1" customWidth="1"/>
    <col min="5629" max="5629" width="23.26953125" style="1" customWidth="1"/>
    <col min="5630" max="5630" width="12.1796875" style="1" customWidth="1"/>
    <col min="5631" max="5631" width="17.81640625" style="1" customWidth="1"/>
    <col min="5632" max="5632" width="23.7265625" style="1" customWidth="1"/>
    <col min="5633" max="5633" width="9.26953125" style="1" bestFit="1" customWidth="1"/>
    <col min="5634" max="5640" width="9.1796875" style="1" customWidth="1"/>
    <col min="5641" max="5641" width="9.26953125" style="1" bestFit="1" customWidth="1"/>
    <col min="5642" max="5883" width="9.1796875" style="1"/>
    <col min="5884" max="5884" width="15.7265625" style="1" customWidth="1"/>
    <col min="5885" max="5885" width="23.26953125" style="1" customWidth="1"/>
    <col min="5886" max="5886" width="12.1796875" style="1" customWidth="1"/>
    <col min="5887" max="5887" width="17.81640625" style="1" customWidth="1"/>
    <col min="5888" max="5888" width="23.7265625" style="1" customWidth="1"/>
    <col min="5889" max="5889" width="9.26953125" style="1" bestFit="1" customWidth="1"/>
    <col min="5890" max="5896" width="9.1796875" style="1" customWidth="1"/>
    <col min="5897" max="5897" width="9.26953125" style="1" bestFit="1" customWidth="1"/>
    <col min="5898" max="6139" width="9.1796875" style="1"/>
    <col min="6140" max="6140" width="15.7265625" style="1" customWidth="1"/>
    <col min="6141" max="6141" width="23.26953125" style="1" customWidth="1"/>
    <col min="6142" max="6142" width="12.1796875" style="1" customWidth="1"/>
    <col min="6143" max="6143" width="17.81640625" style="1" customWidth="1"/>
    <col min="6144" max="6144" width="23.7265625" style="1" customWidth="1"/>
    <col min="6145" max="6145" width="9.26953125" style="1" bestFit="1" customWidth="1"/>
    <col min="6146" max="6152" width="9.1796875" style="1" customWidth="1"/>
    <col min="6153" max="6153" width="9.26953125" style="1" bestFit="1" customWidth="1"/>
    <col min="6154" max="6395" width="9.1796875" style="1"/>
    <col min="6396" max="6396" width="15.7265625" style="1" customWidth="1"/>
    <col min="6397" max="6397" width="23.26953125" style="1" customWidth="1"/>
    <col min="6398" max="6398" width="12.1796875" style="1" customWidth="1"/>
    <col min="6399" max="6399" width="17.81640625" style="1" customWidth="1"/>
    <col min="6400" max="6400" width="23.7265625" style="1" customWidth="1"/>
    <col min="6401" max="6401" width="9.26953125" style="1" bestFit="1" customWidth="1"/>
    <col min="6402" max="6408" width="9.1796875" style="1" customWidth="1"/>
    <col min="6409" max="6409" width="9.26953125" style="1" bestFit="1" customWidth="1"/>
    <col min="6410" max="6651" width="9.1796875" style="1"/>
    <col min="6652" max="6652" width="15.7265625" style="1" customWidth="1"/>
    <col min="6653" max="6653" width="23.26953125" style="1" customWidth="1"/>
    <col min="6654" max="6654" width="12.1796875" style="1" customWidth="1"/>
    <col min="6655" max="6655" width="17.81640625" style="1" customWidth="1"/>
    <col min="6656" max="6656" width="23.7265625" style="1" customWidth="1"/>
    <col min="6657" max="6657" width="9.26953125" style="1" bestFit="1" customWidth="1"/>
    <col min="6658" max="6664" width="9.1796875" style="1" customWidth="1"/>
    <col min="6665" max="6665" width="9.26953125" style="1" bestFit="1" customWidth="1"/>
    <col min="6666" max="6907" width="9.1796875" style="1"/>
    <col min="6908" max="6908" width="15.7265625" style="1" customWidth="1"/>
    <col min="6909" max="6909" width="23.26953125" style="1" customWidth="1"/>
    <col min="6910" max="6910" width="12.1796875" style="1" customWidth="1"/>
    <col min="6911" max="6911" width="17.81640625" style="1" customWidth="1"/>
    <col min="6912" max="6912" width="23.7265625" style="1" customWidth="1"/>
    <col min="6913" max="6913" width="9.26953125" style="1" bestFit="1" customWidth="1"/>
    <col min="6914" max="6920" width="9.1796875" style="1" customWidth="1"/>
    <col min="6921" max="6921" width="9.26953125" style="1" bestFit="1" customWidth="1"/>
    <col min="6922" max="7163" width="9.1796875" style="1"/>
    <col min="7164" max="7164" width="15.7265625" style="1" customWidth="1"/>
    <col min="7165" max="7165" width="23.26953125" style="1" customWidth="1"/>
    <col min="7166" max="7166" width="12.1796875" style="1" customWidth="1"/>
    <col min="7167" max="7167" width="17.81640625" style="1" customWidth="1"/>
    <col min="7168" max="7168" width="23.7265625" style="1" customWidth="1"/>
    <col min="7169" max="7169" width="9.26953125" style="1" bestFit="1" customWidth="1"/>
    <col min="7170" max="7176" width="9.1796875" style="1" customWidth="1"/>
    <col min="7177" max="7177" width="9.26953125" style="1" bestFit="1" customWidth="1"/>
    <col min="7178" max="7419" width="9.1796875" style="1"/>
    <col min="7420" max="7420" width="15.7265625" style="1" customWidth="1"/>
    <col min="7421" max="7421" width="23.26953125" style="1" customWidth="1"/>
    <col min="7422" max="7422" width="12.1796875" style="1" customWidth="1"/>
    <col min="7423" max="7423" width="17.81640625" style="1" customWidth="1"/>
    <col min="7424" max="7424" width="23.7265625" style="1" customWidth="1"/>
    <col min="7425" max="7425" width="9.26953125" style="1" bestFit="1" customWidth="1"/>
    <col min="7426" max="7432" width="9.1796875" style="1" customWidth="1"/>
    <col min="7433" max="7433" width="9.26953125" style="1" bestFit="1" customWidth="1"/>
    <col min="7434" max="7675" width="9.1796875" style="1"/>
    <col min="7676" max="7676" width="15.7265625" style="1" customWidth="1"/>
    <col min="7677" max="7677" width="23.26953125" style="1" customWidth="1"/>
    <col min="7678" max="7678" width="12.1796875" style="1" customWidth="1"/>
    <col min="7679" max="7679" width="17.81640625" style="1" customWidth="1"/>
    <col min="7680" max="7680" width="23.7265625" style="1" customWidth="1"/>
    <col min="7681" max="7681" width="9.26953125" style="1" bestFit="1" customWidth="1"/>
    <col min="7682" max="7688" width="9.1796875" style="1" customWidth="1"/>
    <col min="7689" max="7689" width="9.26953125" style="1" bestFit="1" customWidth="1"/>
    <col min="7690" max="7931" width="9.1796875" style="1"/>
    <col min="7932" max="7932" width="15.7265625" style="1" customWidth="1"/>
    <col min="7933" max="7933" width="23.26953125" style="1" customWidth="1"/>
    <col min="7934" max="7934" width="12.1796875" style="1" customWidth="1"/>
    <col min="7935" max="7935" width="17.81640625" style="1" customWidth="1"/>
    <col min="7936" max="7936" width="23.7265625" style="1" customWidth="1"/>
    <col min="7937" max="7937" width="9.26953125" style="1" bestFit="1" customWidth="1"/>
    <col min="7938" max="7944" width="9.1796875" style="1" customWidth="1"/>
    <col min="7945" max="7945" width="9.26953125" style="1" bestFit="1" customWidth="1"/>
    <col min="7946" max="8187" width="9.1796875" style="1"/>
    <col min="8188" max="8188" width="15.7265625" style="1" customWidth="1"/>
    <col min="8189" max="8189" width="23.26953125" style="1" customWidth="1"/>
    <col min="8190" max="8190" width="12.1796875" style="1" customWidth="1"/>
    <col min="8191" max="8191" width="17.81640625" style="1" customWidth="1"/>
    <col min="8192" max="8192" width="23.7265625" style="1" customWidth="1"/>
    <col min="8193" max="8193" width="9.26953125" style="1" bestFit="1" customWidth="1"/>
    <col min="8194" max="8200" width="9.1796875" style="1" customWidth="1"/>
    <col min="8201" max="8201" width="9.26953125" style="1" bestFit="1" customWidth="1"/>
    <col min="8202" max="8443" width="9.1796875" style="1"/>
    <col min="8444" max="8444" width="15.7265625" style="1" customWidth="1"/>
    <col min="8445" max="8445" width="23.26953125" style="1" customWidth="1"/>
    <col min="8446" max="8446" width="12.1796875" style="1" customWidth="1"/>
    <col min="8447" max="8447" width="17.81640625" style="1" customWidth="1"/>
    <col min="8448" max="8448" width="23.7265625" style="1" customWidth="1"/>
    <col min="8449" max="8449" width="9.26953125" style="1" bestFit="1" customWidth="1"/>
    <col min="8450" max="8456" width="9.1796875" style="1" customWidth="1"/>
    <col min="8457" max="8457" width="9.26953125" style="1" bestFit="1" customWidth="1"/>
    <col min="8458" max="8699" width="9.1796875" style="1"/>
    <col min="8700" max="8700" width="15.7265625" style="1" customWidth="1"/>
    <col min="8701" max="8701" width="23.26953125" style="1" customWidth="1"/>
    <col min="8702" max="8702" width="12.1796875" style="1" customWidth="1"/>
    <col min="8703" max="8703" width="17.81640625" style="1" customWidth="1"/>
    <col min="8704" max="8704" width="23.7265625" style="1" customWidth="1"/>
    <col min="8705" max="8705" width="9.26953125" style="1" bestFit="1" customWidth="1"/>
    <col min="8706" max="8712" width="9.1796875" style="1" customWidth="1"/>
    <col min="8713" max="8713" width="9.26953125" style="1" bestFit="1" customWidth="1"/>
    <col min="8714" max="8955" width="9.1796875" style="1"/>
    <col min="8956" max="8956" width="15.7265625" style="1" customWidth="1"/>
    <col min="8957" max="8957" width="23.26953125" style="1" customWidth="1"/>
    <col min="8958" max="8958" width="12.1796875" style="1" customWidth="1"/>
    <col min="8959" max="8959" width="17.81640625" style="1" customWidth="1"/>
    <col min="8960" max="8960" width="23.7265625" style="1" customWidth="1"/>
    <col min="8961" max="8961" width="9.26953125" style="1" bestFit="1" customWidth="1"/>
    <col min="8962" max="8968" width="9.1796875" style="1" customWidth="1"/>
    <col min="8969" max="8969" width="9.26953125" style="1" bestFit="1" customWidth="1"/>
    <col min="8970" max="9211" width="9.1796875" style="1"/>
    <col min="9212" max="9212" width="15.7265625" style="1" customWidth="1"/>
    <col min="9213" max="9213" width="23.26953125" style="1" customWidth="1"/>
    <col min="9214" max="9214" width="12.1796875" style="1" customWidth="1"/>
    <col min="9215" max="9215" width="17.81640625" style="1" customWidth="1"/>
    <col min="9216" max="9216" width="23.7265625" style="1" customWidth="1"/>
    <col min="9217" max="9217" width="9.26953125" style="1" bestFit="1" customWidth="1"/>
    <col min="9218" max="9224" width="9.1796875" style="1" customWidth="1"/>
    <col min="9225" max="9225" width="9.26953125" style="1" bestFit="1" customWidth="1"/>
    <col min="9226" max="9467" width="9.1796875" style="1"/>
    <col min="9468" max="9468" width="15.7265625" style="1" customWidth="1"/>
    <col min="9469" max="9469" width="23.26953125" style="1" customWidth="1"/>
    <col min="9470" max="9470" width="12.1796875" style="1" customWidth="1"/>
    <col min="9471" max="9471" width="17.81640625" style="1" customWidth="1"/>
    <col min="9472" max="9472" width="23.7265625" style="1" customWidth="1"/>
    <col min="9473" max="9473" width="9.26953125" style="1" bestFit="1" customWidth="1"/>
    <col min="9474" max="9480" width="9.1796875" style="1" customWidth="1"/>
    <col min="9481" max="9481" width="9.26953125" style="1" bestFit="1" customWidth="1"/>
    <col min="9482" max="9723" width="9.1796875" style="1"/>
    <col min="9724" max="9724" width="15.7265625" style="1" customWidth="1"/>
    <col min="9725" max="9725" width="23.26953125" style="1" customWidth="1"/>
    <col min="9726" max="9726" width="12.1796875" style="1" customWidth="1"/>
    <col min="9727" max="9727" width="17.81640625" style="1" customWidth="1"/>
    <col min="9728" max="9728" width="23.7265625" style="1" customWidth="1"/>
    <col min="9729" max="9729" width="9.26953125" style="1" bestFit="1" customWidth="1"/>
    <col min="9730" max="9736" width="9.1796875" style="1" customWidth="1"/>
    <col min="9737" max="9737" width="9.26953125" style="1" bestFit="1" customWidth="1"/>
    <col min="9738" max="9979" width="9.1796875" style="1"/>
    <col min="9980" max="9980" width="15.7265625" style="1" customWidth="1"/>
    <col min="9981" max="9981" width="23.26953125" style="1" customWidth="1"/>
    <col min="9982" max="9982" width="12.1796875" style="1" customWidth="1"/>
    <col min="9983" max="9983" width="17.81640625" style="1" customWidth="1"/>
    <col min="9984" max="9984" width="23.7265625" style="1" customWidth="1"/>
    <col min="9985" max="9985" width="9.26953125" style="1" bestFit="1" customWidth="1"/>
    <col min="9986" max="9992" width="9.1796875" style="1" customWidth="1"/>
    <col min="9993" max="9993" width="9.26953125" style="1" bestFit="1" customWidth="1"/>
    <col min="9994" max="10235" width="9.1796875" style="1"/>
    <col min="10236" max="10236" width="15.7265625" style="1" customWidth="1"/>
    <col min="10237" max="10237" width="23.26953125" style="1" customWidth="1"/>
    <col min="10238" max="10238" width="12.1796875" style="1" customWidth="1"/>
    <col min="10239" max="10239" width="17.81640625" style="1" customWidth="1"/>
    <col min="10240" max="10240" width="23.7265625" style="1" customWidth="1"/>
    <col min="10241" max="10241" width="9.26953125" style="1" bestFit="1" customWidth="1"/>
    <col min="10242" max="10248" width="9.1796875" style="1" customWidth="1"/>
    <col min="10249" max="10249" width="9.26953125" style="1" bestFit="1" customWidth="1"/>
    <col min="10250" max="10491" width="9.1796875" style="1"/>
    <col min="10492" max="10492" width="15.7265625" style="1" customWidth="1"/>
    <col min="10493" max="10493" width="23.26953125" style="1" customWidth="1"/>
    <col min="10494" max="10494" width="12.1796875" style="1" customWidth="1"/>
    <col min="10495" max="10495" width="17.81640625" style="1" customWidth="1"/>
    <col min="10496" max="10496" width="23.7265625" style="1" customWidth="1"/>
    <col min="10497" max="10497" width="9.26953125" style="1" bestFit="1" customWidth="1"/>
    <col min="10498" max="10504" width="9.1796875" style="1" customWidth="1"/>
    <col min="10505" max="10505" width="9.26953125" style="1" bestFit="1" customWidth="1"/>
    <col min="10506" max="10747" width="9.1796875" style="1"/>
    <col min="10748" max="10748" width="15.7265625" style="1" customWidth="1"/>
    <col min="10749" max="10749" width="23.26953125" style="1" customWidth="1"/>
    <col min="10750" max="10750" width="12.1796875" style="1" customWidth="1"/>
    <col min="10751" max="10751" width="17.81640625" style="1" customWidth="1"/>
    <col min="10752" max="10752" width="23.7265625" style="1" customWidth="1"/>
    <col min="10753" max="10753" width="9.26953125" style="1" bestFit="1" customWidth="1"/>
    <col min="10754" max="10760" width="9.1796875" style="1" customWidth="1"/>
    <col min="10761" max="10761" width="9.26953125" style="1" bestFit="1" customWidth="1"/>
    <col min="10762" max="11003" width="9.1796875" style="1"/>
    <col min="11004" max="11004" width="15.7265625" style="1" customWidth="1"/>
    <col min="11005" max="11005" width="23.26953125" style="1" customWidth="1"/>
    <col min="11006" max="11006" width="12.1796875" style="1" customWidth="1"/>
    <col min="11007" max="11007" width="17.81640625" style="1" customWidth="1"/>
    <col min="11008" max="11008" width="23.7265625" style="1" customWidth="1"/>
    <col min="11009" max="11009" width="9.26953125" style="1" bestFit="1" customWidth="1"/>
    <col min="11010" max="11016" width="9.1796875" style="1" customWidth="1"/>
    <col min="11017" max="11017" width="9.26953125" style="1" bestFit="1" customWidth="1"/>
    <col min="11018" max="11259" width="9.1796875" style="1"/>
    <col min="11260" max="11260" width="15.7265625" style="1" customWidth="1"/>
    <col min="11261" max="11261" width="23.26953125" style="1" customWidth="1"/>
    <col min="11262" max="11262" width="12.1796875" style="1" customWidth="1"/>
    <col min="11263" max="11263" width="17.81640625" style="1" customWidth="1"/>
    <col min="11264" max="11264" width="23.7265625" style="1" customWidth="1"/>
    <col min="11265" max="11265" width="9.26953125" style="1" bestFit="1" customWidth="1"/>
    <col min="11266" max="11272" width="9.1796875" style="1" customWidth="1"/>
    <col min="11273" max="11273" width="9.26953125" style="1" bestFit="1" customWidth="1"/>
    <col min="11274" max="11515" width="9.1796875" style="1"/>
    <col min="11516" max="11516" width="15.7265625" style="1" customWidth="1"/>
    <col min="11517" max="11517" width="23.26953125" style="1" customWidth="1"/>
    <col min="11518" max="11518" width="12.1796875" style="1" customWidth="1"/>
    <col min="11519" max="11519" width="17.81640625" style="1" customWidth="1"/>
    <col min="11520" max="11520" width="23.7265625" style="1" customWidth="1"/>
    <col min="11521" max="11521" width="9.26953125" style="1" bestFit="1" customWidth="1"/>
    <col min="11522" max="11528" width="9.1796875" style="1" customWidth="1"/>
    <col min="11529" max="11529" width="9.26953125" style="1" bestFit="1" customWidth="1"/>
    <col min="11530" max="11771" width="9.1796875" style="1"/>
    <col min="11772" max="11772" width="15.7265625" style="1" customWidth="1"/>
    <col min="11773" max="11773" width="23.26953125" style="1" customWidth="1"/>
    <col min="11774" max="11774" width="12.1796875" style="1" customWidth="1"/>
    <col min="11775" max="11775" width="17.81640625" style="1" customWidth="1"/>
    <col min="11776" max="11776" width="23.7265625" style="1" customWidth="1"/>
    <col min="11777" max="11777" width="9.26953125" style="1" bestFit="1" customWidth="1"/>
    <col min="11778" max="11784" width="9.1796875" style="1" customWidth="1"/>
    <col min="11785" max="11785" width="9.26953125" style="1" bestFit="1" customWidth="1"/>
    <col min="11786" max="12027" width="9.1796875" style="1"/>
    <col min="12028" max="12028" width="15.7265625" style="1" customWidth="1"/>
    <col min="12029" max="12029" width="23.26953125" style="1" customWidth="1"/>
    <col min="12030" max="12030" width="12.1796875" style="1" customWidth="1"/>
    <col min="12031" max="12031" width="17.81640625" style="1" customWidth="1"/>
    <col min="12032" max="12032" width="23.7265625" style="1" customWidth="1"/>
    <col min="12033" max="12033" width="9.26953125" style="1" bestFit="1" customWidth="1"/>
    <col min="12034" max="12040" width="9.1796875" style="1" customWidth="1"/>
    <col min="12041" max="12041" width="9.26953125" style="1" bestFit="1" customWidth="1"/>
    <col min="12042" max="12283" width="9.1796875" style="1"/>
    <col min="12284" max="12284" width="15.7265625" style="1" customWidth="1"/>
    <col min="12285" max="12285" width="23.26953125" style="1" customWidth="1"/>
    <col min="12286" max="12286" width="12.1796875" style="1" customWidth="1"/>
    <col min="12287" max="12287" width="17.81640625" style="1" customWidth="1"/>
    <col min="12288" max="12288" width="23.7265625" style="1" customWidth="1"/>
    <col min="12289" max="12289" width="9.26953125" style="1" bestFit="1" customWidth="1"/>
    <col min="12290" max="12296" width="9.1796875" style="1" customWidth="1"/>
    <col min="12297" max="12297" width="9.26953125" style="1" bestFit="1" customWidth="1"/>
    <col min="12298" max="12539" width="9.1796875" style="1"/>
    <col min="12540" max="12540" width="15.7265625" style="1" customWidth="1"/>
    <col min="12541" max="12541" width="23.26953125" style="1" customWidth="1"/>
    <col min="12542" max="12542" width="12.1796875" style="1" customWidth="1"/>
    <col min="12543" max="12543" width="17.81640625" style="1" customWidth="1"/>
    <col min="12544" max="12544" width="23.7265625" style="1" customWidth="1"/>
    <col min="12545" max="12545" width="9.26953125" style="1" bestFit="1" customWidth="1"/>
    <col min="12546" max="12552" width="9.1796875" style="1" customWidth="1"/>
    <col min="12553" max="12553" width="9.26953125" style="1" bestFit="1" customWidth="1"/>
    <col min="12554" max="12795" width="9.1796875" style="1"/>
    <col min="12796" max="12796" width="15.7265625" style="1" customWidth="1"/>
    <col min="12797" max="12797" width="23.26953125" style="1" customWidth="1"/>
    <col min="12798" max="12798" width="12.1796875" style="1" customWidth="1"/>
    <col min="12799" max="12799" width="17.81640625" style="1" customWidth="1"/>
    <col min="12800" max="12800" width="23.7265625" style="1" customWidth="1"/>
    <col min="12801" max="12801" width="9.26953125" style="1" bestFit="1" customWidth="1"/>
    <col min="12802" max="12808" width="9.1796875" style="1" customWidth="1"/>
    <col min="12809" max="12809" width="9.26953125" style="1" bestFit="1" customWidth="1"/>
    <col min="12810" max="13051" width="9.1796875" style="1"/>
    <col min="13052" max="13052" width="15.7265625" style="1" customWidth="1"/>
    <col min="13053" max="13053" width="23.26953125" style="1" customWidth="1"/>
    <col min="13054" max="13054" width="12.1796875" style="1" customWidth="1"/>
    <col min="13055" max="13055" width="17.81640625" style="1" customWidth="1"/>
    <col min="13056" max="13056" width="23.7265625" style="1" customWidth="1"/>
    <col min="13057" max="13057" width="9.26953125" style="1" bestFit="1" customWidth="1"/>
    <col min="13058" max="13064" width="9.1796875" style="1" customWidth="1"/>
    <col min="13065" max="13065" width="9.26953125" style="1" bestFit="1" customWidth="1"/>
    <col min="13066" max="13307" width="9.1796875" style="1"/>
    <col min="13308" max="13308" width="15.7265625" style="1" customWidth="1"/>
    <col min="13309" max="13309" width="23.26953125" style="1" customWidth="1"/>
    <col min="13310" max="13310" width="12.1796875" style="1" customWidth="1"/>
    <col min="13311" max="13311" width="17.81640625" style="1" customWidth="1"/>
    <col min="13312" max="13312" width="23.7265625" style="1" customWidth="1"/>
    <col min="13313" max="13313" width="9.26953125" style="1" bestFit="1" customWidth="1"/>
    <col min="13314" max="13320" width="9.1796875" style="1" customWidth="1"/>
    <col min="13321" max="13321" width="9.26953125" style="1" bestFit="1" customWidth="1"/>
    <col min="13322" max="13563" width="9.1796875" style="1"/>
    <col min="13564" max="13564" width="15.7265625" style="1" customWidth="1"/>
    <col min="13565" max="13565" width="23.26953125" style="1" customWidth="1"/>
    <col min="13566" max="13566" width="12.1796875" style="1" customWidth="1"/>
    <col min="13567" max="13567" width="17.81640625" style="1" customWidth="1"/>
    <col min="13568" max="13568" width="23.7265625" style="1" customWidth="1"/>
    <col min="13569" max="13569" width="9.26953125" style="1" bestFit="1" customWidth="1"/>
    <col min="13570" max="13576" width="9.1796875" style="1" customWidth="1"/>
    <col min="13577" max="13577" width="9.26953125" style="1" bestFit="1" customWidth="1"/>
    <col min="13578" max="13819" width="9.1796875" style="1"/>
    <col min="13820" max="13820" width="15.7265625" style="1" customWidth="1"/>
    <col min="13821" max="13821" width="23.26953125" style="1" customWidth="1"/>
    <col min="13822" max="13822" width="12.1796875" style="1" customWidth="1"/>
    <col min="13823" max="13823" width="17.81640625" style="1" customWidth="1"/>
    <col min="13824" max="13824" width="23.7265625" style="1" customWidth="1"/>
    <col min="13825" max="13825" width="9.26953125" style="1" bestFit="1" customWidth="1"/>
    <col min="13826" max="13832" width="9.1796875" style="1" customWidth="1"/>
    <col min="13833" max="13833" width="9.26953125" style="1" bestFit="1" customWidth="1"/>
    <col min="13834" max="14075" width="9.1796875" style="1"/>
    <col min="14076" max="14076" width="15.7265625" style="1" customWidth="1"/>
    <col min="14077" max="14077" width="23.26953125" style="1" customWidth="1"/>
    <col min="14078" max="14078" width="12.1796875" style="1" customWidth="1"/>
    <col min="14079" max="14079" width="17.81640625" style="1" customWidth="1"/>
    <col min="14080" max="14080" width="23.7265625" style="1" customWidth="1"/>
    <col min="14081" max="14081" width="9.26953125" style="1" bestFit="1" customWidth="1"/>
    <col min="14082" max="14088" width="9.1796875" style="1" customWidth="1"/>
    <col min="14089" max="14089" width="9.26953125" style="1" bestFit="1" customWidth="1"/>
    <col min="14090" max="14331" width="9.1796875" style="1"/>
    <col min="14332" max="14332" width="15.7265625" style="1" customWidth="1"/>
    <col min="14333" max="14333" width="23.26953125" style="1" customWidth="1"/>
    <col min="14334" max="14334" width="12.1796875" style="1" customWidth="1"/>
    <col min="14335" max="14335" width="17.81640625" style="1" customWidth="1"/>
    <col min="14336" max="14336" width="23.7265625" style="1" customWidth="1"/>
    <col min="14337" max="14337" width="9.26953125" style="1" bestFit="1" customWidth="1"/>
    <col min="14338" max="14344" width="9.1796875" style="1" customWidth="1"/>
    <col min="14345" max="14345" width="9.26953125" style="1" bestFit="1" customWidth="1"/>
    <col min="14346" max="14587" width="9.1796875" style="1"/>
    <col min="14588" max="14588" width="15.7265625" style="1" customWidth="1"/>
    <col min="14589" max="14589" width="23.26953125" style="1" customWidth="1"/>
    <col min="14590" max="14590" width="12.1796875" style="1" customWidth="1"/>
    <col min="14591" max="14591" width="17.81640625" style="1" customWidth="1"/>
    <col min="14592" max="14592" width="23.7265625" style="1" customWidth="1"/>
    <col min="14593" max="14593" width="9.26953125" style="1" bestFit="1" customWidth="1"/>
    <col min="14594" max="14600" width="9.1796875" style="1" customWidth="1"/>
    <col min="14601" max="14601" width="9.26953125" style="1" bestFit="1" customWidth="1"/>
    <col min="14602" max="14843" width="9.1796875" style="1"/>
    <col min="14844" max="14844" width="15.7265625" style="1" customWidth="1"/>
    <col min="14845" max="14845" width="23.26953125" style="1" customWidth="1"/>
    <col min="14846" max="14846" width="12.1796875" style="1" customWidth="1"/>
    <col min="14847" max="14847" width="17.81640625" style="1" customWidth="1"/>
    <col min="14848" max="14848" width="23.7265625" style="1" customWidth="1"/>
    <col min="14849" max="14849" width="9.26953125" style="1" bestFit="1" customWidth="1"/>
    <col min="14850" max="14856" width="9.1796875" style="1" customWidth="1"/>
    <col min="14857" max="14857" width="9.26953125" style="1" bestFit="1" customWidth="1"/>
    <col min="14858" max="15099" width="9.1796875" style="1"/>
    <col min="15100" max="15100" width="15.7265625" style="1" customWidth="1"/>
    <col min="15101" max="15101" width="23.26953125" style="1" customWidth="1"/>
    <col min="15102" max="15102" width="12.1796875" style="1" customWidth="1"/>
    <col min="15103" max="15103" width="17.81640625" style="1" customWidth="1"/>
    <col min="15104" max="15104" width="23.7265625" style="1" customWidth="1"/>
    <col min="15105" max="15105" width="9.26953125" style="1" bestFit="1" customWidth="1"/>
    <col min="15106" max="15112" width="9.1796875" style="1" customWidth="1"/>
    <col min="15113" max="15113" width="9.26953125" style="1" bestFit="1" customWidth="1"/>
    <col min="15114" max="15355" width="9.1796875" style="1"/>
    <col min="15356" max="15356" width="15.7265625" style="1" customWidth="1"/>
    <col min="15357" max="15357" width="23.26953125" style="1" customWidth="1"/>
    <col min="15358" max="15358" width="12.1796875" style="1" customWidth="1"/>
    <col min="15359" max="15359" width="17.81640625" style="1" customWidth="1"/>
    <col min="15360" max="15360" width="23.7265625" style="1" customWidth="1"/>
    <col min="15361" max="15361" width="9.26953125" style="1" bestFit="1" customWidth="1"/>
    <col min="15362" max="15368" width="9.1796875" style="1" customWidth="1"/>
    <col min="15369" max="15369" width="9.26953125" style="1" bestFit="1" customWidth="1"/>
    <col min="15370" max="15611" width="9.1796875" style="1"/>
    <col min="15612" max="15612" width="15.7265625" style="1" customWidth="1"/>
    <col min="15613" max="15613" width="23.26953125" style="1" customWidth="1"/>
    <col min="15614" max="15614" width="12.1796875" style="1" customWidth="1"/>
    <col min="15615" max="15615" width="17.81640625" style="1" customWidth="1"/>
    <col min="15616" max="15616" width="23.7265625" style="1" customWidth="1"/>
    <col min="15617" max="15617" width="9.26953125" style="1" bestFit="1" customWidth="1"/>
    <col min="15618" max="15624" width="9.1796875" style="1" customWidth="1"/>
    <col min="15625" max="15625" width="9.26953125" style="1" bestFit="1" customWidth="1"/>
    <col min="15626" max="15867" width="9.1796875" style="1"/>
    <col min="15868" max="15868" width="15.7265625" style="1" customWidth="1"/>
    <col min="15869" max="15869" width="23.26953125" style="1" customWidth="1"/>
    <col min="15870" max="15870" width="12.1796875" style="1" customWidth="1"/>
    <col min="15871" max="15871" width="17.81640625" style="1" customWidth="1"/>
    <col min="15872" max="15872" width="23.7265625" style="1" customWidth="1"/>
    <col min="15873" max="15873" width="9.26953125" style="1" bestFit="1" customWidth="1"/>
    <col min="15874" max="15880" width="9.1796875" style="1" customWidth="1"/>
    <col min="15881" max="15881" width="9.26953125" style="1" bestFit="1" customWidth="1"/>
    <col min="15882" max="16123" width="9.1796875" style="1"/>
    <col min="16124" max="16124" width="15.7265625" style="1" customWidth="1"/>
    <col min="16125" max="16125" width="23.26953125" style="1" customWidth="1"/>
    <col min="16126" max="16126" width="12.1796875" style="1" customWidth="1"/>
    <col min="16127" max="16127" width="17.81640625" style="1" customWidth="1"/>
    <col min="16128" max="16128" width="23.7265625" style="1" customWidth="1"/>
    <col min="16129" max="16129" width="9.26953125" style="1" bestFit="1" customWidth="1"/>
    <col min="16130" max="16136" width="9.1796875" style="1" customWidth="1"/>
    <col min="16137" max="16137" width="9.26953125" style="1" bestFit="1" customWidth="1"/>
    <col min="16138" max="16384" width="9.1796875" style="1"/>
  </cols>
  <sheetData>
    <row r="1" spans="1:6" ht="14" x14ac:dyDescent="0.3">
      <c r="A1" s="1459" t="s">
        <v>61</v>
      </c>
      <c r="B1" s="1459"/>
      <c r="C1" s="1459"/>
      <c r="D1" s="1459"/>
      <c r="E1" s="1459"/>
    </row>
    <row r="2" spans="1:6" ht="14" x14ac:dyDescent="0.3">
      <c r="A2" s="1459" t="s">
        <v>48</v>
      </c>
      <c r="B2" s="1459"/>
      <c r="C2" s="1459"/>
      <c r="D2" s="1459"/>
      <c r="E2" s="1459"/>
    </row>
    <row r="3" spans="1:6" ht="16" thickBot="1" x14ac:dyDescent="0.4">
      <c r="A3" s="12" t="s">
        <v>0</v>
      </c>
      <c r="B3" s="12"/>
      <c r="C3" s="3"/>
      <c r="D3" s="3"/>
      <c r="E3" s="3"/>
    </row>
    <row r="4" spans="1:6" s="7" customFormat="1" ht="13" x14ac:dyDescent="0.25">
      <c r="A4" s="13" t="s">
        <v>18</v>
      </c>
      <c r="B4" s="14"/>
      <c r="C4" s="4" t="s">
        <v>19</v>
      </c>
      <c r="D4" s="15" t="s">
        <v>58</v>
      </c>
      <c r="E4" s="16"/>
    </row>
    <row r="5" spans="1:6" s="7" customFormat="1" ht="13.5" thickBot="1" x14ac:dyDescent="0.3">
      <c r="A5" s="17" t="s">
        <v>20</v>
      </c>
      <c r="B5" s="18" t="s">
        <v>24</v>
      </c>
      <c r="C5" s="19"/>
      <c r="D5" s="20" t="s">
        <v>24</v>
      </c>
      <c r="E5" s="21" t="s">
        <v>49</v>
      </c>
    </row>
    <row r="6" spans="1:6" s="7" customFormat="1" ht="13.5" thickTop="1" x14ac:dyDescent="0.25">
      <c r="A6" s="22"/>
      <c r="B6" s="5"/>
      <c r="C6" s="23"/>
      <c r="D6" s="24"/>
      <c r="E6" s="6"/>
    </row>
    <row r="7" spans="1:6" s="7" customFormat="1" ht="28.5" customHeight="1" x14ac:dyDescent="0.25">
      <c r="A7" s="28" t="s">
        <v>41</v>
      </c>
      <c r="B7" s="29" t="str">
        <f>'[2]5-1'!B6</f>
        <v>Solar Taurus Turbine</v>
      </c>
      <c r="C7" s="30" t="s">
        <v>22</v>
      </c>
      <c r="D7" s="30" t="s">
        <v>56</v>
      </c>
      <c r="E7" s="31" t="s">
        <v>52</v>
      </c>
    </row>
    <row r="8" spans="1:6" s="7" customFormat="1" ht="28.5" customHeight="1" x14ac:dyDescent="0.25">
      <c r="A8" s="28" t="s">
        <v>43</v>
      </c>
      <c r="B8" s="29" t="s">
        <v>21</v>
      </c>
      <c r="C8" s="32" t="s">
        <v>42</v>
      </c>
      <c r="D8" s="30" t="s">
        <v>56</v>
      </c>
      <c r="E8" s="31" t="s">
        <v>55</v>
      </c>
    </row>
    <row r="9" spans="1:6" s="7" customFormat="1" ht="25" x14ac:dyDescent="0.25">
      <c r="A9" s="28">
        <v>105</v>
      </c>
      <c r="B9" s="29" t="s">
        <v>36</v>
      </c>
      <c r="C9" s="32" t="s">
        <v>37</v>
      </c>
      <c r="D9" s="30" t="s">
        <v>40</v>
      </c>
      <c r="E9" s="37" t="s">
        <v>50</v>
      </c>
    </row>
    <row r="10" spans="1:6" s="7" customFormat="1" ht="25" x14ac:dyDescent="0.25">
      <c r="A10" s="28" t="s">
        <v>54</v>
      </c>
      <c r="B10" s="29" t="s">
        <v>27</v>
      </c>
      <c r="C10" s="32" t="s">
        <v>37</v>
      </c>
      <c r="D10" s="30" t="s">
        <v>40</v>
      </c>
      <c r="E10" s="39" t="s">
        <v>63</v>
      </c>
    </row>
    <row r="11" spans="1:6" s="7" customFormat="1" ht="25" x14ac:dyDescent="0.25">
      <c r="A11" s="28" t="s">
        <v>59</v>
      </c>
      <c r="B11" s="29" t="s">
        <v>60</v>
      </c>
      <c r="C11" s="32" t="s">
        <v>37</v>
      </c>
      <c r="D11" s="30" t="s">
        <v>40</v>
      </c>
      <c r="E11" s="39" t="s">
        <v>62</v>
      </c>
    </row>
    <row r="12" spans="1:6" s="7" customFormat="1" ht="28.5" customHeight="1" thickBot="1" x14ac:dyDescent="0.3">
      <c r="A12" s="33" t="s">
        <v>38</v>
      </c>
      <c r="B12" s="34" t="s">
        <v>39</v>
      </c>
      <c r="C12" s="35" t="s">
        <v>22</v>
      </c>
      <c r="D12" s="36" t="s">
        <v>57</v>
      </c>
      <c r="E12" s="38" t="s">
        <v>53</v>
      </c>
    </row>
    <row r="13" spans="1:6" ht="12.75" customHeight="1" x14ac:dyDescent="0.25">
      <c r="C13" s="8"/>
      <c r="D13" s="8"/>
      <c r="E13" s="8"/>
      <c r="F13" s="8"/>
    </row>
    <row r="14" spans="1:6" x14ac:dyDescent="0.25">
      <c r="A14" s="8" t="s">
        <v>47</v>
      </c>
      <c r="D14" s="11"/>
      <c r="E14" s="11"/>
    </row>
    <row r="15" spans="1:6" ht="14.25" customHeight="1" x14ac:dyDescent="0.25">
      <c r="A15" s="1460" t="s">
        <v>51</v>
      </c>
      <c r="B15" s="1460"/>
      <c r="C15" s="11"/>
      <c r="D15" s="25"/>
      <c r="E15" s="25"/>
      <c r="F15" s="2"/>
    </row>
    <row r="16" spans="1:6" ht="14.5" x14ac:dyDescent="0.25">
      <c r="A16" s="9" t="s">
        <v>64</v>
      </c>
      <c r="B16" s="10"/>
      <c r="C16" s="11"/>
      <c r="D16" s="25"/>
      <c r="E16" s="26"/>
      <c r="F16" s="27"/>
    </row>
  </sheetData>
  <mergeCells count="3">
    <mergeCell ref="A1:E1"/>
    <mergeCell ref="A2:E2"/>
    <mergeCell ref="A15:B15"/>
  </mergeCells>
  <printOptions horizontalCentered="1"/>
  <pageMargins left="0.75" right="0.75" top="1" bottom="1" header="0.5" footer="0.5"/>
  <pageSetup orientation="landscape" r:id="rId1"/>
  <headerFooter alignWithMargins="0">
    <oddFooter>&amp;L&amp;8Point Thomson Project
PSD Permit Application&amp;C&amp;8Page 50&amp;R&amp;8December 2010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zoomScaleNormal="100" workbookViewId="0">
      <selection activeCell="D18" sqref="D18"/>
    </sheetView>
  </sheetViews>
  <sheetFormatPr defaultRowHeight="14" x14ac:dyDescent="0.3"/>
  <cols>
    <col min="1" max="1" width="13.7265625" style="979" customWidth="1"/>
    <col min="2" max="2" width="16.26953125" style="979" customWidth="1"/>
    <col min="3" max="3" width="28.453125" style="979" customWidth="1"/>
    <col min="4" max="4" width="18.453125" style="980" customWidth="1"/>
    <col min="5" max="5" width="18" style="980" customWidth="1"/>
    <col min="6" max="6" width="17.26953125" style="980" customWidth="1"/>
    <col min="7" max="7" width="7.7265625" style="980" customWidth="1"/>
    <col min="8" max="8" width="22.453125" style="980" customWidth="1"/>
    <col min="9" max="256" width="8.81640625" style="979"/>
    <col min="257" max="257" width="13.7265625" style="979" customWidth="1"/>
    <col min="258" max="258" width="16.26953125" style="979" customWidth="1"/>
    <col min="259" max="259" width="30.7265625" style="979" customWidth="1"/>
    <col min="260" max="260" width="16.26953125" style="979" customWidth="1"/>
    <col min="261" max="261" width="15.81640625" style="979" customWidth="1"/>
    <col min="262" max="262" width="17.26953125" style="979" customWidth="1"/>
    <col min="263" max="264" width="22.453125" style="979" customWidth="1"/>
    <col min="265" max="512" width="8.81640625" style="979"/>
    <col min="513" max="513" width="13.7265625" style="979" customWidth="1"/>
    <col min="514" max="514" width="16.26953125" style="979" customWidth="1"/>
    <col min="515" max="515" width="30.7265625" style="979" customWidth="1"/>
    <col min="516" max="516" width="16.26953125" style="979" customWidth="1"/>
    <col min="517" max="517" width="15.81640625" style="979" customWidth="1"/>
    <col min="518" max="518" width="17.26953125" style="979" customWidth="1"/>
    <col min="519" max="520" width="22.453125" style="979" customWidth="1"/>
    <col min="521" max="768" width="8.81640625" style="979"/>
    <col min="769" max="769" width="13.7265625" style="979" customWidth="1"/>
    <col min="770" max="770" width="16.26953125" style="979" customWidth="1"/>
    <col min="771" max="771" width="30.7265625" style="979" customWidth="1"/>
    <col min="772" max="772" width="16.26953125" style="979" customWidth="1"/>
    <col min="773" max="773" width="15.81640625" style="979" customWidth="1"/>
    <col min="774" max="774" width="17.26953125" style="979" customWidth="1"/>
    <col min="775" max="776" width="22.453125" style="979" customWidth="1"/>
    <col min="777" max="1024" width="8.81640625" style="979"/>
    <col min="1025" max="1025" width="13.7265625" style="979" customWidth="1"/>
    <col min="1026" max="1026" width="16.26953125" style="979" customWidth="1"/>
    <col min="1027" max="1027" width="30.7265625" style="979" customWidth="1"/>
    <col min="1028" max="1028" width="16.26953125" style="979" customWidth="1"/>
    <col min="1029" max="1029" width="15.81640625" style="979" customWidth="1"/>
    <col min="1030" max="1030" width="17.26953125" style="979" customWidth="1"/>
    <col min="1031" max="1032" width="22.453125" style="979" customWidth="1"/>
    <col min="1033" max="1280" width="8.81640625" style="979"/>
    <col min="1281" max="1281" width="13.7265625" style="979" customWidth="1"/>
    <col min="1282" max="1282" width="16.26953125" style="979" customWidth="1"/>
    <col min="1283" max="1283" width="30.7265625" style="979" customWidth="1"/>
    <col min="1284" max="1284" width="16.26953125" style="979" customWidth="1"/>
    <col min="1285" max="1285" width="15.81640625" style="979" customWidth="1"/>
    <col min="1286" max="1286" width="17.26953125" style="979" customWidth="1"/>
    <col min="1287" max="1288" width="22.453125" style="979" customWidth="1"/>
    <col min="1289" max="1536" width="8.81640625" style="979"/>
    <col min="1537" max="1537" width="13.7265625" style="979" customWidth="1"/>
    <col min="1538" max="1538" width="16.26953125" style="979" customWidth="1"/>
    <col min="1539" max="1539" width="30.7265625" style="979" customWidth="1"/>
    <col min="1540" max="1540" width="16.26953125" style="979" customWidth="1"/>
    <col min="1541" max="1541" width="15.81640625" style="979" customWidth="1"/>
    <col min="1542" max="1542" width="17.26953125" style="979" customWidth="1"/>
    <col min="1543" max="1544" width="22.453125" style="979" customWidth="1"/>
    <col min="1545" max="1792" width="8.81640625" style="979"/>
    <col min="1793" max="1793" width="13.7265625" style="979" customWidth="1"/>
    <col min="1794" max="1794" width="16.26953125" style="979" customWidth="1"/>
    <col min="1795" max="1795" width="30.7265625" style="979" customWidth="1"/>
    <col min="1796" max="1796" width="16.26953125" style="979" customWidth="1"/>
    <col min="1797" max="1797" width="15.81640625" style="979" customWidth="1"/>
    <col min="1798" max="1798" width="17.26953125" style="979" customWidth="1"/>
    <col min="1799" max="1800" width="22.453125" style="979" customWidth="1"/>
    <col min="1801" max="2048" width="8.81640625" style="979"/>
    <col min="2049" max="2049" width="13.7265625" style="979" customWidth="1"/>
    <col min="2050" max="2050" width="16.26953125" style="979" customWidth="1"/>
    <col min="2051" max="2051" width="30.7265625" style="979" customWidth="1"/>
    <col min="2052" max="2052" width="16.26953125" style="979" customWidth="1"/>
    <col min="2053" max="2053" width="15.81640625" style="979" customWidth="1"/>
    <col min="2054" max="2054" width="17.26953125" style="979" customWidth="1"/>
    <col min="2055" max="2056" width="22.453125" style="979" customWidth="1"/>
    <col min="2057" max="2304" width="8.81640625" style="979"/>
    <col min="2305" max="2305" width="13.7265625" style="979" customWidth="1"/>
    <col min="2306" max="2306" width="16.26953125" style="979" customWidth="1"/>
    <col min="2307" max="2307" width="30.7265625" style="979" customWidth="1"/>
    <col min="2308" max="2308" width="16.26953125" style="979" customWidth="1"/>
    <col min="2309" max="2309" width="15.81640625" style="979" customWidth="1"/>
    <col min="2310" max="2310" width="17.26953125" style="979" customWidth="1"/>
    <col min="2311" max="2312" width="22.453125" style="979" customWidth="1"/>
    <col min="2313" max="2560" width="8.81640625" style="979"/>
    <col min="2561" max="2561" width="13.7265625" style="979" customWidth="1"/>
    <col min="2562" max="2562" width="16.26953125" style="979" customWidth="1"/>
    <col min="2563" max="2563" width="30.7265625" style="979" customWidth="1"/>
    <col min="2564" max="2564" width="16.26953125" style="979" customWidth="1"/>
    <col min="2565" max="2565" width="15.81640625" style="979" customWidth="1"/>
    <col min="2566" max="2566" width="17.26953125" style="979" customWidth="1"/>
    <col min="2567" max="2568" width="22.453125" style="979" customWidth="1"/>
    <col min="2569" max="2816" width="8.81640625" style="979"/>
    <col min="2817" max="2817" width="13.7265625" style="979" customWidth="1"/>
    <col min="2818" max="2818" width="16.26953125" style="979" customWidth="1"/>
    <col min="2819" max="2819" width="30.7265625" style="979" customWidth="1"/>
    <col min="2820" max="2820" width="16.26953125" style="979" customWidth="1"/>
    <col min="2821" max="2821" width="15.81640625" style="979" customWidth="1"/>
    <col min="2822" max="2822" width="17.26953125" style="979" customWidth="1"/>
    <col min="2823" max="2824" width="22.453125" style="979" customWidth="1"/>
    <col min="2825" max="3072" width="8.81640625" style="979"/>
    <col min="3073" max="3073" width="13.7265625" style="979" customWidth="1"/>
    <col min="3074" max="3074" width="16.26953125" style="979" customWidth="1"/>
    <col min="3075" max="3075" width="30.7265625" style="979" customWidth="1"/>
    <col min="3076" max="3076" width="16.26953125" style="979" customWidth="1"/>
    <col min="3077" max="3077" width="15.81640625" style="979" customWidth="1"/>
    <col min="3078" max="3078" width="17.26953125" style="979" customWidth="1"/>
    <col min="3079" max="3080" width="22.453125" style="979" customWidth="1"/>
    <col min="3081" max="3328" width="8.81640625" style="979"/>
    <col min="3329" max="3329" width="13.7265625" style="979" customWidth="1"/>
    <col min="3330" max="3330" width="16.26953125" style="979" customWidth="1"/>
    <col min="3331" max="3331" width="30.7265625" style="979" customWidth="1"/>
    <col min="3332" max="3332" width="16.26953125" style="979" customWidth="1"/>
    <col min="3333" max="3333" width="15.81640625" style="979" customWidth="1"/>
    <col min="3334" max="3334" width="17.26953125" style="979" customWidth="1"/>
    <col min="3335" max="3336" width="22.453125" style="979" customWidth="1"/>
    <col min="3337" max="3584" width="8.81640625" style="979"/>
    <col min="3585" max="3585" width="13.7265625" style="979" customWidth="1"/>
    <col min="3586" max="3586" width="16.26953125" style="979" customWidth="1"/>
    <col min="3587" max="3587" width="30.7265625" style="979" customWidth="1"/>
    <col min="3588" max="3588" width="16.26953125" style="979" customWidth="1"/>
    <col min="3589" max="3589" width="15.81640625" style="979" customWidth="1"/>
    <col min="3590" max="3590" width="17.26953125" style="979" customWidth="1"/>
    <col min="3591" max="3592" width="22.453125" style="979" customWidth="1"/>
    <col min="3593" max="3840" width="8.81640625" style="979"/>
    <col min="3841" max="3841" width="13.7265625" style="979" customWidth="1"/>
    <col min="3842" max="3842" width="16.26953125" style="979" customWidth="1"/>
    <col min="3843" max="3843" width="30.7265625" style="979" customWidth="1"/>
    <col min="3844" max="3844" width="16.26953125" style="979" customWidth="1"/>
    <col min="3845" max="3845" width="15.81640625" style="979" customWidth="1"/>
    <col min="3846" max="3846" width="17.26953125" style="979" customWidth="1"/>
    <col min="3847" max="3848" width="22.453125" style="979" customWidth="1"/>
    <col min="3849" max="4096" width="8.81640625" style="979"/>
    <col min="4097" max="4097" width="13.7265625" style="979" customWidth="1"/>
    <col min="4098" max="4098" width="16.26953125" style="979" customWidth="1"/>
    <col min="4099" max="4099" width="30.7265625" style="979" customWidth="1"/>
    <col min="4100" max="4100" width="16.26953125" style="979" customWidth="1"/>
    <col min="4101" max="4101" width="15.81640625" style="979" customWidth="1"/>
    <col min="4102" max="4102" width="17.26953125" style="979" customWidth="1"/>
    <col min="4103" max="4104" width="22.453125" style="979" customWidth="1"/>
    <col min="4105" max="4352" width="8.81640625" style="979"/>
    <col min="4353" max="4353" width="13.7265625" style="979" customWidth="1"/>
    <col min="4354" max="4354" width="16.26953125" style="979" customWidth="1"/>
    <col min="4355" max="4355" width="30.7265625" style="979" customWidth="1"/>
    <col min="4356" max="4356" width="16.26953125" style="979" customWidth="1"/>
    <col min="4357" max="4357" width="15.81640625" style="979" customWidth="1"/>
    <col min="4358" max="4358" width="17.26953125" style="979" customWidth="1"/>
    <col min="4359" max="4360" width="22.453125" style="979" customWidth="1"/>
    <col min="4361" max="4608" width="8.81640625" style="979"/>
    <col min="4609" max="4609" width="13.7265625" style="979" customWidth="1"/>
    <col min="4610" max="4610" width="16.26953125" style="979" customWidth="1"/>
    <col min="4611" max="4611" width="30.7265625" style="979" customWidth="1"/>
    <col min="4612" max="4612" width="16.26953125" style="979" customWidth="1"/>
    <col min="4613" max="4613" width="15.81640625" style="979" customWidth="1"/>
    <col min="4614" max="4614" width="17.26953125" style="979" customWidth="1"/>
    <col min="4615" max="4616" width="22.453125" style="979" customWidth="1"/>
    <col min="4617" max="4864" width="8.81640625" style="979"/>
    <col min="4865" max="4865" width="13.7265625" style="979" customWidth="1"/>
    <col min="4866" max="4866" width="16.26953125" style="979" customWidth="1"/>
    <col min="4867" max="4867" width="30.7265625" style="979" customWidth="1"/>
    <col min="4868" max="4868" width="16.26953125" style="979" customWidth="1"/>
    <col min="4869" max="4869" width="15.81640625" style="979" customWidth="1"/>
    <col min="4870" max="4870" width="17.26953125" style="979" customWidth="1"/>
    <col min="4871" max="4872" width="22.453125" style="979" customWidth="1"/>
    <col min="4873" max="5120" width="8.81640625" style="979"/>
    <col min="5121" max="5121" width="13.7265625" style="979" customWidth="1"/>
    <col min="5122" max="5122" width="16.26953125" style="979" customWidth="1"/>
    <col min="5123" max="5123" width="30.7265625" style="979" customWidth="1"/>
    <col min="5124" max="5124" width="16.26953125" style="979" customWidth="1"/>
    <col min="5125" max="5125" width="15.81640625" style="979" customWidth="1"/>
    <col min="5126" max="5126" width="17.26953125" style="979" customWidth="1"/>
    <col min="5127" max="5128" width="22.453125" style="979" customWidth="1"/>
    <col min="5129" max="5376" width="8.81640625" style="979"/>
    <col min="5377" max="5377" width="13.7265625" style="979" customWidth="1"/>
    <col min="5378" max="5378" width="16.26953125" style="979" customWidth="1"/>
    <col min="5379" max="5379" width="30.7265625" style="979" customWidth="1"/>
    <col min="5380" max="5380" width="16.26953125" style="979" customWidth="1"/>
    <col min="5381" max="5381" width="15.81640625" style="979" customWidth="1"/>
    <col min="5382" max="5382" width="17.26953125" style="979" customWidth="1"/>
    <col min="5383" max="5384" width="22.453125" style="979" customWidth="1"/>
    <col min="5385" max="5632" width="8.81640625" style="979"/>
    <col min="5633" max="5633" width="13.7265625" style="979" customWidth="1"/>
    <col min="5634" max="5634" width="16.26953125" style="979" customWidth="1"/>
    <col min="5635" max="5635" width="30.7265625" style="979" customWidth="1"/>
    <col min="5636" max="5636" width="16.26953125" style="979" customWidth="1"/>
    <col min="5637" max="5637" width="15.81640625" style="979" customWidth="1"/>
    <col min="5638" max="5638" width="17.26953125" style="979" customWidth="1"/>
    <col min="5639" max="5640" width="22.453125" style="979" customWidth="1"/>
    <col min="5641" max="5888" width="8.81640625" style="979"/>
    <col min="5889" max="5889" width="13.7265625" style="979" customWidth="1"/>
    <col min="5890" max="5890" width="16.26953125" style="979" customWidth="1"/>
    <col min="5891" max="5891" width="30.7265625" style="979" customWidth="1"/>
    <col min="5892" max="5892" width="16.26953125" style="979" customWidth="1"/>
    <col min="5893" max="5893" width="15.81640625" style="979" customWidth="1"/>
    <col min="5894" max="5894" width="17.26953125" style="979" customWidth="1"/>
    <col min="5895" max="5896" width="22.453125" style="979" customWidth="1"/>
    <col min="5897" max="6144" width="8.81640625" style="979"/>
    <col min="6145" max="6145" width="13.7265625" style="979" customWidth="1"/>
    <col min="6146" max="6146" width="16.26953125" style="979" customWidth="1"/>
    <col min="6147" max="6147" width="30.7265625" style="979" customWidth="1"/>
    <col min="6148" max="6148" width="16.26953125" style="979" customWidth="1"/>
    <col min="6149" max="6149" width="15.81640625" style="979" customWidth="1"/>
    <col min="6150" max="6150" width="17.26953125" style="979" customWidth="1"/>
    <col min="6151" max="6152" width="22.453125" style="979" customWidth="1"/>
    <col min="6153" max="6400" width="8.81640625" style="979"/>
    <col min="6401" max="6401" width="13.7265625" style="979" customWidth="1"/>
    <col min="6402" max="6402" width="16.26953125" style="979" customWidth="1"/>
    <col min="6403" max="6403" width="30.7265625" style="979" customWidth="1"/>
    <col min="6404" max="6404" width="16.26953125" style="979" customWidth="1"/>
    <col min="6405" max="6405" width="15.81640625" style="979" customWidth="1"/>
    <col min="6406" max="6406" width="17.26953125" style="979" customWidth="1"/>
    <col min="6407" max="6408" width="22.453125" style="979" customWidth="1"/>
    <col min="6409" max="6656" width="8.81640625" style="979"/>
    <col min="6657" max="6657" width="13.7265625" style="979" customWidth="1"/>
    <col min="6658" max="6658" width="16.26953125" style="979" customWidth="1"/>
    <col min="6659" max="6659" width="30.7265625" style="979" customWidth="1"/>
    <col min="6660" max="6660" width="16.26953125" style="979" customWidth="1"/>
    <col min="6661" max="6661" width="15.81640625" style="979" customWidth="1"/>
    <col min="6662" max="6662" width="17.26953125" style="979" customWidth="1"/>
    <col min="6663" max="6664" width="22.453125" style="979" customWidth="1"/>
    <col min="6665" max="6912" width="8.81640625" style="979"/>
    <col min="6913" max="6913" width="13.7265625" style="979" customWidth="1"/>
    <col min="6914" max="6914" width="16.26953125" style="979" customWidth="1"/>
    <col min="6915" max="6915" width="30.7265625" style="979" customWidth="1"/>
    <col min="6916" max="6916" width="16.26953125" style="979" customWidth="1"/>
    <col min="6917" max="6917" width="15.81640625" style="979" customWidth="1"/>
    <col min="6918" max="6918" width="17.26953125" style="979" customWidth="1"/>
    <col min="6919" max="6920" width="22.453125" style="979" customWidth="1"/>
    <col min="6921" max="7168" width="8.81640625" style="979"/>
    <col min="7169" max="7169" width="13.7265625" style="979" customWidth="1"/>
    <col min="7170" max="7170" width="16.26953125" style="979" customWidth="1"/>
    <col min="7171" max="7171" width="30.7265625" style="979" customWidth="1"/>
    <col min="7172" max="7172" width="16.26953125" style="979" customWidth="1"/>
    <col min="7173" max="7173" width="15.81640625" style="979" customWidth="1"/>
    <col min="7174" max="7174" width="17.26953125" style="979" customWidth="1"/>
    <col min="7175" max="7176" width="22.453125" style="979" customWidth="1"/>
    <col min="7177" max="7424" width="8.81640625" style="979"/>
    <col min="7425" max="7425" width="13.7265625" style="979" customWidth="1"/>
    <col min="7426" max="7426" width="16.26953125" style="979" customWidth="1"/>
    <col min="7427" max="7427" width="30.7265625" style="979" customWidth="1"/>
    <col min="7428" max="7428" width="16.26953125" style="979" customWidth="1"/>
    <col min="7429" max="7429" width="15.81640625" style="979" customWidth="1"/>
    <col min="7430" max="7430" width="17.26953125" style="979" customWidth="1"/>
    <col min="7431" max="7432" width="22.453125" style="979" customWidth="1"/>
    <col min="7433" max="7680" width="8.81640625" style="979"/>
    <col min="7681" max="7681" width="13.7265625" style="979" customWidth="1"/>
    <col min="7682" max="7682" width="16.26953125" style="979" customWidth="1"/>
    <col min="7683" max="7683" width="30.7265625" style="979" customWidth="1"/>
    <col min="7684" max="7684" width="16.26953125" style="979" customWidth="1"/>
    <col min="7685" max="7685" width="15.81640625" style="979" customWidth="1"/>
    <col min="7686" max="7686" width="17.26953125" style="979" customWidth="1"/>
    <col min="7687" max="7688" width="22.453125" style="979" customWidth="1"/>
    <col min="7689" max="7936" width="8.81640625" style="979"/>
    <col min="7937" max="7937" width="13.7265625" style="979" customWidth="1"/>
    <col min="7938" max="7938" width="16.26953125" style="979" customWidth="1"/>
    <col min="7939" max="7939" width="30.7265625" style="979" customWidth="1"/>
    <col min="7940" max="7940" width="16.26953125" style="979" customWidth="1"/>
    <col min="7941" max="7941" width="15.81640625" style="979" customWidth="1"/>
    <col min="7942" max="7942" width="17.26953125" style="979" customWidth="1"/>
    <col min="7943" max="7944" width="22.453125" style="979" customWidth="1"/>
    <col min="7945" max="8192" width="8.81640625" style="979"/>
    <col min="8193" max="8193" width="13.7265625" style="979" customWidth="1"/>
    <col min="8194" max="8194" width="16.26953125" style="979" customWidth="1"/>
    <col min="8195" max="8195" width="30.7265625" style="979" customWidth="1"/>
    <col min="8196" max="8196" width="16.26953125" style="979" customWidth="1"/>
    <col min="8197" max="8197" width="15.81640625" style="979" customWidth="1"/>
    <col min="8198" max="8198" width="17.26953125" style="979" customWidth="1"/>
    <col min="8199" max="8200" width="22.453125" style="979" customWidth="1"/>
    <col min="8201" max="8448" width="8.81640625" style="979"/>
    <col min="8449" max="8449" width="13.7265625" style="979" customWidth="1"/>
    <col min="8450" max="8450" width="16.26953125" style="979" customWidth="1"/>
    <col min="8451" max="8451" width="30.7265625" style="979" customWidth="1"/>
    <col min="8452" max="8452" width="16.26953125" style="979" customWidth="1"/>
    <col min="8453" max="8453" width="15.81640625" style="979" customWidth="1"/>
    <col min="8454" max="8454" width="17.26953125" style="979" customWidth="1"/>
    <col min="8455" max="8456" width="22.453125" style="979" customWidth="1"/>
    <col min="8457" max="8704" width="8.81640625" style="979"/>
    <col min="8705" max="8705" width="13.7265625" style="979" customWidth="1"/>
    <col min="8706" max="8706" width="16.26953125" style="979" customWidth="1"/>
    <col min="8707" max="8707" width="30.7265625" style="979" customWidth="1"/>
    <col min="8708" max="8708" width="16.26953125" style="979" customWidth="1"/>
    <col min="8709" max="8709" width="15.81640625" style="979" customWidth="1"/>
    <col min="8710" max="8710" width="17.26953125" style="979" customWidth="1"/>
    <col min="8711" max="8712" width="22.453125" style="979" customWidth="1"/>
    <col min="8713" max="8960" width="8.81640625" style="979"/>
    <col min="8961" max="8961" width="13.7265625" style="979" customWidth="1"/>
    <col min="8962" max="8962" width="16.26953125" style="979" customWidth="1"/>
    <col min="8963" max="8963" width="30.7265625" style="979" customWidth="1"/>
    <col min="8964" max="8964" width="16.26953125" style="979" customWidth="1"/>
    <col min="8965" max="8965" width="15.81640625" style="979" customWidth="1"/>
    <col min="8966" max="8966" width="17.26953125" style="979" customWidth="1"/>
    <col min="8967" max="8968" width="22.453125" style="979" customWidth="1"/>
    <col min="8969" max="9216" width="8.81640625" style="979"/>
    <col min="9217" max="9217" width="13.7265625" style="979" customWidth="1"/>
    <col min="9218" max="9218" width="16.26953125" style="979" customWidth="1"/>
    <col min="9219" max="9219" width="30.7265625" style="979" customWidth="1"/>
    <col min="9220" max="9220" width="16.26953125" style="979" customWidth="1"/>
    <col min="9221" max="9221" width="15.81640625" style="979" customWidth="1"/>
    <col min="9222" max="9222" width="17.26953125" style="979" customWidth="1"/>
    <col min="9223" max="9224" width="22.453125" style="979" customWidth="1"/>
    <col min="9225" max="9472" width="8.81640625" style="979"/>
    <col min="9473" max="9473" width="13.7265625" style="979" customWidth="1"/>
    <col min="9474" max="9474" width="16.26953125" style="979" customWidth="1"/>
    <col min="9475" max="9475" width="30.7265625" style="979" customWidth="1"/>
    <col min="9476" max="9476" width="16.26953125" style="979" customWidth="1"/>
    <col min="9477" max="9477" width="15.81640625" style="979" customWidth="1"/>
    <col min="9478" max="9478" width="17.26953125" style="979" customWidth="1"/>
    <col min="9479" max="9480" width="22.453125" style="979" customWidth="1"/>
    <col min="9481" max="9728" width="8.81640625" style="979"/>
    <col min="9729" max="9729" width="13.7265625" style="979" customWidth="1"/>
    <col min="9730" max="9730" width="16.26953125" style="979" customWidth="1"/>
    <col min="9731" max="9731" width="30.7265625" style="979" customWidth="1"/>
    <col min="9732" max="9732" width="16.26953125" style="979" customWidth="1"/>
    <col min="9733" max="9733" width="15.81640625" style="979" customWidth="1"/>
    <col min="9734" max="9734" width="17.26953125" style="979" customWidth="1"/>
    <col min="9735" max="9736" width="22.453125" style="979" customWidth="1"/>
    <col min="9737" max="9984" width="8.81640625" style="979"/>
    <col min="9985" max="9985" width="13.7265625" style="979" customWidth="1"/>
    <col min="9986" max="9986" width="16.26953125" style="979" customWidth="1"/>
    <col min="9987" max="9987" width="30.7265625" style="979" customWidth="1"/>
    <col min="9988" max="9988" width="16.26953125" style="979" customWidth="1"/>
    <col min="9989" max="9989" width="15.81640625" style="979" customWidth="1"/>
    <col min="9990" max="9990" width="17.26953125" style="979" customWidth="1"/>
    <col min="9991" max="9992" width="22.453125" style="979" customWidth="1"/>
    <col min="9993" max="10240" width="8.81640625" style="979"/>
    <col min="10241" max="10241" width="13.7265625" style="979" customWidth="1"/>
    <col min="10242" max="10242" width="16.26953125" style="979" customWidth="1"/>
    <col min="10243" max="10243" width="30.7265625" style="979" customWidth="1"/>
    <col min="10244" max="10244" width="16.26953125" style="979" customWidth="1"/>
    <col min="10245" max="10245" width="15.81640625" style="979" customWidth="1"/>
    <col min="10246" max="10246" width="17.26953125" style="979" customWidth="1"/>
    <col min="10247" max="10248" width="22.453125" style="979" customWidth="1"/>
    <col min="10249" max="10496" width="8.81640625" style="979"/>
    <col min="10497" max="10497" width="13.7265625" style="979" customWidth="1"/>
    <col min="10498" max="10498" width="16.26953125" style="979" customWidth="1"/>
    <col min="10499" max="10499" width="30.7265625" style="979" customWidth="1"/>
    <col min="10500" max="10500" width="16.26953125" style="979" customWidth="1"/>
    <col min="10501" max="10501" width="15.81640625" style="979" customWidth="1"/>
    <col min="10502" max="10502" width="17.26953125" style="979" customWidth="1"/>
    <col min="10503" max="10504" width="22.453125" style="979" customWidth="1"/>
    <col min="10505" max="10752" width="8.81640625" style="979"/>
    <col min="10753" max="10753" width="13.7265625" style="979" customWidth="1"/>
    <col min="10754" max="10754" width="16.26953125" style="979" customWidth="1"/>
    <col min="10755" max="10755" width="30.7265625" style="979" customWidth="1"/>
    <col min="10756" max="10756" width="16.26953125" style="979" customWidth="1"/>
    <col min="10757" max="10757" width="15.81640625" style="979" customWidth="1"/>
    <col min="10758" max="10758" width="17.26953125" style="979" customWidth="1"/>
    <col min="10759" max="10760" width="22.453125" style="979" customWidth="1"/>
    <col min="10761" max="11008" width="8.81640625" style="979"/>
    <col min="11009" max="11009" width="13.7265625" style="979" customWidth="1"/>
    <col min="11010" max="11010" width="16.26953125" style="979" customWidth="1"/>
    <col min="11011" max="11011" width="30.7265625" style="979" customWidth="1"/>
    <col min="11012" max="11012" width="16.26953125" style="979" customWidth="1"/>
    <col min="11013" max="11013" width="15.81640625" style="979" customWidth="1"/>
    <col min="11014" max="11014" width="17.26953125" style="979" customWidth="1"/>
    <col min="11015" max="11016" width="22.453125" style="979" customWidth="1"/>
    <col min="11017" max="11264" width="8.81640625" style="979"/>
    <col min="11265" max="11265" width="13.7265625" style="979" customWidth="1"/>
    <col min="11266" max="11266" width="16.26953125" style="979" customWidth="1"/>
    <col min="11267" max="11267" width="30.7265625" style="979" customWidth="1"/>
    <col min="11268" max="11268" width="16.26953125" style="979" customWidth="1"/>
    <col min="11269" max="11269" width="15.81640625" style="979" customWidth="1"/>
    <col min="11270" max="11270" width="17.26953125" style="979" customWidth="1"/>
    <col min="11271" max="11272" width="22.453125" style="979" customWidth="1"/>
    <col min="11273" max="11520" width="8.81640625" style="979"/>
    <col min="11521" max="11521" width="13.7265625" style="979" customWidth="1"/>
    <col min="11522" max="11522" width="16.26953125" style="979" customWidth="1"/>
    <col min="11523" max="11523" width="30.7265625" style="979" customWidth="1"/>
    <col min="11524" max="11524" width="16.26953125" style="979" customWidth="1"/>
    <col min="11525" max="11525" width="15.81640625" style="979" customWidth="1"/>
    <col min="11526" max="11526" width="17.26953125" style="979" customWidth="1"/>
    <col min="11527" max="11528" width="22.453125" style="979" customWidth="1"/>
    <col min="11529" max="11776" width="8.81640625" style="979"/>
    <col min="11777" max="11777" width="13.7265625" style="979" customWidth="1"/>
    <col min="11778" max="11778" width="16.26953125" style="979" customWidth="1"/>
    <col min="11779" max="11779" width="30.7265625" style="979" customWidth="1"/>
    <col min="11780" max="11780" width="16.26953125" style="979" customWidth="1"/>
    <col min="11781" max="11781" width="15.81640625" style="979" customWidth="1"/>
    <col min="11782" max="11782" width="17.26953125" style="979" customWidth="1"/>
    <col min="11783" max="11784" width="22.453125" style="979" customWidth="1"/>
    <col min="11785" max="12032" width="8.81640625" style="979"/>
    <col min="12033" max="12033" width="13.7265625" style="979" customWidth="1"/>
    <col min="12034" max="12034" width="16.26953125" style="979" customWidth="1"/>
    <col min="12035" max="12035" width="30.7265625" style="979" customWidth="1"/>
    <col min="12036" max="12036" width="16.26953125" style="979" customWidth="1"/>
    <col min="12037" max="12037" width="15.81640625" style="979" customWidth="1"/>
    <col min="12038" max="12038" width="17.26953125" style="979" customWidth="1"/>
    <col min="12039" max="12040" width="22.453125" style="979" customWidth="1"/>
    <col min="12041" max="12288" width="8.81640625" style="979"/>
    <col min="12289" max="12289" width="13.7265625" style="979" customWidth="1"/>
    <col min="12290" max="12290" width="16.26953125" style="979" customWidth="1"/>
    <col min="12291" max="12291" width="30.7265625" style="979" customWidth="1"/>
    <col min="12292" max="12292" width="16.26953125" style="979" customWidth="1"/>
    <col min="12293" max="12293" width="15.81640625" style="979" customWidth="1"/>
    <col min="12294" max="12294" width="17.26953125" style="979" customWidth="1"/>
    <col min="12295" max="12296" width="22.453125" style="979" customWidth="1"/>
    <col min="12297" max="12544" width="8.81640625" style="979"/>
    <col min="12545" max="12545" width="13.7265625" style="979" customWidth="1"/>
    <col min="12546" max="12546" width="16.26953125" style="979" customWidth="1"/>
    <col min="12547" max="12547" width="30.7265625" style="979" customWidth="1"/>
    <col min="12548" max="12548" width="16.26953125" style="979" customWidth="1"/>
    <col min="12549" max="12549" width="15.81640625" style="979" customWidth="1"/>
    <col min="12550" max="12550" width="17.26953125" style="979" customWidth="1"/>
    <col min="12551" max="12552" width="22.453125" style="979" customWidth="1"/>
    <col min="12553" max="12800" width="8.81640625" style="979"/>
    <col min="12801" max="12801" width="13.7265625" style="979" customWidth="1"/>
    <col min="12802" max="12802" width="16.26953125" style="979" customWidth="1"/>
    <col min="12803" max="12803" width="30.7265625" style="979" customWidth="1"/>
    <col min="12804" max="12804" width="16.26953125" style="979" customWidth="1"/>
    <col min="12805" max="12805" width="15.81640625" style="979" customWidth="1"/>
    <col min="12806" max="12806" width="17.26953125" style="979" customWidth="1"/>
    <col min="12807" max="12808" width="22.453125" style="979" customWidth="1"/>
    <col min="12809" max="13056" width="8.81640625" style="979"/>
    <col min="13057" max="13057" width="13.7265625" style="979" customWidth="1"/>
    <col min="13058" max="13058" width="16.26953125" style="979" customWidth="1"/>
    <col min="13059" max="13059" width="30.7265625" style="979" customWidth="1"/>
    <col min="13060" max="13060" width="16.26953125" style="979" customWidth="1"/>
    <col min="13061" max="13061" width="15.81640625" style="979" customWidth="1"/>
    <col min="13062" max="13062" width="17.26953125" style="979" customWidth="1"/>
    <col min="13063" max="13064" width="22.453125" style="979" customWidth="1"/>
    <col min="13065" max="13312" width="8.81640625" style="979"/>
    <col min="13313" max="13313" width="13.7265625" style="979" customWidth="1"/>
    <col min="13314" max="13314" width="16.26953125" style="979" customWidth="1"/>
    <col min="13315" max="13315" width="30.7265625" style="979" customWidth="1"/>
    <col min="13316" max="13316" width="16.26953125" style="979" customWidth="1"/>
    <col min="13317" max="13317" width="15.81640625" style="979" customWidth="1"/>
    <col min="13318" max="13318" width="17.26953125" style="979" customWidth="1"/>
    <col min="13319" max="13320" width="22.453125" style="979" customWidth="1"/>
    <col min="13321" max="13568" width="8.81640625" style="979"/>
    <col min="13569" max="13569" width="13.7265625" style="979" customWidth="1"/>
    <col min="13570" max="13570" width="16.26953125" style="979" customWidth="1"/>
    <col min="13571" max="13571" width="30.7265625" style="979" customWidth="1"/>
    <col min="13572" max="13572" width="16.26953125" style="979" customWidth="1"/>
    <col min="13573" max="13573" width="15.81640625" style="979" customWidth="1"/>
    <col min="13574" max="13574" width="17.26953125" style="979" customWidth="1"/>
    <col min="13575" max="13576" width="22.453125" style="979" customWidth="1"/>
    <col min="13577" max="13824" width="8.81640625" style="979"/>
    <col min="13825" max="13825" width="13.7265625" style="979" customWidth="1"/>
    <col min="13826" max="13826" width="16.26953125" style="979" customWidth="1"/>
    <col min="13827" max="13827" width="30.7265625" style="979" customWidth="1"/>
    <col min="13828" max="13828" width="16.26953125" style="979" customWidth="1"/>
    <col min="13829" max="13829" width="15.81640625" style="979" customWidth="1"/>
    <col min="13830" max="13830" width="17.26953125" style="979" customWidth="1"/>
    <col min="13831" max="13832" width="22.453125" style="979" customWidth="1"/>
    <col min="13833" max="14080" width="8.81640625" style="979"/>
    <col min="14081" max="14081" width="13.7265625" style="979" customWidth="1"/>
    <col min="14082" max="14082" width="16.26953125" style="979" customWidth="1"/>
    <col min="14083" max="14083" width="30.7265625" style="979" customWidth="1"/>
    <col min="14084" max="14084" width="16.26953125" style="979" customWidth="1"/>
    <col min="14085" max="14085" width="15.81640625" style="979" customWidth="1"/>
    <col min="14086" max="14086" width="17.26953125" style="979" customWidth="1"/>
    <col min="14087" max="14088" width="22.453125" style="979" customWidth="1"/>
    <col min="14089" max="14336" width="8.81640625" style="979"/>
    <col min="14337" max="14337" width="13.7265625" style="979" customWidth="1"/>
    <col min="14338" max="14338" width="16.26953125" style="979" customWidth="1"/>
    <col min="14339" max="14339" width="30.7265625" style="979" customWidth="1"/>
    <col min="14340" max="14340" width="16.26953125" style="979" customWidth="1"/>
    <col min="14341" max="14341" width="15.81640625" style="979" customWidth="1"/>
    <col min="14342" max="14342" width="17.26953125" style="979" customWidth="1"/>
    <col min="14343" max="14344" width="22.453125" style="979" customWidth="1"/>
    <col min="14345" max="14592" width="8.81640625" style="979"/>
    <col min="14593" max="14593" width="13.7265625" style="979" customWidth="1"/>
    <col min="14594" max="14594" width="16.26953125" style="979" customWidth="1"/>
    <col min="14595" max="14595" width="30.7265625" style="979" customWidth="1"/>
    <col min="14596" max="14596" width="16.26953125" style="979" customWidth="1"/>
    <col min="14597" max="14597" width="15.81640625" style="979" customWidth="1"/>
    <col min="14598" max="14598" width="17.26953125" style="979" customWidth="1"/>
    <col min="14599" max="14600" width="22.453125" style="979" customWidth="1"/>
    <col min="14601" max="14848" width="8.81640625" style="979"/>
    <col min="14849" max="14849" width="13.7265625" style="979" customWidth="1"/>
    <col min="14850" max="14850" width="16.26953125" style="979" customWidth="1"/>
    <col min="14851" max="14851" width="30.7265625" style="979" customWidth="1"/>
    <col min="14852" max="14852" width="16.26953125" style="979" customWidth="1"/>
    <col min="14853" max="14853" width="15.81640625" style="979" customWidth="1"/>
    <col min="14854" max="14854" width="17.26953125" style="979" customWidth="1"/>
    <col min="14855" max="14856" width="22.453125" style="979" customWidth="1"/>
    <col min="14857" max="15104" width="8.81640625" style="979"/>
    <col min="15105" max="15105" width="13.7265625" style="979" customWidth="1"/>
    <col min="15106" max="15106" width="16.26953125" style="979" customWidth="1"/>
    <col min="15107" max="15107" width="30.7265625" style="979" customWidth="1"/>
    <col min="15108" max="15108" width="16.26953125" style="979" customWidth="1"/>
    <col min="15109" max="15109" width="15.81640625" style="979" customWidth="1"/>
    <col min="15110" max="15110" width="17.26953125" style="979" customWidth="1"/>
    <col min="15111" max="15112" width="22.453125" style="979" customWidth="1"/>
    <col min="15113" max="15360" width="8.81640625" style="979"/>
    <col min="15361" max="15361" width="13.7265625" style="979" customWidth="1"/>
    <col min="15362" max="15362" width="16.26953125" style="979" customWidth="1"/>
    <col min="15363" max="15363" width="30.7265625" style="979" customWidth="1"/>
    <col min="15364" max="15364" width="16.26953125" style="979" customWidth="1"/>
    <col min="15365" max="15365" width="15.81640625" style="979" customWidth="1"/>
    <col min="15366" max="15366" width="17.26953125" style="979" customWidth="1"/>
    <col min="15367" max="15368" width="22.453125" style="979" customWidth="1"/>
    <col min="15369" max="15616" width="8.81640625" style="979"/>
    <col min="15617" max="15617" width="13.7265625" style="979" customWidth="1"/>
    <col min="15618" max="15618" width="16.26953125" style="979" customWidth="1"/>
    <col min="15619" max="15619" width="30.7265625" style="979" customWidth="1"/>
    <col min="15620" max="15620" width="16.26953125" style="979" customWidth="1"/>
    <col min="15621" max="15621" width="15.81640625" style="979" customWidth="1"/>
    <col min="15622" max="15622" width="17.26953125" style="979" customWidth="1"/>
    <col min="15623" max="15624" width="22.453125" style="979" customWidth="1"/>
    <col min="15625" max="15872" width="8.81640625" style="979"/>
    <col min="15873" max="15873" width="13.7265625" style="979" customWidth="1"/>
    <col min="15874" max="15874" width="16.26953125" style="979" customWidth="1"/>
    <col min="15875" max="15875" width="30.7265625" style="979" customWidth="1"/>
    <col min="15876" max="15876" width="16.26953125" style="979" customWidth="1"/>
    <col min="15877" max="15877" width="15.81640625" style="979" customWidth="1"/>
    <col min="15878" max="15878" width="17.26953125" style="979" customWidth="1"/>
    <col min="15879" max="15880" width="22.453125" style="979" customWidth="1"/>
    <col min="15881" max="16128" width="8.81640625" style="979"/>
    <col min="16129" max="16129" width="13.7265625" style="979" customWidth="1"/>
    <col min="16130" max="16130" width="16.26953125" style="979" customWidth="1"/>
    <col min="16131" max="16131" width="30.7265625" style="979" customWidth="1"/>
    <col min="16132" max="16132" width="16.26953125" style="979" customWidth="1"/>
    <col min="16133" max="16133" width="15.81640625" style="979" customWidth="1"/>
    <col min="16134" max="16134" width="17.26953125" style="979" customWidth="1"/>
    <col min="16135" max="16136" width="22.453125" style="979" customWidth="1"/>
    <col min="16137" max="16384" width="8.81640625" style="979"/>
  </cols>
  <sheetData>
    <row r="1" spans="1:8" ht="17" x14ac:dyDescent="0.45">
      <c r="A1" s="1339" t="s">
        <v>324</v>
      </c>
      <c r="B1" s="1339"/>
      <c r="C1" s="1339"/>
      <c r="D1" s="1339"/>
      <c r="E1" s="1339"/>
      <c r="F1" s="1339"/>
      <c r="G1" s="979"/>
      <c r="H1" s="979"/>
    </row>
    <row r="2" spans="1:8" ht="14.5" thickBot="1" x14ac:dyDescent="0.35">
      <c r="A2" s="1004"/>
      <c r="B2" s="1004"/>
      <c r="C2" s="1004"/>
      <c r="D2" s="1004"/>
    </row>
    <row r="3" spans="1:8" ht="17" x14ac:dyDescent="0.3">
      <c r="A3" s="1340" t="s">
        <v>18</v>
      </c>
      <c r="B3" s="1341"/>
      <c r="C3" s="1009" t="s">
        <v>30</v>
      </c>
      <c r="D3" s="1010" t="s">
        <v>30</v>
      </c>
      <c r="E3" s="1011" t="s">
        <v>325</v>
      </c>
      <c r="F3" s="1005" t="s">
        <v>31</v>
      </c>
      <c r="G3" s="979"/>
      <c r="H3" s="979"/>
    </row>
    <row r="4" spans="1:8" ht="14.5" thickBot="1" x14ac:dyDescent="0.35">
      <c r="A4" s="1012" t="s">
        <v>20</v>
      </c>
      <c r="B4" s="1013" t="s">
        <v>24</v>
      </c>
      <c r="C4" s="1014" t="s">
        <v>32</v>
      </c>
      <c r="D4" s="1015" t="s">
        <v>33</v>
      </c>
      <c r="E4" s="1013" t="s">
        <v>34</v>
      </c>
      <c r="F4" s="1016" t="s">
        <v>35</v>
      </c>
      <c r="G4" s="979"/>
      <c r="H4" s="979"/>
    </row>
    <row r="5" spans="1:8" ht="14.5" thickTop="1" x14ac:dyDescent="0.3">
      <c r="A5" s="1017" t="s">
        <v>0</v>
      </c>
      <c r="B5" s="1018"/>
      <c r="C5" s="1019"/>
      <c r="D5" s="1020"/>
      <c r="E5" s="1019"/>
      <c r="F5" s="1021"/>
    </row>
    <row r="6" spans="1:8" ht="28" x14ac:dyDescent="0.3">
      <c r="A6" s="1335">
        <v>113</v>
      </c>
      <c r="B6" s="1343" t="s">
        <v>77</v>
      </c>
      <c r="C6" s="1022" t="s">
        <v>81</v>
      </c>
      <c r="D6" s="1023">
        <v>80</v>
      </c>
      <c r="E6" s="1024">
        <f>E$8*(100-D6)/100</f>
        <v>51.8</v>
      </c>
      <c r="F6" s="1025">
        <f>E$8-E6</f>
        <v>207.2</v>
      </c>
    </row>
    <row r="7" spans="1:8" ht="28" x14ac:dyDescent="0.3">
      <c r="A7" s="1342"/>
      <c r="B7" s="1343"/>
      <c r="C7" s="1022" t="s">
        <v>82</v>
      </c>
      <c r="D7" s="1026">
        <v>20</v>
      </c>
      <c r="E7" s="1024">
        <f>E$8*(100-D7)/100</f>
        <v>207.2</v>
      </c>
      <c r="F7" s="1025">
        <f>E$8-E7</f>
        <v>51.800000000000011</v>
      </c>
    </row>
    <row r="8" spans="1:8" ht="14.5" thickBot="1" x14ac:dyDescent="0.35">
      <c r="A8" s="1336"/>
      <c r="B8" s="1338"/>
      <c r="C8" s="1027" t="s">
        <v>80</v>
      </c>
      <c r="D8" s="1028">
        <v>0</v>
      </c>
      <c r="E8" s="1029">
        <v>259</v>
      </c>
      <c r="F8" s="1030">
        <f>0</f>
        <v>0</v>
      </c>
    </row>
    <row r="9" spans="1:8" x14ac:dyDescent="0.3">
      <c r="A9" s="1335">
        <v>3</v>
      </c>
      <c r="B9" s="1344" t="s">
        <v>78</v>
      </c>
      <c r="C9" s="1022" t="str">
        <f>'3-2'!C10</f>
        <v>SCR</v>
      </c>
      <c r="D9" s="1023">
        <v>85</v>
      </c>
      <c r="E9" s="1031">
        <f>E$11*(100-D9)/100</f>
        <v>20.82</v>
      </c>
      <c r="F9" s="1032">
        <f>E$11-E9</f>
        <v>117.98000000000002</v>
      </c>
    </row>
    <row r="10" spans="1:8" x14ac:dyDescent="0.3">
      <c r="A10" s="1342"/>
      <c r="B10" s="1343"/>
      <c r="C10" s="1033" t="str">
        <f>'3-2'!C11</f>
        <v>LNB/FGR</v>
      </c>
      <c r="D10" s="1034">
        <f>(E11-E10)/E11*100</f>
        <v>42.914841498559078</v>
      </c>
      <c r="E10" s="1035">
        <f>180.9*0.1*8760/2000</f>
        <v>79.234200000000001</v>
      </c>
      <c r="F10" s="1036">
        <f>E$11-E10</f>
        <v>59.56580000000001</v>
      </c>
    </row>
    <row r="11" spans="1:8" ht="14.5" thickBot="1" x14ac:dyDescent="0.35">
      <c r="A11" s="1336"/>
      <c r="B11" s="1338"/>
      <c r="C11" s="1027" t="str">
        <f>'3-2'!C12</f>
        <v>Good Combustion Practices</v>
      </c>
      <c r="D11" s="1037">
        <v>0</v>
      </c>
      <c r="E11" s="1038">
        <v>138.80000000000001</v>
      </c>
      <c r="F11" s="1039">
        <f>0</f>
        <v>0</v>
      </c>
    </row>
    <row r="12" spans="1:8" ht="25.15" customHeight="1" x14ac:dyDescent="0.3">
      <c r="A12" s="1345">
        <v>4</v>
      </c>
      <c r="B12" s="1337" t="s">
        <v>79</v>
      </c>
      <c r="C12" s="1033" t="str">
        <f>'3-2'!C13</f>
        <v>LNB/FGR</v>
      </c>
      <c r="D12" s="1034">
        <f>(E13-E12)/E13*100</f>
        <v>8.7951654676258908</v>
      </c>
      <c r="E12" s="1040">
        <f>180.9*0.16*8760*0.1/2000</f>
        <v>12.677472000000002</v>
      </c>
      <c r="F12" s="1041">
        <f>E$13-E12</f>
        <v>1.2225279999999987</v>
      </c>
    </row>
    <row r="13" spans="1:8" ht="25.15" customHeight="1" thickBot="1" x14ac:dyDescent="0.35">
      <c r="A13" s="1336"/>
      <c r="B13" s="1338"/>
      <c r="C13" s="1027" t="s">
        <v>326</v>
      </c>
      <c r="D13" s="1037">
        <v>0</v>
      </c>
      <c r="E13" s="1042">
        <v>13.9</v>
      </c>
      <c r="F13" s="1043">
        <f>0</f>
        <v>0</v>
      </c>
    </row>
    <row r="14" spans="1:8" ht="16.5" x14ac:dyDescent="0.3">
      <c r="A14" s="1335" t="s">
        <v>302</v>
      </c>
      <c r="B14" s="1344" t="s">
        <v>69</v>
      </c>
      <c r="C14" s="1022" t="s">
        <v>327</v>
      </c>
      <c r="D14" s="1023" t="s">
        <v>97</v>
      </c>
      <c r="E14" s="1031">
        <v>8.8000000000000007</v>
      </c>
      <c r="F14" s="1032" t="s">
        <v>17</v>
      </c>
      <c r="H14" s="1044" t="s">
        <v>0</v>
      </c>
    </row>
    <row r="15" spans="1:8" ht="14.5" thickBot="1" x14ac:dyDescent="0.35">
      <c r="A15" s="1336"/>
      <c r="B15" s="1338"/>
      <c r="C15" s="1027" t="s">
        <v>98</v>
      </c>
      <c r="D15" s="1028" t="s">
        <v>97</v>
      </c>
      <c r="E15" s="1045">
        <v>13.87</v>
      </c>
      <c r="F15" s="1030">
        <f>0</f>
        <v>0</v>
      </c>
    </row>
    <row r="16" spans="1:8" ht="42" x14ac:dyDescent="0.3">
      <c r="A16" s="1335">
        <v>8</v>
      </c>
      <c r="B16" s="1337" t="s">
        <v>71</v>
      </c>
      <c r="C16" s="1046" t="s">
        <v>354</v>
      </c>
      <c r="D16" s="1047">
        <v>90</v>
      </c>
      <c r="E16" s="1048">
        <f>E17*(1-(D16/100))</f>
        <v>3.9999999999999991</v>
      </c>
      <c r="F16" s="1049">
        <f>E16*D16/(100-D16)</f>
        <v>35.999999999999993</v>
      </c>
    </row>
    <row r="17" spans="1:8" ht="28.5" thickBot="1" x14ac:dyDescent="0.35">
      <c r="A17" s="1336"/>
      <c r="B17" s="1338"/>
      <c r="C17" s="1050" t="s">
        <v>355</v>
      </c>
      <c r="D17" s="1051">
        <v>0</v>
      </c>
      <c r="E17" s="1052">
        <v>40</v>
      </c>
      <c r="F17" s="1053">
        <f>E17*D17/(100-D17)</f>
        <v>0</v>
      </c>
    </row>
    <row r="18" spans="1:8" ht="42" x14ac:dyDescent="0.3">
      <c r="A18" s="1335">
        <v>27</v>
      </c>
      <c r="B18" s="1337" t="s">
        <v>76</v>
      </c>
      <c r="C18" s="1046" t="s">
        <v>304</v>
      </c>
      <c r="D18" s="1047">
        <v>90</v>
      </c>
      <c r="E18" s="1048">
        <f>E19*(1-(D18/100))</f>
        <v>0.7699999999999998</v>
      </c>
      <c r="F18" s="1049">
        <f>E18*D18/(100-D18)</f>
        <v>6.9299999999999979</v>
      </c>
      <c r="G18" s="979" t="s">
        <v>0</v>
      </c>
      <c r="H18" s="979"/>
    </row>
    <row r="19" spans="1:8" ht="42.5" thickBot="1" x14ac:dyDescent="0.35">
      <c r="A19" s="1336"/>
      <c r="B19" s="1338"/>
      <c r="C19" s="1050" t="s">
        <v>303</v>
      </c>
      <c r="D19" s="1051">
        <v>0</v>
      </c>
      <c r="E19" s="1052">
        <v>7.7</v>
      </c>
      <c r="F19" s="1053">
        <f>E19*D19/(100-D19)</f>
        <v>0</v>
      </c>
      <c r="G19" s="979"/>
      <c r="H19" s="979" t="s">
        <v>0</v>
      </c>
    </row>
    <row r="20" spans="1:8" x14ac:dyDescent="0.3">
      <c r="A20" s="1054" t="s">
        <v>47</v>
      </c>
      <c r="B20" s="1055"/>
      <c r="C20" s="1056"/>
      <c r="D20" s="1057"/>
      <c r="E20" s="1058"/>
      <c r="F20" s="1058"/>
      <c r="G20" s="979"/>
      <c r="H20" s="979"/>
    </row>
    <row r="21" spans="1:8" ht="34.9" customHeight="1" x14ac:dyDescent="0.3">
      <c r="A21" s="1334" t="s">
        <v>328</v>
      </c>
      <c r="B21" s="1334"/>
      <c r="C21" s="1334"/>
      <c r="D21" s="1334"/>
      <c r="E21" s="1334"/>
      <c r="F21" s="1334"/>
    </row>
    <row r="22" spans="1:8" ht="31.15" customHeight="1" x14ac:dyDescent="0.3">
      <c r="A22" s="1334" t="s">
        <v>329</v>
      </c>
      <c r="B22" s="1334"/>
      <c r="C22" s="1334"/>
      <c r="D22" s="1334"/>
      <c r="E22" s="1334"/>
      <c r="F22" s="1334"/>
    </row>
    <row r="24" spans="1:8" x14ac:dyDescent="0.3">
      <c r="C24" s="1140"/>
    </row>
  </sheetData>
  <mergeCells count="16">
    <mergeCell ref="A22:F22"/>
    <mergeCell ref="A21:F21"/>
    <mergeCell ref="A18:A19"/>
    <mergeCell ref="B18:B19"/>
    <mergeCell ref="A1:F1"/>
    <mergeCell ref="A3:B3"/>
    <mergeCell ref="A6:A8"/>
    <mergeCell ref="B6:B8"/>
    <mergeCell ref="A9:A11"/>
    <mergeCell ref="B9:B11"/>
    <mergeCell ref="A14:A15"/>
    <mergeCell ref="B14:B15"/>
    <mergeCell ref="B12:B13"/>
    <mergeCell ref="A12:A13"/>
    <mergeCell ref="A16:A17"/>
    <mergeCell ref="B16:B17"/>
  </mergeCells>
  <printOptions horizontalCentered="1"/>
  <pageMargins left="0.33" right="0.41" top="0.56000000000000005" bottom="0.52" header="0.3" footer="0.3"/>
  <pageSetup scale="90" fitToHeight="0" orientation="portrait" r:id="rId1"/>
  <headerFooter>
    <oddFooter>&amp;LUAF
PM&amp;Y2.5&amp;Y Serious NAA BACT Analysis&amp;CPage 51&amp;RJanuary 2017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B1:K65"/>
  <sheetViews>
    <sheetView topLeftCell="A22" zoomScale="90" zoomScaleNormal="90" zoomScalePageLayoutView="80" workbookViewId="0">
      <selection activeCell="D56" sqref="D56"/>
    </sheetView>
  </sheetViews>
  <sheetFormatPr defaultColWidth="8.81640625" defaultRowHeight="14.5" x14ac:dyDescent="0.35"/>
  <cols>
    <col min="1" max="1" width="2.26953125" style="506" customWidth="1"/>
    <col min="2" max="2" width="5.26953125" style="506" customWidth="1"/>
    <col min="3" max="3" width="6" style="506" customWidth="1"/>
    <col min="4" max="4" width="65.1796875" style="506" customWidth="1"/>
    <col min="5" max="5" width="8.81640625" style="506"/>
    <col min="6" max="6" width="19.26953125" style="506" customWidth="1"/>
    <col min="7" max="7" width="13" style="506" customWidth="1"/>
    <col min="8" max="8" width="24.1796875" style="506" customWidth="1"/>
    <col min="9" max="9" width="20.453125" style="506" customWidth="1"/>
    <col min="10" max="10" width="14.7265625" style="506" customWidth="1"/>
    <col min="11" max="11" width="17.26953125" style="506" customWidth="1"/>
    <col min="12" max="12" width="8.81640625" style="506"/>
    <col min="13" max="13" width="29.81640625" style="506" customWidth="1"/>
    <col min="14" max="16384" width="8.81640625" style="506"/>
  </cols>
  <sheetData>
    <row r="1" spans="2:11" x14ac:dyDescent="0.35">
      <c r="B1" s="1351" t="s">
        <v>275</v>
      </c>
      <c r="C1" s="1351"/>
      <c r="D1" s="1351"/>
      <c r="E1" s="1351"/>
      <c r="F1" s="1351"/>
      <c r="G1" s="1351"/>
      <c r="H1" s="1351"/>
      <c r="I1" s="1351"/>
      <c r="J1" s="1351"/>
      <c r="K1" s="1351"/>
    </row>
    <row r="2" spans="2:11" x14ac:dyDescent="0.35">
      <c r="B2" s="1351" t="s">
        <v>279</v>
      </c>
      <c r="C2" s="1351"/>
      <c r="D2" s="1351"/>
      <c r="E2" s="1351"/>
      <c r="F2" s="1351"/>
      <c r="G2" s="1351"/>
      <c r="H2" s="1351"/>
      <c r="I2" s="1351"/>
      <c r="J2" s="1351"/>
      <c r="K2" s="1351"/>
    </row>
    <row r="3" spans="2:11" ht="15" thickBot="1" x14ac:dyDescent="0.4">
      <c r="J3" s="1346" t="s">
        <v>183</v>
      </c>
      <c r="K3" s="1346"/>
    </row>
    <row r="4" spans="2:11" ht="19" thickTop="1" x14ac:dyDescent="0.45">
      <c r="B4" s="507" t="s">
        <v>182</v>
      </c>
      <c r="C4" s="508"/>
      <c r="D4" s="508"/>
      <c r="E4" s="509"/>
      <c r="F4" s="509"/>
      <c r="G4" s="509"/>
      <c r="H4" s="509"/>
      <c r="I4" s="509"/>
      <c r="J4" s="510" t="s">
        <v>181</v>
      </c>
      <c r="K4" s="511">
        <v>42402</v>
      </c>
    </row>
    <row r="5" spans="2:11" ht="16.5" x14ac:dyDescent="0.45">
      <c r="B5" s="512" t="s">
        <v>180</v>
      </c>
      <c r="C5" s="513"/>
      <c r="D5" s="818" t="s">
        <v>305</v>
      </c>
      <c r="E5" s="513"/>
      <c r="F5" s="513"/>
      <c r="G5" s="513"/>
      <c r="H5" s="513"/>
      <c r="I5" s="513"/>
      <c r="J5" s="514" t="s">
        <v>179</v>
      </c>
      <c r="K5" s="515" t="s">
        <v>178</v>
      </c>
    </row>
    <row r="6" spans="2:11" x14ac:dyDescent="0.35">
      <c r="B6" s="512"/>
      <c r="C6" s="513"/>
      <c r="D6" s="513"/>
      <c r="E6" s="513"/>
      <c r="F6" s="513"/>
      <c r="G6" s="513"/>
      <c r="H6" s="513"/>
      <c r="I6" s="513"/>
      <c r="J6" s="514" t="s">
        <v>177</v>
      </c>
      <c r="K6" s="515" t="s">
        <v>231</v>
      </c>
    </row>
    <row r="7" spans="2:11" ht="15" thickBot="1" x14ac:dyDescent="0.4">
      <c r="B7" s="516"/>
      <c r="C7" s="517"/>
      <c r="D7" s="517"/>
      <c r="E7" s="517"/>
      <c r="F7" s="517"/>
      <c r="G7" s="517"/>
      <c r="H7" s="517"/>
      <c r="I7" s="517"/>
      <c r="J7" s="518" t="s">
        <v>175</v>
      </c>
      <c r="K7" s="519" t="s">
        <v>256</v>
      </c>
    </row>
    <row r="8" spans="2:11" ht="36.75" customHeight="1" thickBot="1" x14ac:dyDescent="0.4">
      <c r="B8" s="1347" t="s">
        <v>1</v>
      </c>
      <c r="C8" s="1348"/>
      <c r="D8" s="1348"/>
      <c r="E8" s="1348"/>
      <c r="F8" s="1348"/>
      <c r="G8" s="1348"/>
      <c r="H8" s="1348"/>
      <c r="I8" s="1348"/>
      <c r="J8" s="1348"/>
      <c r="K8" s="1349"/>
    </row>
    <row r="9" spans="2:11" ht="19" thickTop="1" x14ac:dyDescent="0.45">
      <c r="B9" s="520" t="s">
        <v>2</v>
      </c>
      <c r="C9" s="521"/>
      <c r="D9" s="521"/>
      <c r="E9" s="522" t="s">
        <v>173</v>
      </c>
      <c r="F9" s="522" t="s">
        <v>172</v>
      </c>
      <c r="G9" s="523" t="s">
        <v>171</v>
      </c>
      <c r="H9" s="524" t="s">
        <v>170</v>
      </c>
      <c r="I9" s="524" t="s">
        <v>169</v>
      </c>
      <c r="J9" s="521"/>
      <c r="K9" s="525"/>
    </row>
    <row r="10" spans="2:11" ht="15.5" x14ac:dyDescent="0.35">
      <c r="B10" s="526"/>
      <c r="C10" s="513"/>
      <c r="D10" s="513"/>
      <c r="E10" s="527"/>
      <c r="F10" s="527"/>
      <c r="G10" s="528"/>
      <c r="H10" s="529"/>
      <c r="I10" s="529"/>
      <c r="J10" s="513"/>
      <c r="K10" s="530"/>
    </row>
    <row r="11" spans="2:11" ht="15.5" x14ac:dyDescent="0.35">
      <c r="B11" s="531" t="s">
        <v>168</v>
      </c>
      <c r="C11" s="532" t="s">
        <v>167</v>
      </c>
      <c r="D11" s="532"/>
      <c r="E11" s="513"/>
      <c r="F11" s="513"/>
      <c r="G11" s="513"/>
      <c r="H11" s="513"/>
      <c r="I11" s="513"/>
      <c r="J11" s="533"/>
      <c r="K11" s="534"/>
    </row>
    <row r="12" spans="2:11" ht="15.5" x14ac:dyDescent="0.35">
      <c r="B12" s="526"/>
      <c r="C12" s="532" t="s">
        <v>142</v>
      </c>
      <c r="D12" s="532" t="s">
        <v>166</v>
      </c>
      <c r="E12" s="513"/>
      <c r="F12" s="513"/>
      <c r="G12" s="513"/>
      <c r="H12" s="513"/>
      <c r="I12" s="513"/>
      <c r="J12" s="535"/>
      <c r="K12" s="536"/>
    </row>
    <row r="13" spans="2:11" x14ac:dyDescent="0.35">
      <c r="B13" s="537"/>
      <c r="C13" s="538"/>
      <c r="D13" s="539" t="s">
        <v>165</v>
      </c>
      <c r="E13" s="540">
        <v>1</v>
      </c>
      <c r="F13" s="541" t="s">
        <v>109</v>
      </c>
      <c r="G13" s="540">
        <v>6000000</v>
      </c>
      <c r="H13" s="542">
        <f>E13*G13</f>
        <v>6000000</v>
      </c>
      <c r="I13" s="542"/>
      <c r="J13" s="543"/>
      <c r="K13" s="544"/>
    </row>
    <row r="14" spans="2:11" x14ac:dyDescent="0.35">
      <c r="B14" s="545"/>
      <c r="C14" s="546"/>
      <c r="D14" s="547"/>
      <c r="E14" s="548"/>
      <c r="F14" s="548"/>
      <c r="G14" s="549"/>
      <c r="H14" s="550"/>
      <c r="I14" s="550"/>
      <c r="J14" s="551" t="s">
        <v>147</v>
      </c>
      <c r="K14" s="536">
        <f>SUM(H13:H13)</f>
        <v>6000000</v>
      </c>
    </row>
    <row r="15" spans="2:11" ht="15.5" x14ac:dyDescent="0.35">
      <c r="B15" s="545"/>
      <c r="C15" s="552" t="s">
        <v>139</v>
      </c>
      <c r="D15" s="552" t="s">
        <v>164</v>
      </c>
      <c r="E15" s="548"/>
      <c r="F15" s="548"/>
      <c r="G15" s="549"/>
      <c r="H15" s="550"/>
      <c r="I15" s="550"/>
      <c r="J15" s="551"/>
      <c r="K15" s="553"/>
    </row>
    <row r="16" spans="2:11" x14ac:dyDescent="0.35">
      <c r="B16" s="545"/>
      <c r="C16" s="546"/>
      <c r="D16" s="547" t="s">
        <v>163</v>
      </c>
      <c r="E16" s="540"/>
      <c r="F16" s="548" t="s">
        <v>109</v>
      </c>
      <c r="G16" s="540"/>
      <c r="H16" s="542">
        <f>E16*G16</f>
        <v>0</v>
      </c>
      <c r="I16" s="550" t="s">
        <v>232</v>
      </c>
      <c r="J16" s="543"/>
      <c r="K16" s="553"/>
    </row>
    <row r="17" spans="2:11" x14ac:dyDescent="0.35">
      <c r="B17" s="554"/>
      <c r="C17" s="555"/>
      <c r="D17" s="556"/>
      <c r="E17" s="557"/>
      <c r="F17" s="557"/>
      <c r="G17" s="556"/>
      <c r="H17" s="558"/>
      <c r="I17" s="558"/>
      <c r="J17" s="551" t="s">
        <v>147</v>
      </c>
      <c r="K17" s="536">
        <f>SUM(H16:H16)</f>
        <v>0</v>
      </c>
    </row>
    <row r="18" spans="2:11" ht="15.5" x14ac:dyDescent="0.35">
      <c r="B18" s="537"/>
      <c r="C18" s="532" t="s">
        <v>137</v>
      </c>
      <c r="D18" s="532" t="s">
        <v>162</v>
      </c>
      <c r="E18" s="541"/>
      <c r="F18" s="541"/>
      <c r="G18" s="513"/>
      <c r="H18" s="542"/>
      <c r="I18" s="542"/>
      <c r="J18" s="543"/>
      <c r="K18" s="553"/>
    </row>
    <row r="19" spans="2:11" x14ac:dyDescent="0.35">
      <c r="B19" s="537"/>
      <c r="C19" s="538"/>
      <c r="D19" s="539" t="s">
        <v>161</v>
      </c>
      <c r="E19" s="559"/>
      <c r="F19" s="541" t="s">
        <v>152</v>
      </c>
      <c r="G19" s="560">
        <f>G13*E19</f>
        <v>0</v>
      </c>
      <c r="H19" s="542"/>
      <c r="I19" s="542">
        <f>G19</f>
        <v>0</v>
      </c>
      <c r="J19" s="543"/>
      <c r="K19" s="553"/>
    </row>
    <row r="20" spans="2:11" x14ac:dyDescent="0.35">
      <c r="B20" s="561"/>
      <c r="C20" s="547"/>
      <c r="D20" s="547"/>
      <c r="E20" s="562"/>
      <c r="F20" s="562"/>
      <c r="G20" s="547"/>
      <c r="H20" s="563"/>
      <c r="I20" s="563"/>
      <c r="J20" s="551" t="s">
        <v>147</v>
      </c>
      <c r="K20" s="536">
        <f>SUM(I19:I19)</f>
        <v>0</v>
      </c>
    </row>
    <row r="21" spans="2:11" ht="15.5" x14ac:dyDescent="0.35">
      <c r="B21" s="537"/>
      <c r="C21" s="532" t="s">
        <v>134</v>
      </c>
      <c r="D21" s="532" t="s">
        <v>159</v>
      </c>
      <c r="E21" s="541"/>
      <c r="F21" s="541"/>
      <c r="G21" s="513"/>
      <c r="H21" s="542"/>
      <c r="I21" s="542"/>
      <c r="J21" s="543"/>
      <c r="K21" s="553"/>
    </row>
    <row r="22" spans="2:11" x14ac:dyDescent="0.35">
      <c r="B22" s="564"/>
      <c r="C22" s="539"/>
      <c r="D22" s="547" t="s">
        <v>233</v>
      </c>
      <c r="E22" s="565"/>
      <c r="F22" s="566" t="s">
        <v>155</v>
      </c>
      <c r="G22" s="567"/>
      <c r="H22" s="568"/>
      <c r="I22" s="568">
        <f>E22*G22</f>
        <v>0</v>
      </c>
      <c r="J22" s="569"/>
      <c r="K22" s="570"/>
    </row>
    <row r="23" spans="2:11" x14ac:dyDescent="0.35">
      <c r="B23" s="564"/>
      <c r="C23" s="539"/>
      <c r="D23" s="547" t="s">
        <v>156</v>
      </c>
      <c r="E23" s="565"/>
      <c r="F23" s="566" t="s">
        <v>155</v>
      </c>
      <c r="G23" s="567"/>
      <c r="H23" s="568"/>
      <c r="I23" s="568">
        <f>E23*G23</f>
        <v>0</v>
      </c>
      <c r="J23" s="569"/>
      <c r="K23" s="570"/>
    </row>
    <row r="24" spans="2:11" x14ac:dyDescent="0.35">
      <c r="B24" s="561"/>
      <c r="C24" s="547"/>
      <c r="D24" s="547"/>
      <c r="E24" s="562"/>
      <c r="F24" s="562"/>
      <c r="G24" s="547"/>
      <c r="H24" s="563"/>
      <c r="I24" s="563"/>
      <c r="J24" s="551" t="s">
        <v>147</v>
      </c>
      <c r="K24" s="536">
        <f>SUM(I22:I23)</f>
        <v>0</v>
      </c>
    </row>
    <row r="25" spans="2:11" ht="15.5" x14ac:dyDescent="0.35">
      <c r="B25" s="537"/>
      <c r="C25" s="532" t="s">
        <v>132</v>
      </c>
      <c r="D25" s="532" t="s">
        <v>154</v>
      </c>
      <c r="E25" s="513"/>
      <c r="F25" s="513"/>
      <c r="G25" s="513"/>
      <c r="H25" s="542"/>
      <c r="I25" s="542"/>
      <c r="J25" s="543"/>
      <c r="K25" s="553"/>
    </row>
    <row r="26" spans="2:11" x14ac:dyDescent="0.35">
      <c r="B26" s="564"/>
      <c r="C26" s="539"/>
      <c r="D26" s="539" t="s">
        <v>153</v>
      </c>
      <c r="E26" s="571">
        <v>5.0000000000000001E-3</v>
      </c>
      <c r="F26" s="541" t="s">
        <v>152</v>
      </c>
      <c r="G26" s="562"/>
      <c r="H26" s="568">
        <f>E26*G13</f>
        <v>30000</v>
      </c>
      <c r="I26" s="568"/>
      <c r="J26" s="569"/>
      <c r="K26" s="570"/>
    </row>
    <row r="27" spans="2:11" x14ac:dyDescent="0.35">
      <c r="B27" s="561"/>
      <c r="C27" s="547"/>
      <c r="D27" s="547"/>
      <c r="E27" s="562"/>
      <c r="F27" s="562"/>
      <c r="G27" s="547"/>
      <c r="H27" s="563"/>
      <c r="I27" s="563"/>
      <c r="J27" s="551" t="s">
        <v>147</v>
      </c>
      <c r="K27" s="536">
        <f>SUM(H26)</f>
        <v>30000</v>
      </c>
    </row>
    <row r="28" spans="2:11" ht="15.5" x14ac:dyDescent="0.35">
      <c r="B28" s="537"/>
      <c r="C28" s="532" t="s">
        <v>129</v>
      </c>
      <c r="D28" s="532" t="s">
        <v>151</v>
      </c>
      <c r="E28" s="541"/>
      <c r="F28" s="541"/>
      <c r="G28" s="513"/>
      <c r="H28" s="542"/>
      <c r="I28" s="542"/>
      <c r="J28" s="543"/>
      <c r="K28" s="553"/>
    </row>
    <row r="29" spans="2:11" x14ac:dyDescent="0.35">
      <c r="B29" s="537"/>
      <c r="C29" s="538"/>
      <c r="D29" s="539" t="s">
        <v>150</v>
      </c>
      <c r="E29" s="565">
        <v>10</v>
      </c>
      <c r="F29" s="566" t="s">
        <v>148</v>
      </c>
      <c r="G29" s="565">
        <v>1800</v>
      </c>
      <c r="H29" s="568"/>
      <c r="I29" s="568">
        <f>G29*E29</f>
        <v>18000</v>
      </c>
      <c r="J29" s="543"/>
      <c r="K29" s="553"/>
    </row>
    <row r="30" spans="2:11" x14ac:dyDescent="0.35">
      <c r="B30" s="537"/>
      <c r="C30" s="538"/>
      <c r="D30" s="539" t="s">
        <v>149</v>
      </c>
      <c r="E30" s="565">
        <v>8</v>
      </c>
      <c r="F30" s="566" t="s">
        <v>148</v>
      </c>
      <c r="G30" s="565">
        <v>2500</v>
      </c>
      <c r="H30" s="568"/>
      <c r="I30" s="568">
        <f>G30*E30</f>
        <v>20000</v>
      </c>
      <c r="J30" s="543"/>
      <c r="K30" s="553"/>
    </row>
    <row r="31" spans="2:11" x14ac:dyDescent="0.35">
      <c r="B31" s="537"/>
      <c r="C31" s="538"/>
      <c r="D31" s="538"/>
      <c r="E31" s="566"/>
      <c r="F31" s="566"/>
      <c r="G31" s="539"/>
      <c r="H31" s="568"/>
      <c r="I31" s="568"/>
      <c r="J31" s="551" t="s">
        <v>147</v>
      </c>
      <c r="K31" s="536">
        <f>SUM(I29:I30)</f>
        <v>38000</v>
      </c>
    </row>
    <row r="32" spans="2:11" ht="15.5" x14ac:dyDescent="0.35">
      <c r="B32" s="572" t="s">
        <v>146</v>
      </c>
      <c r="C32" s="573"/>
      <c r="D32" s="573"/>
      <c r="E32" s="574" t="s">
        <v>274</v>
      </c>
      <c r="F32" s="574"/>
      <c r="G32" s="574"/>
      <c r="H32" s="574"/>
      <c r="I32" s="575"/>
      <c r="J32" s="576" t="s">
        <v>145</v>
      </c>
      <c r="K32" s="577">
        <f>K14+K17+K20+K24+K27+K31</f>
        <v>6068000</v>
      </c>
    </row>
    <row r="33" spans="2:11" ht="15.5" x14ac:dyDescent="0.35">
      <c r="B33" s="578"/>
      <c r="C33" s="579"/>
      <c r="D33" s="579"/>
      <c r="E33" s="541"/>
      <c r="F33" s="541"/>
      <c r="G33" s="513"/>
      <c r="H33" s="542"/>
      <c r="I33" s="542"/>
      <c r="J33" s="580"/>
      <c r="K33" s="553"/>
    </row>
    <row r="34" spans="2:11" ht="15.5" x14ac:dyDescent="0.35">
      <c r="B34" s="531" t="s">
        <v>144</v>
      </c>
      <c r="C34" s="532" t="s">
        <v>143</v>
      </c>
      <c r="D34" s="532"/>
      <c r="E34" s="541"/>
      <c r="F34" s="541"/>
      <c r="G34" s="513"/>
      <c r="H34" s="542"/>
      <c r="I34" s="542"/>
      <c r="J34" s="580"/>
      <c r="K34" s="553"/>
    </row>
    <row r="35" spans="2:11" ht="15.5" x14ac:dyDescent="0.35">
      <c r="B35" s="526"/>
      <c r="C35" s="532" t="s">
        <v>142</v>
      </c>
      <c r="D35" s="532" t="s">
        <v>141</v>
      </c>
      <c r="E35" s="565"/>
      <c r="F35" s="541" t="s">
        <v>140</v>
      </c>
      <c r="G35" s="565"/>
      <c r="H35" s="542">
        <f>E35*G35</f>
        <v>0</v>
      </c>
      <c r="I35" s="542"/>
      <c r="J35" s="543"/>
      <c r="K35" s="553">
        <f>H35+I35</f>
        <v>0</v>
      </c>
    </row>
    <row r="36" spans="2:11" ht="15.5" x14ac:dyDescent="0.35">
      <c r="B36" s="526"/>
      <c r="C36" s="532" t="s">
        <v>139</v>
      </c>
      <c r="D36" s="532" t="s">
        <v>138</v>
      </c>
      <c r="E36" s="565"/>
      <c r="F36" s="541" t="s">
        <v>135</v>
      </c>
      <c r="G36" s="565"/>
      <c r="H36" s="542">
        <f t="shared" ref="H36:H41" si="0">E36*G36</f>
        <v>0</v>
      </c>
      <c r="I36" s="542"/>
      <c r="J36" s="543"/>
      <c r="K36" s="553">
        <f t="shared" ref="K36:K45" si="1">H36+I36</f>
        <v>0</v>
      </c>
    </row>
    <row r="37" spans="2:11" ht="15.5" x14ac:dyDescent="0.35">
      <c r="B37" s="526"/>
      <c r="C37" s="532" t="s">
        <v>137</v>
      </c>
      <c r="D37" s="532" t="s">
        <v>136</v>
      </c>
      <c r="E37" s="565"/>
      <c r="F37" s="541" t="s">
        <v>135</v>
      </c>
      <c r="G37" s="565"/>
      <c r="H37" s="542">
        <f t="shared" si="0"/>
        <v>0</v>
      </c>
      <c r="I37" s="542"/>
      <c r="J37" s="543"/>
      <c r="K37" s="553">
        <f t="shared" si="1"/>
        <v>0</v>
      </c>
    </row>
    <row r="38" spans="2:11" ht="15.5" x14ac:dyDescent="0.35">
      <c r="B38" s="526"/>
      <c r="C38" s="532" t="s">
        <v>134</v>
      </c>
      <c r="D38" s="532" t="s">
        <v>133</v>
      </c>
      <c r="E38" s="565"/>
      <c r="F38" s="541" t="s">
        <v>127</v>
      </c>
      <c r="G38" s="565"/>
      <c r="H38" s="542">
        <f t="shared" si="0"/>
        <v>0</v>
      </c>
      <c r="I38" s="542"/>
      <c r="J38" s="543"/>
      <c r="K38" s="553">
        <f t="shared" si="1"/>
        <v>0</v>
      </c>
    </row>
    <row r="39" spans="2:11" ht="15.5" x14ac:dyDescent="0.35">
      <c r="B39" s="526"/>
      <c r="C39" s="532" t="s">
        <v>132</v>
      </c>
      <c r="D39" s="532" t="s">
        <v>131</v>
      </c>
      <c r="E39" s="565"/>
      <c r="F39" s="541" t="s">
        <v>130</v>
      </c>
      <c r="G39" s="565"/>
      <c r="H39" s="542">
        <f t="shared" si="0"/>
        <v>0</v>
      </c>
      <c r="I39" s="542"/>
      <c r="J39" s="543"/>
      <c r="K39" s="553">
        <f t="shared" si="1"/>
        <v>0</v>
      </c>
    </row>
    <row r="40" spans="2:11" ht="15.5" x14ac:dyDescent="0.35">
      <c r="B40" s="526"/>
      <c r="C40" s="532" t="s">
        <v>129</v>
      </c>
      <c r="D40" s="532" t="s">
        <v>128</v>
      </c>
      <c r="E40" s="565"/>
      <c r="F40" s="541" t="s">
        <v>127</v>
      </c>
      <c r="G40" s="565"/>
      <c r="H40" s="542">
        <f t="shared" si="0"/>
        <v>0</v>
      </c>
      <c r="I40" s="542"/>
      <c r="J40" s="543"/>
      <c r="K40" s="553">
        <f t="shared" si="1"/>
        <v>0</v>
      </c>
    </row>
    <row r="41" spans="2:11" ht="15.5" x14ac:dyDescent="0.35">
      <c r="B41" s="526"/>
      <c r="C41" s="532" t="s">
        <v>126</v>
      </c>
      <c r="D41" s="532" t="s">
        <v>125</v>
      </c>
      <c r="E41" s="565"/>
      <c r="F41" s="541" t="s">
        <v>124</v>
      </c>
      <c r="G41" s="565"/>
      <c r="H41" s="542">
        <f t="shared" si="0"/>
        <v>0</v>
      </c>
      <c r="I41" s="542"/>
      <c r="J41" s="543"/>
      <c r="K41" s="553">
        <f t="shared" si="1"/>
        <v>0</v>
      </c>
    </row>
    <row r="42" spans="2:11" ht="15.5" x14ac:dyDescent="0.35">
      <c r="B42" s="526"/>
      <c r="C42" s="532" t="s">
        <v>123</v>
      </c>
      <c r="D42" s="532" t="s">
        <v>122</v>
      </c>
      <c r="E42" s="541"/>
      <c r="F42" s="541"/>
      <c r="G42" s="580"/>
      <c r="H42" s="542"/>
      <c r="I42" s="542"/>
      <c r="J42" s="543"/>
      <c r="K42" s="553"/>
    </row>
    <row r="43" spans="2:11" ht="15.5" x14ac:dyDescent="0.35">
      <c r="B43" s="526"/>
      <c r="C43" s="532"/>
      <c r="D43" s="579" t="s">
        <v>121</v>
      </c>
      <c r="F43" s="514" t="s">
        <v>120</v>
      </c>
      <c r="G43" s="581"/>
      <c r="H43" s="582"/>
      <c r="I43" s="542">
        <f>G43*I22</f>
        <v>0</v>
      </c>
      <c r="J43" s="543"/>
      <c r="K43" s="553">
        <f t="shared" si="1"/>
        <v>0</v>
      </c>
    </row>
    <row r="44" spans="2:11" ht="15.5" x14ac:dyDescent="0.35">
      <c r="B44" s="526"/>
      <c r="C44" s="532"/>
      <c r="D44" s="579" t="s">
        <v>338</v>
      </c>
      <c r="F44" s="514" t="s">
        <v>119</v>
      </c>
      <c r="G44" s="581"/>
      <c r="H44" s="582"/>
      <c r="I44" s="542">
        <f>G44*I23</f>
        <v>0</v>
      </c>
      <c r="J44" s="543"/>
      <c r="K44" s="553">
        <f t="shared" si="1"/>
        <v>0</v>
      </c>
    </row>
    <row r="45" spans="2:11" ht="15.5" x14ac:dyDescent="0.35">
      <c r="B45" s="526"/>
      <c r="C45" s="532"/>
      <c r="D45" s="579" t="s">
        <v>118</v>
      </c>
      <c r="F45" s="514" t="s">
        <v>117</v>
      </c>
      <c r="G45" s="583"/>
      <c r="H45" s="542"/>
      <c r="I45" s="542">
        <f>G45*K14</f>
        <v>0</v>
      </c>
      <c r="J45" s="543"/>
      <c r="K45" s="553">
        <f t="shared" si="1"/>
        <v>0</v>
      </c>
    </row>
    <row r="46" spans="2:11" ht="15.5" x14ac:dyDescent="0.35">
      <c r="B46" s="572" t="s">
        <v>234</v>
      </c>
      <c r="C46" s="584"/>
      <c r="D46" s="584"/>
      <c r="E46" s="1350"/>
      <c r="F46" s="1350"/>
      <c r="G46" s="1350"/>
      <c r="H46" s="1350"/>
      <c r="I46" s="585"/>
      <c r="J46" s="576" t="s">
        <v>115</v>
      </c>
      <c r="K46" s="577">
        <f>K14*2</f>
        <v>12000000</v>
      </c>
    </row>
    <row r="47" spans="2:11" ht="15.5" x14ac:dyDescent="0.35">
      <c r="B47" s="578"/>
      <c r="C47" s="579"/>
      <c r="D47" s="579"/>
      <c r="E47" s="513"/>
      <c r="F47" s="513"/>
      <c r="G47" s="513"/>
      <c r="H47" s="580"/>
      <c r="I47" s="580"/>
      <c r="J47" s="580"/>
      <c r="K47" s="553"/>
    </row>
    <row r="48" spans="2:11" ht="15.5" x14ac:dyDescent="0.35">
      <c r="B48" s="578"/>
      <c r="C48" s="579"/>
      <c r="D48" s="579"/>
      <c r="E48" s="513"/>
      <c r="F48" s="513"/>
      <c r="G48" s="513"/>
      <c r="H48" s="580"/>
      <c r="I48" s="580"/>
      <c r="J48" s="580"/>
      <c r="K48" s="553"/>
    </row>
    <row r="49" spans="2:11" ht="15.5" x14ac:dyDescent="0.35">
      <c r="B49" s="572" t="s">
        <v>4</v>
      </c>
      <c r="C49" s="586"/>
      <c r="D49" s="586"/>
      <c r="E49" s="1350"/>
      <c r="F49" s="1350"/>
      <c r="G49" s="1350"/>
      <c r="H49" s="1350"/>
      <c r="I49" s="587"/>
      <c r="J49" s="576" t="s">
        <v>114</v>
      </c>
      <c r="K49" s="577">
        <f>K32+K46</f>
        <v>18068000</v>
      </c>
    </row>
    <row r="50" spans="2:11" ht="15.5" x14ac:dyDescent="0.35">
      <c r="B50" s="526"/>
      <c r="C50" s="579"/>
      <c r="D50" s="579"/>
      <c r="E50" s="513"/>
      <c r="F50" s="513"/>
      <c r="G50" s="538"/>
      <c r="H50" s="580"/>
      <c r="I50" s="580"/>
      <c r="J50" s="580"/>
      <c r="K50" s="544"/>
    </row>
    <row r="51" spans="2:11" ht="15.5" x14ac:dyDescent="0.35">
      <c r="B51" s="578"/>
      <c r="C51" s="579"/>
      <c r="D51" s="579"/>
      <c r="E51" s="513"/>
      <c r="F51" s="513"/>
      <c r="G51" s="513"/>
      <c r="H51" s="580"/>
      <c r="I51" s="580"/>
      <c r="J51" s="580"/>
      <c r="K51" s="544"/>
    </row>
    <row r="52" spans="2:11" ht="15.5" x14ac:dyDescent="0.35">
      <c r="B52" s="526" t="s">
        <v>5</v>
      </c>
      <c r="C52" s="579"/>
      <c r="D52" s="579"/>
      <c r="E52" s="513"/>
      <c r="F52" s="513"/>
      <c r="G52" s="513"/>
      <c r="H52" s="580"/>
      <c r="I52" s="580"/>
      <c r="J52" s="580"/>
      <c r="K52" s="544"/>
    </row>
    <row r="53" spans="2:11" ht="15.5" x14ac:dyDescent="0.35">
      <c r="B53" s="588" t="s">
        <v>113</v>
      </c>
      <c r="C53" s="579" t="s">
        <v>112</v>
      </c>
      <c r="D53" s="579"/>
      <c r="E53" s="581">
        <v>0.18</v>
      </c>
      <c r="F53" s="541" t="s">
        <v>103</v>
      </c>
      <c r="G53" s="589"/>
      <c r="H53" s="580"/>
      <c r="I53" s="542">
        <f>E53*K49</f>
        <v>3252240</v>
      </c>
      <c r="J53" s="543"/>
      <c r="K53" s="590"/>
    </row>
    <row r="54" spans="2:11" ht="15.5" x14ac:dyDescent="0.35">
      <c r="B54" s="588" t="s">
        <v>111</v>
      </c>
      <c r="C54" s="579" t="s">
        <v>110</v>
      </c>
      <c r="D54" s="579"/>
      <c r="E54" s="565">
        <v>0</v>
      </c>
      <c r="F54" s="541" t="s">
        <v>109</v>
      </c>
      <c r="G54" s="565"/>
      <c r="H54" s="580"/>
      <c r="I54" s="542">
        <f>E54*G54</f>
        <v>0</v>
      </c>
      <c r="J54" s="543"/>
      <c r="K54" s="590" t="s">
        <v>102</v>
      </c>
    </row>
    <row r="55" spans="2:11" ht="15.5" x14ac:dyDescent="0.35">
      <c r="B55" s="572" t="s">
        <v>7</v>
      </c>
      <c r="C55" s="586"/>
      <c r="D55" s="586"/>
      <c r="E55" s="591"/>
      <c r="F55" s="592"/>
      <c r="G55" s="591"/>
      <c r="H55" s="587"/>
      <c r="I55" s="585"/>
      <c r="J55" s="576" t="s">
        <v>108</v>
      </c>
      <c r="K55" s="577">
        <f>SUM(I53:I54)</f>
        <v>3252240</v>
      </c>
    </row>
    <row r="56" spans="2:11" ht="15.5" x14ac:dyDescent="0.35">
      <c r="B56" s="526"/>
      <c r="C56" s="579"/>
      <c r="D56" s="579"/>
      <c r="E56" s="513"/>
      <c r="F56" s="541"/>
      <c r="G56" s="513"/>
      <c r="H56" s="580"/>
      <c r="I56" s="542"/>
      <c r="J56" s="593"/>
      <c r="K56" s="544"/>
    </row>
    <row r="57" spans="2:11" ht="15.5" x14ac:dyDescent="0.35">
      <c r="B57" s="578"/>
      <c r="C57" s="579"/>
      <c r="D57" s="579"/>
      <c r="E57" s="513"/>
      <c r="F57" s="541"/>
      <c r="G57" s="513"/>
      <c r="H57" s="580"/>
      <c r="I57" s="542"/>
      <c r="J57" s="580"/>
      <c r="K57" s="544"/>
    </row>
    <row r="58" spans="2:11" ht="15.5" x14ac:dyDescent="0.35">
      <c r="B58" s="526" t="s">
        <v>8</v>
      </c>
      <c r="C58" s="579"/>
      <c r="D58" s="579"/>
      <c r="E58" s="513"/>
      <c r="F58" s="541"/>
      <c r="G58" s="513"/>
      <c r="H58" s="580"/>
      <c r="I58" s="542"/>
      <c r="J58" s="580"/>
      <c r="K58" s="544"/>
    </row>
    <row r="59" spans="2:11" ht="15.5" x14ac:dyDescent="0.35">
      <c r="B59" s="588" t="s">
        <v>107</v>
      </c>
      <c r="C59" s="579" t="s">
        <v>106</v>
      </c>
      <c r="D59" s="579"/>
      <c r="E59" s="513"/>
      <c r="F59" s="541" t="s">
        <v>103</v>
      </c>
      <c r="G59" s="513"/>
      <c r="H59" s="580"/>
      <c r="I59" s="542"/>
      <c r="J59" s="543"/>
      <c r="K59" s="590" t="s">
        <v>102</v>
      </c>
    </row>
    <row r="60" spans="2:11" ht="15.5" x14ac:dyDescent="0.35">
      <c r="B60" s="588" t="s">
        <v>105</v>
      </c>
      <c r="C60" s="579" t="s">
        <v>104</v>
      </c>
      <c r="D60" s="579"/>
      <c r="E60" s="594">
        <v>0.3</v>
      </c>
      <c r="F60" s="541" t="s">
        <v>103</v>
      </c>
      <c r="G60" s="589"/>
      <c r="H60" s="580"/>
      <c r="I60" s="542">
        <f>E60*K49</f>
        <v>5420400</v>
      </c>
      <c r="J60" s="543"/>
      <c r="K60" s="590"/>
    </row>
    <row r="61" spans="2:11" ht="15.5" x14ac:dyDescent="0.35">
      <c r="B61" s="572" t="s">
        <v>9</v>
      </c>
      <c r="C61" s="595"/>
      <c r="D61" s="595"/>
      <c r="E61" s="596"/>
      <c r="F61" s="596"/>
      <c r="G61" s="596"/>
      <c r="H61" s="597"/>
      <c r="I61" s="597"/>
      <c r="J61" s="576" t="s">
        <v>101</v>
      </c>
      <c r="K61" s="598">
        <f>SUM(I59:I60)</f>
        <v>5420400</v>
      </c>
    </row>
    <row r="62" spans="2:11" ht="15.5" x14ac:dyDescent="0.35">
      <c r="B62" s="526"/>
      <c r="C62" s="579"/>
      <c r="D62" s="579"/>
      <c r="E62" s="513"/>
      <c r="F62" s="513"/>
      <c r="G62" s="513"/>
      <c r="H62" s="580"/>
      <c r="I62" s="580"/>
      <c r="J62" s="593"/>
      <c r="K62" s="544"/>
    </row>
    <row r="63" spans="2:11" ht="15.5" x14ac:dyDescent="0.35">
      <c r="B63" s="578"/>
      <c r="C63" s="579"/>
      <c r="D63" s="579"/>
      <c r="E63" s="513"/>
      <c r="F63" s="513"/>
      <c r="G63" s="513"/>
      <c r="H63" s="580"/>
      <c r="I63" s="580"/>
      <c r="J63" s="580"/>
      <c r="K63" s="544"/>
    </row>
    <row r="64" spans="2:11" ht="34.5" customHeight="1" thickBot="1" x14ac:dyDescent="0.5">
      <c r="B64" s="599" t="s">
        <v>10</v>
      </c>
      <c r="C64" s="600"/>
      <c r="D64" s="600"/>
      <c r="E64" s="600"/>
      <c r="F64" s="600"/>
      <c r="G64" s="601"/>
      <c r="H64" s="602"/>
      <c r="I64" s="603"/>
      <c r="J64" s="604" t="s">
        <v>100</v>
      </c>
      <c r="K64" s="605">
        <f>K49+K55+K61</f>
        <v>26740640</v>
      </c>
    </row>
    <row r="65" ht="15" thickTop="1" x14ac:dyDescent="0.35"/>
  </sheetData>
  <mergeCells count="6">
    <mergeCell ref="J3:K3"/>
    <mergeCell ref="B8:K8"/>
    <mergeCell ref="E46:H46"/>
    <mergeCell ref="E49:H49"/>
    <mergeCell ref="B1:K1"/>
    <mergeCell ref="B2:K2"/>
  </mergeCells>
  <printOptions horizontalCentered="1"/>
  <pageMargins left="0.33" right="0.41" top="0.56000000000000005" bottom="0.52" header="0.3" footer="0.3"/>
  <pageSetup scale="51" fitToHeight="0" orientation="portrait" r:id="rId1"/>
  <headerFooter>
    <oddFooter>&amp;LUAF
PM&amp;Y2.5&amp;Y Serious NAA BACT Analysis&amp;CPage 52&amp;RJanuary 2017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B1:L48"/>
  <sheetViews>
    <sheetView zoomScaleNormal="100" zoomScalePageLayoutView="70" workbookViewId="0">
      <selection activeCell="G15" sqref="G15"/>
    </sheetView>
  </sheetViews>
  <sheetFormatPr defaultColWidth="8.81640625" defaultRowHeight="14.5" x14ac:dyDescent="0.35"/>
  <cols>
    <col min="1" max="1" width="3" style="506" customWidth="1"/>
    <col min="2" max="3" width="6" style="506" customWidth="1"/>
    <col min="4" max="4" width="52.26953125" style="506" customWidth="1"/>
    <col min="5" max="5" width="11.54296875" style="506" bestFit="1" customWidth="1"/>
    <col min="6" max="6" width="13.1796875" style="506" customWidth="1"/>
    <col min="7" max="7" width="15.453125" style="506" customWidth="1"/>
    <col min="8" max="8" width="24.453125" style="506" customWidth="1"/>
    <col min="9" max="9" width="18.7265625" style="506" customWidth="1"/>
    <col min="10" max="10" width="8.81640625" style="506"/>
    <col min="11" max="11" width="13.26953125" style="506" customWidth="1"/>
    <col min="12" max="16384" width="8.81640625" style="506"/>
  </cols>
  <sheetData>
    <row r="1" spans="2:11" x14ac:dyDescent="0.35">
      <c r="B1" s="1351" t="s">
        <v>276</v>
      </c>
      <c r="C1" s="1351"/>
      <c r="D1" s="1351"/>
      <c r="E1" s="1351"/>
      <c r="F1" s="1351"/>
      <c r="G1" s="1351"/>
      <c r="H1" s="1351"/>
      <c r="I1" s="1351"/>
      <c r="J1" s="1351"/>
      <c r="K1" s="1351"/>
    </row>
    <row r="2" spans="2:11" x14ac:dyDescent="0.35">
      <c r="B2" s="1351" t="s">
        <v>280</v>
      </c>
      <c r="C2" s="1351"/>
      <c r="D2" s="1351"/>
      <c r="E2" s="1351"/>
      <c r="F2" s="1351"/>
      <c r="G2" s="1351"/>
      <c r="H2" s="1351"/>
      <c r="I2" s="1351"/>
      <c r="J2" s="1351"/>
      <c r="K2" s="1351"/>
    </row>
    <row r="3" spans="2:11" ht="15" thickBot="1" x14ac:dyDescent="0.4">
      <c r="I3" s="1352" t="s">
        <v>230</v>
      </c>
      <c r="J3" s="1353"/>
      <c r="K3" s="1354"/>
    </row>
    <row r="4" spans="2:11" ht="19" thickTop="1" x14ac:dyDescent="0.45">
      <c r="B4" s="507" t="s">
        <v>229</v>
      </c>
      <c r="C4" s="606"/>
      <c r="D4" s="509"/>
      <c r="E4" s="509"/>
      <c r="F4" s="509"/>
      <c r="G4" s="509"/>
      <c r="H4" s="509"/>
      <c r="I4" s="509"/>
      <c r="J4" s="510" t="s">
        <v>181</v>
      </c>
      <c r="K4" s="511">
        <v>42402</v>
      </c>
    </row>
    <row r="5" spans="2:11" ht="16.5" x14ac:dyDescent="0.45">
      <c r="B5" s="512" t="s">
        <v>228</v>
      </c>
      <c r="C5" s="513"/>
      <c r="D5" s="818" t="s">
        <v>305</v>
      </c>
      <c r="E5" s="513"/>
      <c r="F5" s="513"/>
      <c r="G5" s="513"/>
      <c r="H5" s="513"/>
      <c r="I5" s="513"/>
      <c r="J5" s="514" t="s">
        <v>179</v>
      </c>
      <c r="K5" s="515" t="s">
        <v>178</v>
      </c>
    </row>
    <row r="6" spans="2:11" x14ac:dyDescent="0.35">
      <c r="B6" s="512"/>
      <c r="C6" s="513"/>
      <c r="D6" s="513"/>
      <c r="E6" s="513"/>
      <c r="F6" s="513"/>
      <c r="G6" s="513"/>
      <c r="H6" s="513"/>
      <c r="I6" s="513"/>
      <c r="J6" s="514" t="s">
        <v>177</v>
      </c>
      <c r="K6" s="515" t="s">
        <v>231</v>
      </c>
    </row>
    <row r="7" spans="2:11" ht="15" thickBot="1" x14ac:dyDescent="0.4">
      <c r="B7" s="516"/>
      <c r="C7" s="517"/>
      <c r="D7" s="517"/>
      <c r="E7" s="517"/>
      <c r="F7" s="517"/>
      <c r="G7" s="517"/>
      <c r="H7" s="517"/>
      <c r="I7" s="517"/>
      <c r="J7" s="518" t="s">
        <v>175</v>
      </c>
      <c r="K7" s="519" t="s">
        <v>256</v>
      </c>
    </row>
    <row r="8" spans="2:11" ht="16" thickBot="1" x14ac:dyDescent="0.4">
      <c r="B8" s="1355" t="s">
        <v>11</v>
      </c>
      <c r="C8" s="1356"/>
      <c r="D8" s="1356"/>
      <c r="E8" s="1356"/>
      <c r="F8" s="1356"/>
      <c r="G8" s="1356"/>
      <c r="H8" s="1356"/>
      <c r="I8" s="1356"/>
      <c r="J8" s="1356"/>
      <c r="K8" s="1357"/>
    </row>
    <row r="9" spans="2:11" ht="15.5" x14ac:dyDescent="0.35">
      <c r="B9" s="607" t="s">
        <v>12</v>
      </c>
      <c r="C9" s="608"/>
      <c r="D9" s="609"/>
      <c r="E9" s="610" t="s">
        <v>173</v>
      </c>
      <c r="F9" s="610" t="s">
        <v>172</v>
      </c>
      <c r="G9" s="611" t="s">
        <v>171</v>
      </c>
      <c r="H9" s="612" t="s">
        <v>170</v>
      </c>
      <c r="I9" s="612" t="s">
        <v>169</v>
      </c>
      <c r="J9" s="609"/>
      <c r="K9" s="613" t="s">
        <v>226</v>
      </c>
    </row>
    <row r="10" spans="2:11" x14ac:dyDescent="0.35">
      <c r="B10" s="614" t="s">
        <v>168</v>
      </c>
      <c r="C10" s="513" t="s">
        <v>225</v>
      </c>
      <c r="D10" s="513"/>
      <c r="E10" s="615"/>
      <c r="F10" s="541" t="s">
        <v>155</v>
      </c>
      <c r="G10" s="540"/>
      <c r="H10" s="616" t="s">
        <v>200</v>
      </c>
      <c r="I10" s="542">
        <f>E10*G10</f>
        <v>0</v>
      </c>
      <c r="J10" s="617"/>
      <c r="K10" s="553">
        <f>I10</f>
        <v>0</v>
      </c>
    </row>
    <row r="11" spans="2:11" x14ac:dyDescent="0.35">
      <c r="B11" s="614" t="s">
        <v>144</v>
      </c>
      <c r="C11" s="513" t="s">
        <v>224</v>
      </c>
      <c r="D11" s="513"/>
      <c r="E11" s="615"/>
      <c r="F11" s="541" t="s">
        <v>155</v>
      </c>
      <c r="G11" s="540"/>
      <c r="H11" s="616" t="s">
        <v>200</v>
      </c>
      <c r="I11" s="542">
        <f>E11*G11</f>
        <v>0</v>
      </c>
      <c r="J11" s="617"/>
      <c r="K11" s="553">
        <f t="shared" ref="K11:K12" si="0">I11</f>
        <v>0</v>
      </c>
    </row>
    <row r="12" spans="2:11" x14ac:dyDescent="0.35">
      <c r="B12" s="614" t="s">
        <v>113</v>
      </c>
      <c r="C12" s="513" t="s">
        <v>223</v>
      </c>
      <c r="D12" s="513"/>
      <c r="E12" s="615"/>
      <c r="F12" s="548" t="s">
        <v>155</v>
      </c>
      <c r="G12" s="540"/>
      <c r="H12" s="616" t="s">
        <v>200</v>
      </c>
      <c r="I12" s="542">
        <f>E12*G12</f>
        <v>0</v>
      </c>
      <c r="J12" s="617"/>
      <c r="K12" s="553">
        <f t="shared" si="0"/>
        <v>0</v>
      </c>
    </row>
    <row r="13" spans="2:11" x14ac:dyDescent="0.35">
      <c r="B13" s="614" t="s">
        <v>111</v>
      </c>
      <c r="C13" s="513" t="s">
        <v>222</v>
      </c>
      <c r="D13" s="513"/>
      <c r="E13" s="540"/>
      <c r="F13" s="548" t="s">
        <v>127</v>
      </c>
      <c r="G13" s="540"/>
      <c r="H13" s="616" t="s">
        <v>200</v>
      </c>
      <c r="I13" s="542"/>
      <c r="J13" s="617"/>
      <c r="K13" s="553"/>
    </row>
    <row r="14" spans="2:11" x14ac:dyDescent="0.35">
      <c r="B14" s="614" t="s">
        <v>107</v>
      </c>
      <c r="C14" s="513" t="s">
        <v>221</v>
      </c>
      <c r="D14" s="513"/>
      <c r="E14" s="541"/>
      <c r="F14" s="541"/>
      <c r="G14" s="542"/>
      <c r="H14" s="542"/>
      <c r="I14" s="542"/>
      <c r="J14" s="617"/>
      <c r="K14" s="553"/>
    </row>
    <row r="15" spans="2:11" x14ac:dyDescent="0.35">
      <c r="B15" s="512"/>
      <c r="C15" s="618" t="s">
        <v>142</v>
      </c>
      <c r="D15" s="513" t="s">
        <v>263</v>
      </c>
      <c r="E15" s="619">
        <f>60*8760/2000</f>
        <v>262.8</v>
      </c>
      <c r="F15" s="541" t="s">
        <v>135</v>
      </c>
      <c r="G15" s="540">
        <f>0.75/(8.33*0.9)*2000</f>
        <v>200.08003201280513</v>
      </c>
      <c r="H15" s="542">
        <f>E15*G15</f>
        <v>52581.032412965193</v>
      </c>
      <c r="I15" s="542"/>
      <c r="J15" s="617"/>
      <c r="K15" s="553">
        <f>H15</f>
        <v>52581.032412965193</v>
      </c>
    </row>
    <row r="16" spans="2:11" x14ac:dyDescent="0.35">
      <c r="B16" s="512"/>
      <c r="C16" s="618" t="s">
        <v>139</v>
      </c>
      <c r="D16" s="513" t="s">
        <v>219</v>
      </c>
      <c r="E16" s="619">
        <f>70*8760</f>
        <v>613200</v>
      </c>
      <c r="F16" s="541" t="s">
        <v>235</v>
      </c>
      <c r="G16" s="540">
        <v>0.18</v>
      </c>
      <c r="H16" s="542">
        <f>E16*G16</f>
        <v>110376</v>
      </c>
      <c r="I16" s="542"/>
      <c r="J16" s="617"/>
      <c r="K16" s="553">
        <f>H16</f>
        <v>110376</v>
      </c>
    </row>
    <row r="17" spans="2:12" x14ac:dyDescent="0.35">
      <c r="B17" s="614" t="s">
        <v>105</v>
      </c>
      <c r="C17" s="1138" t="s">
        <v>245</v>
      </c>
      <c r="D17" s="513"/>
      <c r="E17" s="541"/>
      <c r="F17" s="541"/>
      <c r="G17" s="542"/>
      <c r="H17" s="542"/>
      <c r="I17" s="542"/>
      <c r="J17" s="617"/>
      <c r="K17" s="553"/>
    </row>
    <row r="18" spans="2:12" x14ac:dyDescent="0.35">
      <c r="B18" s="512"/>
      <c r="C18" s="620" t="s">
        <v>142</v>
      </c>
      <c r="D18" s="618" t="s">
        <v>216</v>
      </c>
      <c r="E18" s="581">
        <v>0.3</v>
      </c>
      <c r="F18" s="541" t="s">
        <v>215</v>
      </c>
      <c r="G18" s="542">
        <f>'3-4 - EU 113 - SCR TCI'!K32</f>
        <v>6068000</v>
      </c>
      <c r="H18" s="580">
        <f>G18*E18</f>
        <v>1820400</v>
      </c>
      <c r="I18" s="542"/>
      <c r="J18" s="617"/>
      <c r="K18" s="553">
        <f>H18*E23</f>
        <v>879420.28985507227</v>
      </c>
    </row>
    <row r="19" spans="2:12" x14ac:dyDescent="0.35">
      <c r="B19" s="512"/>
      <c r="C19" s="620" t="s">
        <v>139</v>
      </c>
      <c r="D19" s="618" t="s">
        <v>213</v>
      </c>
      <c r="E19" s="540">
        <v>180</v>
      </c>
      <c r="F19" s="541" t="s">
        <v>155</v>
      </c>
      <c r="G19" s="540">
        <v>105</v>
      </c>
      <c r="H19" s="616"/>
      <c r="I19" s="542">
        <f>E19*G19</f>
        <v>18900</v>
      </c>
      <c r="J19" s="617"/>
      <c r="K19" s="553">
        <f>I19*E23</f>
        <v>9130.4347826086941</v>
      </c>
    </row>
    <row r="20" spans="2:12" x14ac:dyDescent="0.35">
      <c r="B20" s="512"/>
      <c r="C20" s="620" t="s">
        <v>137</v>
      </c>
      <c r="D20" s="618" t="s">
        <v>236</v>
      </c>
      <c r="E20" s="581">
        <v>0.13</v>
      </c>
      <c r="F20" s="541" t="s">
        <v>248</v>
      </c>
      <c r="G20" s="542"/>
      <c r="H20" s="616"/>
      <c r="I20" s="542">
        <f>E20*H18</f>
        <v>236652</v>
      </c>
      <c r="J20" s="617"/>
      <c r="K20" s="553">
        <f>I20*E23</f>
        <v>114324.63768115941</v>
      </c>
    </row>
    <row r="21" spans="2:12" x14ac:dyDescent="0.35">
      <c r="B21" s="512"/>
      <c r="C21" s="620" t="s">
        <v>134</v>
      </c>
      <c r="D21" s="618" t="s">
        <v>211</v>
      </c>
      <c r="E21" s="581">
        <v>0.13</v>
      </c>
      <c r="F21" s="541" t="s">
        <v>248</v>
      </c>
      <c r="G21" s="542"/>
      <c r="H21" s="616"/>
      <c r="I21" s="542">
        <f>E21*H18</f>
        <v>236652</v>
      </c>
      <c r="J21" s="617"/>
      <c r="K21" s="553">
        <f>I21*E23</f>
        <v>114324.63768115941</v>
      </c>
    </row>
    <row r="22" spans="2:12" x14ac:dyDescent="0.35">
      <c r="B22" s="512"/>
      <c r="C22" s="620"/>
      <c r="D22" s="618"/>
      <c r="E22" s="621"/>
      <c r="F22" s="541"/>
      <c r="G22" s="542"/>
      <c r="H22" s="542"/>
      <c r="I22" s="542"/>
      <c r="J22" s="617"/>
      <c r="K22" s="553"/>
    </row>
    <row r="23" spans="2:12" x14ac:dyDescent="0.35">
      <c r="B23" s="622" t="s">
        <v>210</v>
      </c>
      <c r="C23" s="623"/>
      <c r="D23" s="513"/>
      <c r="E23" s="624">
        <f>($E$45/100)/(POWER(1+($E$45/100),($E$47)/($E$48/100))-1)</f>
        <v>0.48309178743961345</v>
      </c>
      <c r="F23" s="514"/>
      <c r="G23" s="617"/>
      <c r="H23" s="542"/>
      <c r="I23" s="625"/>
      <c r="J23" s="542"/>
      <c r="K23" s="553"/>
    </row>
    <row r="24" spans="2:12" x14ac:dyDescent="0.35">
      <c r="B24" s="622"/>
      <c r="C24" s="623"/>
      <c r="D24" s="513"/>
      <c r="E24" s="624"/>
      <c r="F24" s="514"/>
      <c r="G24" s="617"/>
      <c r="H24" s="542"/>
      <c r="I24" s="625"/>
      <c r="J24" s="542"/>
      <c r="K24" s="553"/>
    </row>
    <row r="25" spans="2:12" x14ac:dyDescent="0.35">
      <c r="B25" s="626" t="s">
        <v>13</v>
      </c>
      <c r="C25" s="627"/>
      <c r="D25" s="628"/>
      <c r="E25" s="629"/>
      <c r="F25" s="630"/>
      <c r="G25" s="631"/>
      <c r="H25" s="575"/>
      <c r="I25" s="632"/>
      <c r="J25" s="633" t="s">
        <v>209</v>
      </c>
      <c r="K25" s="634">
        <f>SUM(K10:K21)</f>
        <v>1280157.0324129651</v>
      </c>
    </row>
    <row r="26" spans="2:12" x14ac:dyDescent="0.35">
      <c r="B26" s="512"/>
      <c r="C26" s="623"/>
      <c r="D26" s="513"/>
      <c r="E26" s="541"/>
      <c r="F26" s="513"/>
      <c r="G26" s="542"/>
      <c r="H26" s="542"/>
      <c r="I26" s="625"/>
      <c r="J26" s="635"/>
      <c r="K26" s="553"/>
    </row>
    <row r="27" spans="2:12" ht="15.5" x14ac:dyDescent="0.35">
      <c r="B27" s="636" t="s">
        <v>14</v>
      </c>
      <c r="C27" s="532"/>
      <c r="D27" s="543"/>
      <c r="E27" s="541"/>
      <c r="F27" s="541"/>
      <c r="G27" s="542"/>
      <c r="H27" s="542"/>
      <c r="I27" s="542"/>
      <c r="J27" s="542"/>
      <c r="K27" s="553"/>
    </row>
    <row r="28" spans="2:12" x14ac:dyDescent="0.35">
      <c r="B28" s="614" t="s">
        <v>208</v>
      </c>
      <c r="C28" s="513" t="s">
        <v>207</v>
      </c>
      <c r="D28" s="513"/>
      <c r="E28" s="540"/>
      <c r="F28" s="541" t="s">
        <v>152</v>
      </c>
      <c r="G28" s="548"/>
      <c r="H28" s="616" t="s">
        <v>200</v>
      </c>
      <c r="I28" s="542">
        <f>E28*G28</f>
        <v>0</v>
      </c>
      <c r="J28" s="617"/>
      <c r="K28" s="553">
        <f>I28</f>
        <v>0</v>
      </c>
    </row>
    <row r="29" spans="2:12" x14ac:dyDescent="0.35">
      <c r="B29" s="614" t="s">
        <v>206</v>
      </c>
      <c r="C29" s="1136" t="s">
        <v>334</v>
      </c>
      <c r="D29" s="513"/>
      <c r="E29" s="559">
        <v>0.03</v>
      </c>
      <c r="F29" s="541" t="s">
        <v>249</v>
      </c>
      <c r="G29" s="548"/>
      <c r="H29" s="616"/>
      <c r="I29" s="542">
        <f>E29*'3-4 - EU 113 - SCR TCI'!K64</f>
        <v>802219.2</v>
      </c>
      <c r="J29" s="617"/>
      <c r="K29" s="553">
        <f>I29</f>
        <v>802219.2</v>
      </c>
    </row>
    <row r="30" spans="2:12" x14ac:dyDescent="0.35">
      <c r="B30" s="614"/>
      <c r="C30" s="618" t="s">
        <v>199</v>
      </c>
      <c r="D30" s="513"/>
      <c r="E30" s="624">
        <f>($E$45/100*POWER((1+($E$45/100)),$E$46))/((POWER(((1+$E$45/100)),$E$46))-1)</f>
        <v>0.14237750272736471</v>
      </c>
      <c r="F30" s="548"/>
      <c r="G30" s="542"/>
      <c r="H30" s="542"/>
      <c r="I30" s="542"/>
      <c r="J30" s="617"/>
      <c r="K30" s="637"/>
      <c r="L30" s="638"/>
    </row>
    <row r="31" spans="2:12" x14ac:dyDescent="0.35">
      <c r="B31" s="614" t="s">
        <v>204</v>
      </c>
      <c r="C31" s="513" t="s">
        <v>197</v>
      </c>
      <c r="D31" s="513"/>
      <c r="E31" s="513"/>
      <c r="F31" s="513"/>
      <c r="G31" s="542"/>
      <c r="H31" s="639"/>
      <c r="I31" s="542"/>
      <c r="J31" s="640" t="s">
        <v>196</v>
      </c>
      <c r="K31" s="553">
        <f>E30*'3-4 - EU 113 - SCR TCI'!K64</f>
        <v>3807265.5445314781</v>
      </c>
      <c r="L31" s="638"/>
    </row>
    <row r="32" spans="2:12" x14ac:dyDescent="0.35">
      <c r="B32" s="512"/>
      <c r="C32" s="513"/>
      <c r="D32" s="513"/>
      <c r="E32" s="541"/>
      <c r="F32" s="513"/>
      <c r="G32" s="542"/>
      <c r="H32" s="542"/>
      <c r="I32" s="542"/>
      <c r="J32" s="542"/>
      <c r="K32" s="553"/>
    </row>
    <row r="33" spans="2:11" x14ac:dyDescent="0.35">
      <c r="B33" s="626" t="s">
        <v>15</v>
      </c>
      <c r="C33" s="627"/>
      <c r="D33" s="641"/>
      <c r="E33" s="642"/>
      <c r="F33" s="630"/>
      <c r="G33" s="632"/>
      <c r="H33" s="643"/>
      <c r="I33" s="632"/>
      <c r="J33" s="633" t="s">
        <v>195</v>
      </c>
      <c r="K33" s="634">
        <f>SUM(K28:K31)</f>
        <v>4609484.7445314778</v>
      </c>
    </row>
    <row r="34" spans="2:11" x14ac:dyDescent="0.35">
      <c r="B34" s="644"/>
      <c r="C34" s="645"/>
      <c r="D34" s="513"/>
      <c r="E34" s="541"/>
      <c r="F34" s="513"/>
      <c r="G34" s="542"/>
      <c r="H34" s="542"/>
      <c r="I34" s="542"/>
      <c r="J34" s="542"/>
      <c r="K34" s="553"/>
    </row>
    <row r="35" spans="2:11" ht="15.5" x14ac:dyDescent="0.35">
      <c r="B35" s="646" t="s">
        <v>194</v>
      </c>
      <c r="C35" s="647"/>
      <c r="D35" s="648"/>
      <c r="E35" s="649"/>
      <c r="F35" s="648"/>
      <c r="G35" s="575"/>
      <c r="H35" s="650"/>
      <c r="I35" s="575"/>
      <c r="J35" s="633" t="s">
        <v>193</v>
      </c>
      <c r="K35" s="634">
        <f>K25+K33</f>
        <v>5889641.7769444427</v>
      </c>
    </row>
    <row r="36" spans="2:11" ht="15" thickBot="1" x14ac:dyDescent="0.4">
      <c r="B36" s="512"/>
      <c r="C36" s="513"/>
      <c r="D36" s="513"/>
      <c r="E36" s="541"/>
      <c r="F36" s="513"/>
      <c r="G36" s="513"/>
      <c r="H36" s="513"/>
      <c r="I36" s="513"/>
      <c r="J36" s="513"/>
      <c r="K36" s="534"/>
    </row>
    <row r="37" spans="2:11" ht="16" thickBot="1" x14ac:dyDescent="0.4">
      <c r="B37" s="1358" t="s">
        <v>16</v>
      </c>
      <c r="C37" s="1359"/>
      <c r="D37" s="1359"/>
      <c r="E37" s="1359"/>
      <c r="F37" s="1359"/>
      <c r="G37" s="1359"/>
      <c r="H37" s="1359"/>
      <c r="I37" s="1359"/>
      <c r="J37" s="1359"/>
      <c r="K37" s="1360"/>
    </row>
    <row r="38" spans="2:11" x14ac:dyDescent="0.35">
      <c r="B38" s="512"/>
      <c r="C38" s="513"/>
      <c r="D38" s="513"/>
      <c r="E38" s="513"/>
      <c r="F38" s="513"/>
      <c r="G38" s="513"/>
      <c r="H38" s="513"/>
      <c r="I38" s="513"/>
      <c r="J38" s="513"/>
      <c r="K38" s="534"/>
    </row>
    <row r="39" spans="2:11" ht="15.5" x14ac:dyDescent="0.35">
      <c r="B39" s="526" t="s">
        <v>192</v>
      </c>
      <c r="C39" s="532"/>
      <c r="D39" s="513"/>
      <c r="E39" s="513"/>
      <c r="F39" s="513"/>
      <c r="G39" s="513"/>
      <c r="H39" s="513"/>
      <c r="I39" s="513"/>
      <c r="J39" s="651" t="s">
        <v>3</v>
      </c>
      <c r="K39" s="652">
        <f>259*0.8</f>
        <v>207.20000000000002</v>
      </c>
    </row>
    <row r="40" spans="2:11" x14ac:dyDescent="0.35">
      <c r="B40" s="512"/>
      <c r="C40" s="513"/>
      <c r="D40" s="513"/>
      <c r="E40" s="513"/>
      <c r="F40" s="513"/>
      <c r="G40" s="513"/>
      <c r="H40" s="513"/>
      <c r="I40" s="513"/>
      <c r="J40" s="513"/>
      <c r="K40" s="534"/>
    </row>
    <row r="41" spans="2:11" ht="16" thickBot="1" x14ac:dyDescent="0.4">
      <c r="B41" s="653" t="s">
        <v>191</v>
      </c>
      <c r="C41" s="654"/>
      <c r="D41" s="655"/>
      <c r="E41" s="655"/>
      <c r="F41" s="655"/>
      <c r="G41" s="655"/>
      <c r="H41" s="656"/>
      <c r="I41" s="655"/>
      <c r="J41" s="657" t="s">
        <v>190</v>
      </c>
      <c r="K41" s="658">
        <f>K35/K39</f>
        <v>28424.912050890165</v>
      </c>
    </row>
    <row r="42" spans="2:11" ht="15" thickTop="1" x14ac:dyDescent="0.35"/>
    <row r="43" spans="2:11" ht="15" thickBot="1" x14ac:dyDescent="0.4"/>
    <row r="44" spans="2:11" x14ac:dyDescent="0.35">
      <c r="D44" s="659" t="s">
        <v>189</v>
      </c>
      <c r="E44" s="609"/>
      <c r="F44" s="660"/>
      <c r="G44" s="661"/>
    </row>
    <row r="45" spans="2:11" x14ac:dyDescent="0.35">
      <c r="D45" s="662" t="s">
        <v>188</v>
      </c>
      <c r="E45" s="619">
        <v>7</v>
      </c>
      <c r="F45" s="663" t="s">
        <v>152</v>
      </c>
    </row>
    <row r="46" spans="2:11" x14ac:dyDescent="0.35">
      <c r="D46" s="662" t="s">
        <v>187</v>
      </c>
      <c r="E46" s="540">
        <v>10</v>
      </c>
      <c r="F46" s="663" t="s">
        <v>185</v>
      </c>
    </row>
    <row r="47" spans="2:11" x14ac:dyDescent="0.35">
      <c r="D47" s="662" t="s">
        <v>186</v>
      </c>
      <c r="E47" s="540">
        <v>2</v>
      </c>
      <c r="F47" s="663" t="s">
        <v>185</v>
      </c>
    </row>
    <row r="48" spans="2:11" ht="15" thickBot="1" x14ac:dyDescent="0.4">
      <c r="D48" s="664" t="s">
        <v>184</v>
      </c>
      <c r="E48" s="665">
        <v>100</v>
      </c>
      <c r="F48" s="666" t="s">
        <v>152</v>
      </c>
    </row>
  </sheetData>
  <mergeCells count="5">
    <mergeCell ref="I3:K3"/>
    <mergeCell ref="B8:K8"/>
    <mergeCell ref="B37:K37"/>
    <mergeCell ref="B1:K1"/>
    <mergeCell ref="B2:K2"/>
  </mergeCells>
  <printOptions horizontalCentered="1"/>
  <pageMargins left="0.33" right="0.41" top="0.56000000000000005" bottom="0.52" header="0.3" footer="0.3"/>
  <pageSetup scale="58" fitToHeight="0" orientation="portrait" r:id="rId1"/>
  <headerFooter>
    <oddFooter>&amp;LUAF
PM&amp;Y2.5&amp;Y Serious NAA BACT Analysis&amp;CPage 53&amp;RJanuary 2017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B1:K62"/>
  <sheetViews>
    <sheetView zoomScaleNormal="100" workbookViewId="0">
      <selection activeCell="M58" sqref="M58"/>
    </sheetView>
  </sheetViews>
  <sheetFormatPr defaultColWidth="8.81640625" defaultRowHeight="14.5" x14ac:dyDescent="0.35"/>
  <cols>
    <col min="1" max="1" width="2.26953125" style="182" customWidth="1"/>
    <col min="2" max="2" width="5.26953125" style="182" customWidth="1"/>
    <col min="3" max="3" width="6" style="182" customWidth="1"/>
    <col min="4" max="4" width="63.7265625" style="182" customWidth="1"/>
    <col min="5" max="5" width="8.81640625" style="182"/>
    <col min="6" max="6" width="19.26953125" style="182" customWidth="1"/>
    <col min="7" max="7" width="13" style="182" customWidth="1"/>
    <col min="8" max="8" width="24.1796875" style="182" customWidth="1"/>
    <col min="9" max="9" width="20.453125" style="182" customWidth="1"/>
    <col min="10" max="10" width="14.7265625" style="182" customWidth="1"/>
    <col min="11" max="11" width="17.26953125" style="182" customWidth="1"/>
    <col min="12" max="12" width="8.81640625" style="182"/>
    <col min="13" max="13" width="29.81640625" style="182" customWidth="1"/>
    <col min="14" max="16384" width="8.81640625" style="182"/>
  </cols>
  <sheetData>
    <row r="1" spans="2:11" x14ac:dyDescent="0.35">
      <c r="B1" s="1351" t="s">
        <v>267</v>
      </c>
      <c r="C1" s="1351"/>
      <c r="D1" s="1351"/>
      <c r="E1" s="1351"/>
      <c r="F1" s="1351"/>
      <c r="G1" s="1351"/>
      <c r="H1" s="1351"/>
      <c r="I1" s="1351"/>
      <c r="J1" s="1351"/>
      <c r="K1" s="1351"/>
    </row>
    <row r="2" spans="2:11" x14ac:dyDescent="0.35">
      <c r="B2" s="1351" t="s">
        <v>279</v>
      </c>
      <c r="C2" s="1351"/>
      <c r="D2" s="1351"/>
      <c r="E2" s="1351"/>
      <c r="F2" s="1351"/>
      <c r="G2" s="1351"/>
      <c r="H2" s="1351"/>
      <c r="I2" s="1351"/>
      <c r="J2" s="1351"/>
      <c r="K2" s="1351"/>
    </row>
    <row r="3" spans="2:11" ht="15" thickBot="1" x14ac:dyDescent="0.4">
      <c r="J3" s="1361" t="s">
        <v>183</v>
      </c>
      <c r="K3" s="1361"/>
    </row>
    <row r="4" spans="2:11" ht="19" thickTop="1" x14ac:dyDescent="0.45">
      <c r="B4" s="183" t="s">
        <v>255</v>
      </c>
      <c r="C4" s="184"/>
      <c r="D4" s="184"/>
      <c r="E4" s="185"/>
      <c r="F4" s="185"/>
      <c r="G4" s="185"/>
      <c r="H4" s="185"/>
      <c r="I4" s="185"/>
      <c r="J4" s="186" t="s">
        <v>181</v>
      </c>
      <c r="K4" s="187">
        <v>42403</v>
      </c>
    </row>
    <row r="5" spans="2:11" ht="16.5" x14ac:dyDescent="0.45">
      <c r="B5" s="188" t="s">
        <v>180</v>
      </c>
      <c r="C5" s="189"/>
      <c r="D5" s="819" t="s">
        <v>306</v>
      </c>
      <c r="E5" s="189"/>
      <c r="F5" s="189"/>
      <c r="G5" s="189"/>
      <c r="H5" s="189"/>
      <c r="I5" s="189"/>
      <c r="J5" s="186" t="s">
        <v>179</v>
      </c>
      <c r="K5" s="190" t="s">
        <v>178</v>
      </c>
    </row>
    <row r="6" spans="2:11" x14ac:dyDescent="0.35">
      <c r="B6" s="188"/>
      <c r="C6" s="189"/>
      <c r="D6" s="189"/>
      <c r="E6" s="189"/>
      <c r="F6" s="189"/>
      <c r="G6" s="189"/>
      <c r="H6" s="189"/>
      <c r="I6" s="189"/>
      <c r="J6" s="186" t="s">
        <v>177</v>
      </c>
      <c r="K6" s="190" t="s">
        <v>231</v>
      </c>
    </row>
    <row r="7" spans="2:11" ht="15" thickBot="1" x14ac:dyDescent="0.4">
      <c r="B7" s="191"/>
      <c r="C7" s="192"/>
      <c r="D7" s="192"/>
      <c r="E7" s="192"/>
      <c r="F7" s="192"/>
      <c r="G7" s="192"/>
      <c r="H7" s="192"/>
      <c r="I7" s="192"/>
      <c r="J7" s="193" t="s">
        <v>175</v>
      </c>
      <c r="K7" s="194" t="s">
        <v>256</v>
      </c>
    </row>
    <row r="8" spans="2:11" ht="36.75" customHeight="1" thickBot="1" x14ac:dyDescent="0.4">
      <c r="B8" s="1362" t="s">
        <v>1</v>
      </c>
      <c r="C8" s="1363"/>
      <c r="D8" s="1363"/>
      <c r="E8" s="1363"/>
      <c r="F8" s="1363"/>
      <c r="G8" s="1363"/>
      <c r="H8" s="1363"/>
      <c r="I8" s="1363"/>
      <c r="J8" s="1363"/>
      <c r="K8" s="1364"/>
    </row>
    <row r="9" spans="2:11" ht="19" thickTop="1" x14ac:dyDescent="0.45">
      <c r="B9" s="195" t="s">
        <v>2</v>
      </c>
      <c r="C9" s="196"/>
      <c r="D9" s="196"/>
      <c r="E9" s="197" t="s">
        <v>173</v>
      </c>
      <c r="F9" s="197" t="s">
        <v>172</v>
      </c>
      <c r="G9" s="198" t="s">
        <v>171</v>
      </c>
      <c r="H9" s="199" t="s">
        <v>170</v>
      </c>
      <c r="I9" s="199" t="s">
        <v>169</v>
      </c>
      <c r="J9" s="196"/>
      <c r="K9" s="200"/>
    </row>
    <row r="10" spans="2:11" ht="15.5" x14ac:dyDescent="0.35">
      <c r="B10" s="201"/>
      <c r="C10" s="189"/>
      <c r="D10" s="189"/>
      <c r="E10" s="202"/>
      <c r="F10" s="202"/>
      <c r="G10" s="203"/>
      <c r="H10" s="204"/>
      <c r="I10" s="204"/>
      <c r="J10" s="189"/>
      <c r="K10" s="205"/>
    </row>
    <row r="11" spans="2:11" ht="15.5" x14ac:dyDescent="0.35">
      <c r="B11" s="206" t="s">
        <v>168</v>
      </c>
      <c r="C11" s="207" t="s">
        <v>167</v>
      </c>
      <c r="D11" s="207"/>
      <c r="E11" s="189"/>
      <c r="F11" s="189"/>
      <c r="G11" s="189"/>
      <c r="H11" s="189"/>
      <c r="I11" s="189"/>
      <c r="J11" s="208"/>
      <c r="K11" s="209"/>
    </row>
    <row r="12" spans="2:11" ht="15.5" x14ac:dyDescent="0.35">
      <c r="B12" s="201"/>
      <c r="C12" s="207" t="s">
        <v>142</v>
      </c>
      <c r="D12" s="207" t="s">
        <v>166</v>
      </c>
      <c r="E12" s="189"/>
      <c r="F12" s="189"/>
      <c r="G12" s="189"/>
      <c r="H12" s="189"/>
      <c r="I12" s="189"/>
      <c r="J12" s="210"/>
      <c r="K12" s="211"/>
    </row>
    <row r="13" spans="2:11" x14ac:dyDescent="0.35">
      <c r="B13" s="212"/>
      <c r="C13" s="213"/>
      <c r="D13" s="214" t="s">
        <v>257</v>
      </c>
      <c r="E13" s="215">
        <v>1</v>
      </c>
      <c r="F13" s="216" t="s">
        <v>109</v>
      </c>
      <c r="G13" s="217">
        <v>1000000</v>
      </c>
      <c r="H13" s="218">
        <f>E13*G13</f>
        <v>1000000</v>
      </c>
      <c r="I13" s="218"/>
      <c r="J13" s="219"/>
      <c r="K13" s="220"/>
    </row>
    <row r="14" spans="2:11" x14ac:dyDescent="0.35">
      <c r="B14" s="221"/>
      <c r="C14" s="222"/>
      <c r="D14" s="223" t="s">
        <v>269</v>
      </c>
      <c r="E14" s="224"/>
      <c r="F14" s="224"/>
      <c r="G14" s="225"/>
      <c r="H14" s="226"/>
      <c r="I14" s="226"/>
      <c r="J14" s="227" t="s">
        <v>147</v>
      </c>
      <c r="K14" s="211">
        <f>SUM(H13:H13)</f>
        <v>1000000</v>
      </c>
    </row>
    <row r="15" spans="2:11" ht="15.5" x14ac:dyDescent="0.35">
      <c r="B15" s="221"/>
      <c r="C15" s="228" t="s">
        <v>139</v>
      </c>
      <c r="D15" s="228" t="s">
        <v>164</v>
      </c>
      <c r="E15" s="224"/>
      <c r="F15" s="224"/>
      <c r="G15" s="225"/>
      <c r="H15" s="226"/>
      <c r="I15" s="226"/>
      <c r="J15" s="227"/>
      <c r="K15" s="229"/>
    </row>
    <row r="16" spans="2:11" x14ac:dyDescent="0.35">
      <c r="B16" s="221"/>
      <c r="C16" s="222"/>
      <c r="D16" s="223" t="s">
        <v>163</v>
      </c>
      <c r="E16" s="215"/>
      <c r="F16" s="224" t="s">
        <v>109</v>
      </c>
      <c r="G16" s="215"/>
      <c r="H16" s="218">
        <f>E16*G16</f>
        <v>0</v>
      </c>
      <c r="I16" s="226"/>
      <c r="J16" s="219"/>
      <c r="K16" s="229"/>
    </row>
    <row r="17" spans="2:11" x14ac:dyDescent="0.35">
      <c r="B17" s="230"/>
      <c r="C17" s="231"/>
      <c r="D17" s="232"/>
      <c r="E17" s="233"/>
      <c r="F17" s="233"/>
      <c r="G17" s="232"/>
      <c r="H17" s="234"/>
      <c r="I17" s="234"/>
      <c r="J17" s="227" t="s">
        <v>147</v>
      </c>
      <c r="K17" s="211">
        <f>SUM(H16:H16)</f>
        <v>0</v>
      </c>
    </row>
    <row r="18" spans="2:11" ht="15.5" x14ac:dyDescent="0.35">
      <c r="B18" s="212"/>
      <c r="C18" s="207" t="s">
        <v>137</v>
      </c>
      <c r="D18" s="207" t="s">
        <v>162</v>
      </c>
      <c r="E18" s="216"/>
      <c r="F18" s="216"/>
      <c r="G18" s="189"/>
      <c r="H18" s="218"/>
      <c r="I18" s="218"/>
      <c r="J18" s="219"/>
      <c r="K18" s="229"/>
    </row>
    <row r="19" spans="2:11" x14ac:dyDescent="0.35">
      <c r="B19" s="212"/>
      <c r="C19" s="213"/>
      <c r="D19" s="214" t="s">
        <v>258</v>
      </c>
      <c r="E19" s="215"/>
      <c r="F19" s="216" t="s">
        <v>259</v>
      </c>
      <c r="G19" s="235">
        <v>0</v>
      </c>
      <c r="H19" s="218"/>
      <c r="I19" s="218">
        <f>G19*G13</f>
        <v>0</v>
      </c>
      <c r="J19" s="219"/>
      <c r="K19" s="229"/>
    </row>
    <row r="20" spans="2:11" x14ac:dyDescent="0.35">
      <c r="B20" s="236"/>
      <c r="C20" s="223"/>
      <c r="D20" s="223"/>
      <c r="E20" s="237"/>
      <c r="F20" s="237"/>
      <c r="G20" s="223"/>
      <c r="H20" s="238"/>
      <c r="I20" s="238"/>
      <c r="J20" s="227" t="s">
        <v>147</v>
      </c>
      <c r="K20" s="211">
        <f>SUM(I19:I19)</f>
        <v>0</v>
      </c>
    </row>
    <row r="21" spans="2:11" ht="15.5" x14ac:dyDescent="0.35">
      <c r="B21" s="212"/>
      <c r="C21" s="207" t="s">
        <v>134</v>
      </c>
      <c r="D21" s="207" t="s">
        <v>159</v>
      </c>
      <c r="E21" s="216"/>
      <c r="F21" s="216"/>
      <c r="G21" s="189"/>
      <c r="H21" s="218"/>
      <c r="I21" s="218"/>
      <c r="J21" s="219"/>
      <c r="K21" s="229"/>
    </row>
    <row r="22" spans="2:11" x14ac:dyDescent="0.35">
      <c r="B22" s="239"/>
      <c r="C22" s="214"/>
      <c r="D22" s="223" t="s">
        <v>158</v>
      </c>
      <c r="E22" s="240"/>
      <c r="F22" s="241" t="s">
        <v>155</v>
      </c>
      <c r="G22" s="242"/>
      <c r="H22" s="243"/>
      <c r="I22" s="243">
        <f>E22*G22</f>
        <v>0</v>
      </c>
      <c r="J22" s="244"/>
      <c r="K22" s="245"/>
    </row>
    <row r="23" spans="2:11" x14ac:dyDescent="0.35">
      <c r="B23" s="239"/>
      <c r="C23" s="214"/>
      <c r="D23" s="223" t="s">
        <v>156</v>
      </c>
      <c r="E23" s="240"/>
      <c r="F23" s="241" t="s">
        <v>155</v>
      </c>
      <c r="G23" s="242"/>
      <c r="H23" s="243"/>
      <c r="I23" s="243">
        <f>E23*G23</f>
        <v>0</v>
      </c>
      <c r="J23" s="244"/>
      <c r="K23" s="245"/>
    </row>
    <row r="24" spans="2:11" x14ac:dyDescent="0.35">
      <c r="B24" s="236"/>
      <c r="C24" s="223"/>
      <c r="D24" s="223"/>
      <c r="E24" s="237"/>
      <c r="F24" s="237"/>
      <c r="G24" s="223"/>
      <c r="H24" s="238"/>
      <c r="I24" s="238"/>
      <c r="J24" s="227" t="s">
        <v>147</v>
      </c>
      <c r="K24" s="211">
        <f>SUM(I22:I23)</f>
        <v>0</v>
      </c>
    </row>
    <row r="25" spans="2:11" ht="15.5" x14ac:dyDescent="0.35">
      <c r="B25" s="212"/>
      <c r="C25" s="207" t="s">
        <v>260</v>
      </c>
      <c r="D25" s="207" t="s">
        <v>151</v>
      </c>
      <c r="E25" s="216"/>
      <c r="F25" s="216"/>
      <c r="G25" s="189"/>
      <c r="H25" s="218"/>
      <c r="I25" s="218"/>
      <c r="J25" s="219"/>
      <c r="K25" s="229"/>
    </row>
    <row r="26" spans="2:11" x14ac:dyDescent="0.35">
      <c r="B26" s="212"/>
      <c r="C26" s="213"/>
      <c r="D26" s="214" t="s">
        <v>150</v>
      </c>
      <c r="E26" s="240"/>
      <c r="F26" s="241" t="s">
        <v>148</v>
      </c>
      <c r="G26" s="240"/>
      <c r="H26" s="243"/>
      <c r="I26" s="243">
        <f>G26*E26</f>
        <v>0</v>
      </c>
      <c r="J26" s="219"/>
      <c r="K26" s="229"/>
    </row>
    <row r="27" spans="2:11" x14ac:dyDescent="0.35">
      <c r="B27" s="212"/>
      <c r="C27" s="213"/>
      <c r="D27" s="214" t="s">
        <v>149</v>
      </c>
      <c r="E27" s="240"/>
      <c r="F27" s="241" t="s">
        <v>148</v>
      </c>
      <c r="G27" s="240"/>
      <c r="H27" s="243"/>
      <c r="I27" s="243">
        <f>G27*E27</f>
        <v>0</v>
      </c>
      <c r="J27" s="219"/>
      <c r="K27" s="229"/>
    </row>
    <row r="28" spans="2:11" x14ac:dyDescent="0.35">
      <c r="B28" s="212"/>
      <c r="C28" s="213"/>
      <c r="D28" s="213"/>
      <c r="E28" s="241"/>
      <c r="F28" s="241"/>
      <c r="G28" s="214"/>
      <c r="H28" s="243"/>
      <c r="I28" s="243"/>
      <c r="J28" s="227" t="s">
        <v>147</v>
      </c>
      <c r="K28" s="211">
        <f>SUM(I26:I27)</f>
        <v>0</v>
      </c>
    </row>
    <row r="29" spans="2:11" ht="15.5" x14ac:dyDescent="0.35">
      <c r="B29" s="246" t="s">
        <v>146</v>
      </c>
      <c r="C29" s="247"/>
      <c r="D29" s="247"/>
      <c r="E29" s="248" t="s">
        <v>241</v>
      </c>
      <c r="F29" s="249"/>
      <c r="G29" s="250"/>
      <c r="H29" s="251"/>
      <c r="I29" s="251"/>
      <c r="J29" s="252" t="s">
        <v>145</v>
      </c>
      <c r="K29" s="253">
        <f>K14+K17+K20+K24+K28</f>
        <v>1000000</v>
      </c>
    </row>
    <row r="30" spans="2:11" ht="15.5" x14ac:dyDescent="0.35">
      <c r="B30" s="254"/>
      <c r="C30" s="255"/>
      <c r="D30" s="255"/>
      <c r="E30" s="216"/>
      <c r="F30" s="216"/>
      <c r="G30" s="189"/>
      <c r="H30" s="218"/>
      <c r="I30" s="218"/>
      <c r="J30" s="256"/>
      <c r="K30" s="229"/>
    </row>
    <row r="31" spans="2:11" ht="15.5" x14ac:dyDescent="0.35">
      <c r="B31" s="206" t="s">
        <v>144</v>
      </c>
      <c r="C31" s="207" t="s">
        <v>143</v>
      </c>
      <c r="D31" s="207"/>
      <c r="E31" s="216"/>
      <c r="F31" s="216"/>
      <c r="G31" s="189"/>
      <c r="H31" s="218"/>
      <c r="I31" s="218"/>
      <c r="J31" s="256"/>
      <c r="K31" s="229"/>
    </row>
    <row r="32" spans="2:11" ht="15.5" x14ac:dyDescent="0.35">
      <c r="B32" s="201"/>
      <c r="C32" s="207" t="s">
        <v>142</v>
      </c>
      <c r="D32" s="207" t="s">
        <v>141</v>
      </c>
      <c r="E32" s="240"/>
      <c r="F32" s="216" t="s">
        <v>140</v>
      </c>
      <c r="G32" s="240"/>
      <c r="H32" s="218">
        <f>E32*G32</f>
        <v>0</v>
      </c>
      <c r="I32" s="218"/>
      <c r="J32" s="219"/>
      <c r="K32" s="229">
        <f>H32+I32</f>
        <v>0</v>
      </c>
    </row>
    <row r="33" spans="2:11" ht="15.5" x14ac:dyDescent="0.35">
      <c r="B33" s="201"/>
      <c r="C33" s="207" t="s">
        <v>139</v>
      </c>
      <c r="D33" s="207" t="s">
        <v>138</v>
      </c>
      <c r="E33" s="240"/>
      <c r="F33" s="216" t="s">
        <v>135</v>
      </c>
      <c r="G33" s="240"/>
      <c r="H33" s="218">
        <f t="shared" ref="H33:H38" si="0">E33*G33</f>
        <v>0</v>
      </c>
      <c r="I33" s="218"/>
      <c r="J33" s="219"/>
      <c r="K33" s="229">
        <f t="shared" ref="K33:K42" si="1">H33+I33</f>
        <v>0</v>
      </c>
    </row>
    <row r="34" spans="2:11" ht="15.5" x14ac:dyDescent="0.35">
      <c r="B34" s="201"/>
      <c r="C34" s="207" t="s">
        <v>137</v>
      </c>
      <c r="D34" s="207" t="s">
        <v>136</v>
      </c>
      <c r="E34" s="240"/>
      <c r="F34" s="216" t="s">
        <v>135</v>
      </c>
      <c r="G34" s="240"/>
      <c r="H34" s="218">
        <f t="shared" si="0"/>
        <v>0</v>
      </c>
      <c r="I34" s="218"/>
      <c r="J34" s="219"/>
      <c r="K34" s="229">
        <f t="shared" si="1"/>
        <v>0</v>
      </c>
    </row>
    <row r="35" spans="2:11" ht="15.5" x14ac:dyDescent="0.35">
      <c r="B35" s="201"/>
      <c r="C35" s="207" t="s">
        <v>134</v>
      </c>
      <c r="D35" s="207" t="s">
        <v>133</v>
      </c>
      <c r="E35" s="240"/>
      <c r="F35" s="216" t="s">
        <v>127</v>
      </c>
      <c r="G35" s="240"/>
      <c r="H35" s="218">
        <f t="shared" si="0"/>
        <v>0</v>
      </c>
      <c r="I35" s="218"/>
      <c r="J35" s="219"/>
      <c r="K35" s="229">
        <f t="shared" si="1"/>
        <v>0</v>
      </c>
    </row>
    <row r="36" spans="2:11" ht="15.5" x14ac:dyDescent="0.35">
      <c r="B36" s="201"/>
      <c r="C36" s="207" t="s">
        <v>132</v>
      </c>
      <c r="D36" s="207" t="s">
        <v>131</v>
      </c>
      <c r="E36" s="240"/>
      <c r="F36" s="216" t="s">
        <v>130</v>
      </c>
      <c r="G36" s="240"/>
      <c r="H36" s="218">
        <f t="shared" si="0"/>
        <v>0</v>
      </c>
      <c r="I36" s="218"/>
      <c r="J36" s="219"/>
      <c r="K36" s="229">
        <f t="shared" si="1"/>
        <v>0</v>
      </c>
    </row>
    <row r="37" spans="2:11" ht="15.5" x14ac:dyDescent="0.35">
      <c r="B37" s="201"/>
      <c r="C37" s="207" t="s">
        <v>129</v>
      </c>
      <c r="D37" s="207" t="s">
        <v>128</v>
      </c>
      <c r="E37" s="240"/>
      <c r="F37" s="216" t="s">
        <v>127</v>
      </c>
      <c r="G37" s="240"/>
      <c r="H37" s="218">
        <f t="shared" si="0"/>
        <v>0</v>
      </c>
      <c r="I37" s="218"/>
      <c r="J37" s="219"/>
      <c r="K37" s="229">
        <f t="shared" si="1"/>
        <v>0</v>
      </c>
    </row>
    <row r="38" spans="2:11" ht="15.5" x14ac:dyDescent="0.35">
      <c r="B38" s="201"/>
      <c r="C38" s="207" t="s">
        <v>126</v>
      </c>
      <c r="D38" s="207" t="s">
        <v>125</v>
      </c>
      <c r="E38" s="240"/>
      <c r="F38" s="216" t="s">
        <v>124</v>
      </c>
      <c r="G38" s="240"/>
      <c r="H38" s="218">
        <f t="shared" si="0"/>
        <v>0</v>
      </c>
      <c r="I38" s="218"/>
      <c r="J38" s="219"/>
      <c r="K38" s="229">
        <f t="shared" si="1"/>
        <v>0</v>
      </c>
    </row>
    <row r="39" spans="2:11" ht="15.5" x14ac:dyDescent="0.35">
      <c r="B39" s="201"/>
      <c r="C39" s="207" t="s">
        <v>123</v>
      </c>
      <c r="D39" s="207" t="s">
        <v>122</v>
      </c>
      <c r="E39" s="216"/>
      <c r="F39" s="216"/>
      <c r="G39" s="256"/>
      <c r="H39" s="218"/>
      <c r="I39" s="218"/>
      <c r="J39" s="219"/>
      <c r="K39" s="229"/>
    </row>
    <row r="40" spans="2:11" ht="15.5" x14ac:dyDescent="0.35">
      <c r="B40" s="201"/>
      <c r="C40" s="207"/>
      <c r="D40" s="255" t="s">
        <v>121</v>
      </c>
      <c r="F40" s="186" t="s">
        <v>120</v>
      </c>
      <c r="G40" s="235"/>
      <c r="H40" s="257"/>
      <c r="I40" s="218">
        <f>G40*I22</f>
        <v>0</v>
      </c>
      <c r="J40" s="219"/>
      <c r="K40" s="229">
        <f t="shared" si="1"/>
        <v>0</v>
      </c>
    </row>
    <row r="41" spans="2:11" ht="15.5" x14ac:dyDescent="0.35">
      <c r="B41" s="201"/>
      <c r="C41" s="207"/>
      <c r="D41" s="255" t="s">
        <v>338</v>
      </c>
      <c r="F41" s="186" t="s">
        <v>119</v>
      </c>
      <c r="G41" s="235"/>
      <c r="H41" s="257"/>
      <c r="I41" s="218">
        <f>G41*I23</f>
        <v>0</v>
      </c>
      <c r="J41" s="219"/>
      <c r="K41" s="229">
        <f t="shared" si="1"/>
        <v>0</v>
      </c>
    </row>
    <row r="42" spans="2:11" ht="15.5" x14ac:dyDescent="0.35">
      <c r="B42" s="201"/>
      <c r="C42" s="207"/>
      <c r="D42" s="255" t="s">
        <v>118</v>
      </c>
      <c r="F42" s="186" t="s">
        <v>117</v>
      </c>
      <c r="G42" s="235"/>
      <c r="H42" s="218"/>
      <c r="I42" s="218">
        <f>G42*K14</f>
        <v>0</v>
      </c>
      <c r="J42" s="219"/>
      <c r="K42" s="229">
        <f t="shared" si="1"/>
        <v>0</v>
      </c>
    </row>
    <row r="43" spans="2:11" ht="15.5" x14ac:dyDescent="0.35">
      <c r="B43" s="246" t="s">
        <v>261</v>
      </c>
      <c r="C43" s="258"/>
      <c r="D43" s="258"/>
      <c r="E43" s="259"/>
      <c r="F43" s="259"/>
      <c r="G43" s="260"/>
      <c r="H43" s="261"/>
      <c r="I43" s="261"/>
      <c r="J43" s="252" t="s">
        <v>115</v>
      </c>
      <c r="K43" s="253">
        <f>K29</f>
        <v>1000000</v>
      </c>
    </row>
    <row r="44" spans="2:11" ht="15.5" x14ac:dyDescent="0.35">
      <c r="B44" s="254"/>
      <c r="C44" s="255"/>
      <c r="D44" s="255"/>
      <c r="E44" s="189"/>
      <c r="F44" s="189"/>
      <c r="G44" s="189"/>
      <c r="H44" s="256"/>
      <c r="I44" s="256"/>
      <c r="J44" s="256"/>
      <c r="K44" s="229"/>
    </row>
    <row r="45" spans="2:11" ht="15.5" x14ac:dyDescent="0.35">
      <c r="B45" s="254"/>
      <c r="C45" s="255"/>
      <c r="D45" s="255"/>
      <c r="E45" s="189"/>
      <c r="F45" s="189"/>
      <c r="G45" s="189"/>
      <c r="H45" s="256"/>
      <c r="I45" s="256"/>
      <c r="J45" s="256"/>
      <c r="K45" s="229"/>
    </row>
    <row r="46" spans="2:11" ht="15.5" x14ac:dyDescent="0.35">
      <c r="B46" s="246" t="s">
        <v>4</v>
      </c>
      <c r="C46" s="262"/>
      <c r="D46" s="262"/>
      <c r="E46" s="260"/>
      <c r="F46" s="260"/>
      <c r="G46" s="260"/>
      <c r="H46" s="263"/>
      <c r="I46" s="263"/>
      <c r="J46" s="252" t="s">
        <v>114</v>
      </c>
      <c r="K46" s="253">
        <f>+K29+K43</f>
        <v>2000000</v>
      </c>
    </row>
    <row r="47" spans="2:11" ht="15.5" x14ac:dyDescent="0.35">
      <c r="B47" s="201"/>
      <c r="C47" s="255"/>
      <c r="D47" s="255"/>
      <c r="E47" s="189"/>
      <c r="F47" s="189"/>
      <c r="G47" s="213"/>
      <c r="H47" s="256"/>
      <c r="I47" s="256"/>
      <c r="J47" s="256"/>
      <c r="K47" s="220"/>
    </row>
    <row r="48" spans="2:11" ht="15.5" x14ac:dyDescent="0.35">
      <c r="B48" s="254"/>
      <c r="C48" s="255"/>
      <c r="D48" s="255"/>
      <c r="E48" s="189"/>
      <c r="F48" s="189"/>
      <c r="G48" s="189"/>
      <c r="H48" s="256"/>
      <c r="I48" s="256"/>
      <c r="J48" s="256"/>
      <c r="K48" s="220"/>
    </row>
    <row r="49" spans="2:11" ht="15.5" x14ac:dyDescent="0.35">
      <c r="B49" s="201" t="s">
        <v>5</v>
      </c>
      <c r="C49" s="255"/>
      <c r="D49" s="255"/>
      <c r="E49" s="189"/>
      <c r="F49" s="189"/>
      <c r="G49" s="189"/>
      <c r="H49" s="256"/>
      <c r="I49" s="256"/>
      <c r="J49" s="256"/>
      <c r="K49" s="220"/>
    </row>
    <row r="50" spans="2:11" ht="15.5" x14ac:dyDescent="0.35">
      <c r="B50" s="264" t="s">
        <v>113</v>
      </c>
      <c r="C50" s="255" t="s">
        <v>112</v>
      </c>
      <c r="D50" s="255"/>
      <c r="E50" s="235">
        <v>0.18</v>
      </c>
      <c r="F50" s="216" t="s">
        <v>103</v>
      </c>
      <c r="G50" s="265"/>
      <c r="H50" s="256"/>
      <c r="I50" s="218">
        <f>E50*K46</f>
        <v>360000</v>
      </c>
      <c r="J50" s="219"/>
      <c r="K50" s="220"/>
    </row>
    <row r="51" spans="2:11" ht="15.5" x14ac:dyDescent="0.35">
      <c r="B51" s="264" t="s">
        <v>111</v>
      </c>
      <c r="C51" s="255" t="s">
        <v>110</v>
      </c>
      <c r="D51" s="255"/>
      <c r="E51" s="240"/>
      <c r="F51" s="216" t="s">
        <v>109</v>
      </c>
      <c r="G51" s="240"/>
      <c r="H51" s="256"/>
      <c r="I51" s="218">
        <f>G51*E51</f>
        <v>0</v>
      </c>
      <c r="J51" s="219"/>
      <c r="K51" s="220"/>
    </row>
    <row r="52" spans="2:11" ht="15.5" x14ac:dyDescent="0.35">
      <c r="B52" s="246" t="s">
        <v>7</v>
      </c>
      <c r="C52" s="262"/>
      <c r="D52" s="262"/>
      <c r="E52" s="260"/>
      <c r="F52" s="259"/>
      <c r="G52" s="260"/>
      <c r="H52" s="263"/>
      <c r="I52" s="261"/>
      <c r="J52" s="252" t="s">
        <v>108</v>
      </c>
      <c r="K52" s="253">
        <f>SUM(I50:I51)</f>
        <v>360000</v>
      </c>
    </row>
    <row r="53" spans="2:11" ht="15.5" x14ac:dyDescent="0.35">
      <c r="B53" s="201"/>
      <c r="C53" s="255"/>
      <c r="D53" s="255"/>
      <c r="E53" s="189"/>
      <c r="F53" s="216"/>
      <c r="G53" s="189"/>
      <c r="H53" s="256"/>
      <c r="I53" s="218"/>
      <c r="J53" s="266"/>
      <c r="K53" s="220"/>
    </row>
    <row r="54" spans="2:11" ht="15.5" x14ac:dyDescent="0.35">
      <c r="B54" s="254"/>
      <c r="C54" s="255"/>
      <c r="D54" s="255"/>
      <c r="E54" s="189"/>
      <c r="F54" s="216"/>
      <c r="G54" s="189"/>
      <c r="H54" s="256"/>
      <c r="I54" s="218"/>
      <c r="J54" s="256"/>
      <c r="K54" s="220"/>
    </row>
    <row r="55" spans="2:11" ht="15.5" x14ac:dyDescent="0.35">
      <c r="B55" s="201" t="s">
        <v>8</v>
      </c>
      <c r="C55" s="255"/>
      <c r="D55" s="255"/>
      <c r="E55" s="189"/>
      <c r="F55" s="216"/>
      <c r="G55" s="189"/>
      <c r="H55" s="256"/>
      <c r="I55" s="218"/>
      <c r="J55" s="256"/>
      <c r="K55" s="220"/>
    </row>
    <row r="56" spans="2:11" ht="15.5" x14ac:dyDescent="0.35">
      <c r="B56" s="264" t="s">
        <v>107</v>
      </c>
      <c r="C56" s="255" t="s">
        <v>106</v>
      </c>
      <c r="D56" s="255"/>
      <c r="E56" s="189"/>
      <c r="F56" s="216" t="s">
        <v>103</v>
      </c>
      <c r="G56" s="189"/>
      <c r="H56" s="256"/>
      <c r="I56" s="218"/>
      <c r="J56" s="219"/>
      <c r="K56" s="267" t="s">
        <v>102</v>
      </c>
    </row>
    <row r="57" spans="2:11" ht="15.5" x14ac:dyDescent="0.35">
      <c r="B57" s="264" t="s">
        <v>105</v>
      </c>
      <c r="C57" s="255" t="s">
        <v>104</v>
      </c>
      <c r="D57" s="255"/>
      <c r="E57" s="268">
        <v>0.3</v>
      </c>
      <c r="F57" s="216" t="s">
        <v>103</v>
      </c>
      <c r="G57" s="265"/>
      <c r="H57" s="256"/>
      <c r="I57" s="218">
        <f>E57*K46</f>
        <v>600000</v>
      </c>
      <c r="J57" s="219"/>
      <c r="K57" s="220"/>
    </row>
    <row r="58" spans="2:11" ht="15.5" x14ac:dyDescent="0.35">
      <c r="B58" s="246" t="s">
        <v>9</v>
      </c>
      <c r="C58" s="269"/>
      <c r="D58" s="269"/>
      <c r="E58" s="270"/>
      <c r="F58" s="270"/>
      <c r="G58" s="270"/>
      <c r="H58" s="271"/>
      <c r="I58" s="271"/>
      <c r="J58" s="252" t="s">
        <v>101</v>
      </c>
      <c r="K58" s="272">
        <f>SUM(I56:I57)</f>
        <v>600000</v>
      </c>
    </row>
    <row r="59" spans="2:11" ht="15.5" x14ac:dyDescent="0.35">
      <c r="B59" s="201"/>
      <c r="C59" s="255"/>
      <c r="D59" s="255"/>
      <c r="E59" s="189"/>
      <c r="F59" s="189"/>
      <c r="G59" s="189"/>
      <c r="H59" s="256"/>
      <c r="I59" s="256"/>
      <c r="J59" s="266"/>
      <c r="K59" s="220"/>
    </row>
    <row r="60" spans="2:11" ht="15.5" x14ac:dyDescent="0.35">
      <c r="B60" s="254"/>
      <c r="C60" s="255"/>
      <c r="D60" s="255"/>
      <c r="E60" s="189"/>
      <c r="F60" s="189"/>
      <c r="G60" s="189"/>
      <c r="H60" s="256"/>
      <c r="I60" s="256"/>
      <c r="J60" s="256"/>
      <c r="K60" s="220"/>
    </row>
    <row r="61" spans="2:11" ht="34.5" customHeight="1" thickBot="1" x14ac:dyDescent="0.5">
      <c r="B61" s="273" t="s">
        <v>10</v>
      </c>
      <c r="C61" s="274"/>
      <c r="D61" s="274"/>
      <c r="E61" s="274"/>
      <c r="F61" s="274"/>
      <c r="G61" s="275"/>
      <c r="H61" s="276"/>
      <c r="I61" s="277"/>
      <c r="J61" s="278" t="s">
        <v>100</v>
      </c>
      <c r="K61" s="279">
        <f>K46+K52+K58</f>
        <v>2960000</v>
      </c>
    </row>
    <row r="62" spans="2:11" ht="15" thickTop="1" x14ac:dyDescent="0.35"/>
  </sheetData>
  <mergeCells count="4">
    <mergeCell ref="J3:K3"/>
    <mergeCell ref="B8:K8"/>
    <mergeCell ref="B1:K1"/>
    <mergeCell ref="B2:K2"/>
  </mergeCells>
  <printOptions horizontalCentered="1"/>
  <pageMargins left="0.33" right="0.41" top="0.56000000000000005" bottom="0.52" header="0.3" footer="0.3"/>
  <pageSetup scale="51" fitToHeight="0" orientation="portrait" r:id="rId1"/>
  <headerFooter>
    <oddFooter>&amp;LUAF
PM&amp;Y2.5&amp;Y Serious NAA BACT Analysis&amp;CPage 54&amp;RJanuary 2017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B1:L40"/>
  <sheetViews>
    <sheetView view="pageLayout" zoomScaleNormal="70" workbookViewId="0">
      <selection activeCell="H37" sqref="H37"/>
    </sheetView>
  </sheetViews>
  <sheetFormatPr defaultColWidth="8.81640625" defaultRowHeight="14.5" x14ac:dyDescent="0.35"/>
  <cols>
    <col min="1" max="1" width="3" style="182" customWidth="1"/>
    <col min="2" max="3" width="6" style="182" customWidth="1"/>
    <col min="4" max="4" width="51.453125" style="182" customWidth="1"/>
    <col min="5" max="5" width="11.54296875" style="182" bestFit="1" customWidth="1"/>
    <col min="6" max="6" width="13.1796875" style="182" customWidth="1"/>
    <col min="7" max="7" width="15.453125" style="182" customWidth="1"/>
    <col min="8" max="8" width="24" style="182" customWidth="1"/>
    <col min="9" max="9" width="18.7265625" style="182" customWidth="1"/>
    <col min="10" max="10" width="8.81640625" style="182"/>
    <col min="11" max="11" width="13.26953125" style="182" customWidth="1"/>
    <col min="12" max="16384" width="8.81640625" style="182"/>
  </cols>
  <sheetData>
    <row r="1" spans="2:11" x14ac:dyDescent="0.35">
      <c r="B1" s="1351" t="s">
        <v>268</v>
      </c>
      <c r="C1" s="1351"/>
      <c r="D1" s="1351"/>
      <c r="E1" s="1351"/>
      <c r="F1" s="1351"/>
      <c r="G1" s="1351"/>
      <c r="H1" s="1351"/>
      <c r="I1" s="1351"/>
      <c r="J1" s="1351"/>
      <c r="K1" s="1351"/>
    </row>
    <row r="2" spans="2:11" x14ac:dyDescent="0.35">
      <c r="B2" s="1351" t="s">
        <v>279</v>
      </c>
      <c r="C2" s="1351"/>
      <c r="D2" s="1351"/>
      <c r="E2" s="1351"/>
      <c r="F2" s="1351"/>
      <c r="G2" s="1351"/>
      <c r="H2" s="1351"/>
      <c r="I2" s="1351"/>
      <c r="J2" s="1351"/>
      <c r="K2" s="1351"/>
    </row>
    <row r="3" spans="2:11" ht="15" thickBot="1" x14ac:dyDescent="0.4">
      <c r="I3" s="1365" t="s">
        <v>230</v>
      </c>
      <c r="J3" s="1366"/>
      <c r="K3" s="1367"/>
    </row>
    <row r="4" spans="2:11" ht="19" thickTop="1" x14ac:dyDescent="0.45">
      <c r="B4" s="183" t="s">
        <v>255</v>
      </c>
      <c r="C4" s="280"/>
      <c r="D4" s="185"/>
      <c r="E4" s="185"/>
      <c r="F4" s="185"/>
      <c r="G4" s="185"/>
      <c r="H4" s="185"/>
      <c r="I4" s="185"/>
      <c r="J4" s="281" t="s">
        <v>181</v>
      </c>
      <c r="K4" s="282">
        <v>42403</v>
      </c>
    </row>
    <row r="5" spans="2:11" ht="16.5" x14ac:dyDescent="0.45">
      <c r="B5" s="188" t="s">
        <v>228</v>
      </c>
      <c r="C5" s="189"/>
      <c r="D5" s="819" t="s">
        <v>306</v>
      </c>
      <c r="E5" s="189"/>
      <c r="F5" s="189"/>
      <c r="G5" s="189"/>
      <c r="H5" s="189"/>
      <c r="I5" s="189"/>
      <c r="J5" s="186" t="s">
        <v>179</v>
      </c>
      <c r="K5" s="190" t="s">
        <v>178</v>
      </c>
    </row>
    <row r="6" spans="2:11" x14ac:dyDescent="0.35">
      <c r="B6" s="188"/>
      <c r="C6" s="189"/>
      <c r="D6" s="189"/>
      <c r="E6" s="189"/>
      <c r="F6" s="189"/>
      <c r="G6" s="189"/>
      <c r="H6" s="189"/>
      <c r="I6" s="189"/>
      <c r="J6" s="186" t="s">
        <v>177</v>
      </c>
      <c r="K6" s="190" t="s">
        <v>231</v>
      </c>
    </row>
    <row r="7" spans="2:11" ht="15" thickBot="1" x14ac:dyDescent="0.4">
      <c r="B7" s="191"/>
      <c r="C7" s="192"/>
      <c r="D7" s="192"/>
      <c r="E7" s="192"/>
      <c r="F7" s="192"/>
      <c r="G7" s="192"/>
      <c r="H7" s="192"/>
      <c r="I7" s="192"/>
      <c r="J7" s="193" t="s">
        <v>175</v>
      </c>
      <c r="K7" s="194" t="s">
        <v>256</v>
      </c>
    </row>
    <row r="8" spans="2:11" ht="16" thickBot="1" x14ac:dyDescent="0.4">
      <c r="B8" s="1368" t="s">
        <v>11</v>
      </c>
      <c r="C8" s="1369"/>
      <c r="D8" s="1369"/>
      <c r="E8" s="1369"/>
      <c r="F8" s="1369"/>
      <c r="G8" s="1369"/>
      <c r="H8" s="1369"/>
      <c r="I8" s="1369"/>
      <c r="J8" s="1369"/>
      <c r="K8" s="1370"/>
    </row>
    <row r="9" spans="2:11" ht="15.5" x14ac:dyDescent="0.35">
      <c r="B9" s="283" t="s">
        <v>12</v>
      </c>
      <c r="C9" s="284"/>
      <c r="D9" s="285"/>
      <c r="E9" s="286" t="s">
        <v>173</v>
      </c>
      <c r="F9" s="286" t="s">
        <v>172</v>
      </c>
      <c r="G9" s="287" t="s">
        <v>171</v>
      </c>
      <c r="H9" s="288" t="s">
        <v>170</v>
      </c>
      <c r="I9" s="288" t="s">
        <v>169</v>
      </c>
      <c r="J9" s="285"/>
      <c r="K9" s="289" t="s">
        <v>226</v>
      </c>
    </row>
    <row r="10" spans="2:11" x14ac:dyDescent="0.35">
      <c r="B10" s="290" t="s">
        <v>168</v>
      </c>
      <c r="C10" s="189" t="s">
        <v>225</v>
      </c>
      <c r="D10" s="189"/>
      <c r="E10" s="215"/>
      <c r="F10" s="216" t="s">
        <v>155</v>
      </c>
      <c r="G10" s="215"/>
      <c r="H10" s="291" t="s">
        <v>6</v>
      </c>
      <c r="I10" s="218" t="s">
        <v>262</v>
      </c>
      <c r="J10" s="292"/>
      <c r="K10" s="229" t="str">
        <f>I10</f>
        <v>Excluded</v>
      </c>
    </row>
    <row r="11" spans="2:11" x14ac:dyDescent="0.35">
      <c r="B11" s="290" t="s">
        <v>144</v>
      </c>
      <c r="C11" s="189" t="s">
        <v>224</v>
      </c>
      <c r="D11" s="189"/>
      <c r="E11" s="215"/>
      <c r="F11" s="216" t="s">
        <v>155</v>
      </c>
      <c r="G11" s="215"/>
      <c r="H11" s="218" t="s">
        <v>6</v>
      </c>
      <c r="I11" s="218" t="s">
        <v>262</v>
      </c>
      <c r="J11" s="292"/>
      <c r="K11" s="229" t="str">
        <f t="shared" ref="K11:K12" si="0">I11</f>
        <v>Excluded</v>
      </c>
    </row>
    <row r="12" spans="2:11" x14ac:dyDescent="0.35">
      <c r="B12" s="290" t="s">
        <v>113</v>
      </c>
      <c r="C12" s="189" t="s">
        <v>223</v>
      </c>
      <c r="D12" s="189"/>
      <c r="E12" s="215"/>
      <c r="F12" s="224" t="s">
        <v>155</v>
      </c>
      <c r="G12" s="215"/>
      <c r="H12" s="218" t="s">
        <v>6</v>
      </c>
      <c r="I12" s="218" t="s">
        <v>262</v>
      </c>
      <c r="J12" s="292"/>
      <c r="K12" s="229" t="str">
        <f t="shared" si="0"/>
        <v>Excluded</v>
      </c>
    </row>
    <row r="13" spans="2:11" x14ac:dyDescent="0.35">
      <c r="B13" s="290" t="s">
        <v>111</v>
      </c>
      <c r="C13" s="189" t="s">
        <v>222</v>
      </c>
      <c r="D13" s="189"/>
      <c r="E13" s="215"/>
      <c r="F13" s="224" t="s">
        <v>127</v>
      </c>
      <c r="G13" s="215"/>
      <c r="H13" s="218" t="s">
        <v>262</v>
      </c>
      <c r="I13" s="218" t="s">
        <v>6</v>
      </c>
      <c r="J13" s="292"/>
      <c r="K13" s="229" t="str">
        <f>H13</f>
        <v>Excluded</v>
      </c>
    </row>
    <row r="14" spans="2:11" x14ac:dyDescent="0.35">
      <c r="B14" s="290" t="s">
        <v>107</v>
      </c>
      <c r="C14" s="189" t="s">
        <v>221</v>
      </c>
      <c r="D14" s="189"/>
      <c r="E14" s="216"/>
      <c r="F14" s="216"/>
      <c r="G14" s="218"/>
      <c r="H14" s="218"/>
      <c r="I14" s="218"/>
      <c r="J14" s="292"/>
      <c r="K14" s="229"/>
    </row>
    <row r="15" spans="2:11" x14ac:dyDescent="0.35">
      <c r="B15" s="188"/>
      <c r="C15" s="293" t="s">
        <v>142</v>
      </c>
      <c r="D15" s="189" t="s">
        <v>263</v>
      </c>
      <c r="E15" s="294">
        <f>20*8760/2000</f>
        <v>87.6</v>
      </c>
      <c r="F15" s="216" t="s">
        <v>135</v>
      </c>
      <c r="G15" s="294">
        <f>0.75/(8.33*0.9)*2000</f>
        <v>200.08003201280513</v>
      </c>
      <c r="H15" s="218">
        <f>E15*G15</f>
        <v>17527.01080432173</v>
      </c>
      <c r="I15" s="218"/>
      <c r="J15" s="292"/>
      <c r="K15" s="229">
        <f>H15</f>
        <v>17527.01080432173</v>
      </c>
    </row>
    <row r="16" spans="2:11" x14ac:dyDescent="0.35">
      <c r="B16" s="188"/>
      <c r="C16" s="293" t="s">
        <v>139</v>
      </c>
      <c r="D16" s="189" t="s">
        <v>264</v>
      </c>
      <c r="E16" s="215"/>
      <c r="F16" s="216" t="s">
        <v>265</v>
      </c>
      <c r="G16" s="215">
        <v>0.18</v>
      </c>
      <c r="H16" s="218">
        <f>E16*G16</f>
        <v>0</v>
      </c>
      <c r="I16" s="218"/>
      <c r="J16" s="292"/>
      <c r="K16" s="229">
        <f>H16</f>
        <v>0</v>
      </c>
    </row>
    <row r="17" spans="2:12" x14ac:dyDescent="0.35">
      <c r="B17" s="295"/>
      <c r="C17" s="293"/>
      <c r="D17" s="293" t="s">
        <v>269</v>
      </c>
      <c r="E17" s="224"/>
      <c r="F17" s="224"/>
      <c r="G17" s="226"/>
      <c r="H17" s="226"/>
      <c r="I17" s="226"/>
      <c r="J17" s="296"/>
      <c r="K17" s="297"/>
    </row>
    <row r="18" spans="2:12" x14ac:dyDescent="0.35">
      <c r="B18" s="298"/>
      <c r="C18" s="299"/>
      <c r="D18" s="189"/>
      <c r="E18" s="300"/>
      <c r="F18" s="186"/>
      <c r="G18" s="292"/>
      <c r="H18" s="218"/>
      <c r="I18" s="301"/>
      <c r="J18" s="218"/>
      <c r="K18" s="229"/>
    </row>
    <row r="19" spans="2:12" x14ac:dyDescent="0.35">
      <c r="B19" s="302" t="s">
        <v>13</v>
      </c>
      <c r="C19" s="303"/>
      <c r="D19" s="304"/>
      <c r="E19" s="305"/>
      <c r="F19" s="306"/>
      <c r="G19" s="307"/>
      <c r="H19" s="251"/>
      <c r="I19" s="308"/>
      <c r="J19" s="309" t="s">
        <v>209</v>
      </c>
      <c r="K19" s="310">
        <f>SUM(K10:K17)</f>
        <v>17527.01080432173</v>
      </c>
    </row>
    <row r="20" spans="2:12" x14ac:dyDescent="0.35">
      <c r="B20" s="188"/>
      <c r="C20" s="299"/>
      <c r="D20" s="189"/>
      <c r="E20" s="216"/>
      <c r="F20" s="189"/>
      <c r="G20" s="218"/>
      <c r="H20" s="218"/>
      <c r="I20" s="301"/>
      <c r="J20" s="311"/>
      <c r="K20" s="229"/>
    </row>
    <row r="21" spans="2:12" ht="15.5" x14ac:dyDescent="0.35">
      <c r="B21" s="201" t="s">
        <v>14</v>
      </c>
      <c r="C21" s="207"/>
      <c r="D21" s="189"/>
      <c r="E21" s="216"/>
      <c r="F21" s="216"/>
      <c r="G21" s="218"/>
      <c r="H21" s="218"/>
      <c r="I21" s="218"/>
      <c r="J21" s="218"/>
      <c r="K21" s="229"/>
    </row>
    <row r="22" spans="2:12" x14ac:dyDescent="0.35">
      <c r="B22" s="290" t="s">
        <v>105</v>
      </c>
      <c r="C22" s="189" t="s">
        <v>207</v>
      </c>
      <c r="D22" s="189"/>
      <c r="E22" s="215"/>
      <c r="F22" s="224" t="s">
        <v>152</v>
      </c>
      <c r="G22" s="224"/>
      <c r="H22" s="218" t="s">
        <v>262</v>
      </c>
      <c r="I22" s="218">
        <f>E22*G22</f>
        <v>0</v>
      </c>
      <c r="J22" s="292"/>
      <c r="K22" s="229">
        <f>I22</f>
        <v>0</v>
      </c>
    </row>
    <row r="23" spans="2:12" x14ac:dyDescent="0.35">
      <c r="B23" s="1137" t="s">
        <v>208</v>
      </c>
      <c r="C23" s="1136" t="s">
        <v>334</v>
      </c>
      <c r="D23" s="513"/>
      <c r="E23" s="559">
        <v>0.03</v>
      </c>
      <c r="F23" s="216" t="s">
        <v>249</v>
      </c>
      <c r="G23" s="224"/>
      <c r="H23" s="218"/>
      <c r="I23" s="218">
        <f>E23*'3-6 - EU 113 - SNCR TCI'!K61</f>
        <v>88800</v>
      </c>
      <c r="J23" s="292"/>
      <c r="K23" s="229">
        <f>I23</f>
        <v>88800</v>
      </c>
    </row>
    <row r="24" spans="2:12" x14ac:dyDescent="0.35">
      <c r="B24" s="290"/>
      <c r="C24" s="293" t="s">
        <v>199</v>
      </c>
      <c r="D24" s="189"/>
      <c r="E24" s="300">
        <f>($E$39/100*POWER((1+($E$39/100)),$E$40))/((POWER(((1+$E$39/100)),$E$40))-1)</f>
        <v>0.14237750272736471</v>
      </c>
      <c r="F24" s="224"/>
      <c r="G24" s="218"/>
      <c r="H24" s="218"/>
      <c r="I24" s="218"/>
      <c r="J24" s="292"/>
      <c r="K24" s="312"/>
      <c r="L24" s="313"/>
    </row>
    <row r="25" spans="2:12" x14ac:dyDescent="0.35">
      <c r="B25" s="290" t="s">
        <v>206</v>
      </c>
      <c r="C25" s="189" t="s">
        <v>197</v>
      </c>
      <c r="D25" s="189"/>
      <c r="E25" s="189"/>
      <c r="F25" s="189"/>
      <c r="G25" s="218"/>
      <c r="H25" s="314"/>
      <c r="I25" s="218"/>
      <c r="J25" s="315" t="s">
        <v>196</v>
      </c>
      <c r="K25" s="229">
        <f>E24*'3-6 - EU 113 - SNCR TCI'!K61</f>
        <v>421437.40807299956</v>
      </c>
      <c r="L25" s="313"/>
    </row>
    <row r="26" spans="2:12" x14ac:dyDescent="0.35">
      <c r="B26" s="188"/>
      <c r="C26" s="189"/>
      <c r="D26" s="189"/>
      <c r="E26" s="216"/>
      <c r="F26" s="189"/>
      <c r="G26" s="218"/>
      <c r="H26" s="218"/>
      <c r="I26" s="218"/>
      <c r="J26" s="218"/>
      <c r="K26" s="229"/>
    </row>
    <row r="27" spans="2:12" x14ac:dyDescent="0.35">
      <c r="B27" s="302" t="s">
        <v>15</v>
      </c>
      <c r="C27" s="303"/>
      <c r="D27" s="316"/>
      <c r="E27" s="317"/>
      <c r="F27" s="316"/>
      <c r="G27" s="308"/>
      <c r="H27" s="318"/>
      <c r="I27" s="308"/>
      <c r="J27" s="309" t="s">
        <v>195</v>
      </c>
      <c r="K27" s="310">
        <f>SUM(K22:K25)</f>
        <v>510237.40807299956</v>
      </c>
    </row>
    <row r="28" spans="2:12" x14ac:dyDescent="0.35">
      <c r="B28" s="319"/>
      <c r="C28" s="320"/>
      <c r="D28" s="189"/>
      <c r="E28" s="216"/>
      <c r="F28" s="189"/>
      <c r="G28" s="218"/>
      <c r="H28" s="218"/>
      <c r="I28" s="218"/>
      <c r="J28" s="218"/>
      <c r="K28" s="229"/>
    </row>
    <row r="29" spans="2:12" ht="15.5" x14ac:dyDescent="0.35">
      <c r="B29" s="321" t="s">
        <v>194</v>
      </c>
      <c r="C29" s="322"/>
      <c r="D29" s="250"/>
      <c r="E29" s="249"/>
      <c r="F29" s="250"/>
      <c r="G29" s="251"/>
      <c r="H29" s="323"/>
      <c r="I29" s="251"/>
      <c r="J29" s="309" t="s">
        <v>193</v>
      </c>
      <c r="K29" s="310">
        <f>K19+K27</f>
        <v>527764.4188773213</v>
      </c>
    </row>
    <row r="30" spans="2:12" ht="15" thickBot="1" x14ac:dyDescent="0.4">
      <c r="B30" s="188"/>
      <c r="C30" s="189"/>
      <c r="D30" s="189"/>
      <c r="E30" s="216"/>
      <c r="F30" s="189"/>
      <c r="G30" s="189"/>
      <c r="H30" s="189"/>
      <c r="I30" s="189"/>
      <c r="J30" s="189"/>
      <c r="K30" s="209"/>
    </row>
    <row r="31" spans="2:12" ht="16" thickBot="1" x14ac:dyDescent="0.4">
      <c r="B31" s="1371" t="s">
        <v>16</v>
      </c>
      <c r="C31" s="1372"/>
      <c r="D31" s="1372"/>
      <c r="E31" s="1372"/>
      <c r="F31" s="1372"/>
      <c r="G31" s="1372"/>
      <c r="H31" s="1372"/>
      <c r="I31" s="1372"/>
      <c r="J31" s="1372"/>
      <c r="K31" s="1373"/>
    </row>
    <row r="32" spans="2:12" x14ac:dyDescent="0.35">
      <c r="B32" s="188"/>
      <c r="C32" s="189"/>
      <c r="D32" s="189"/>
      <c r="E32" s="189"/>
      <c r="F32" s="189"/>
      <c r="G32" s="189"/>
      <c r="H32" s="189"/>
      <c r="I32" s="189"/>
      <c r="J32" s="189"/>
      <c r="K32" s="209"/>
    </row>
    <row r="33" spans="2:11" ht="15.5" x14ac:dyDescent="0.35">
      <c r="B33" s="201" t="s">
        <v>192</v>
      </c>
      <c r="C33" s="207"/>
      <c r="D33" s="189"/>
      <c r="E33" s="189"/>
      <c r="F33" s="189"/>
      <c r="G33" s="189"/>
      <c r="H33" s="189"/>
      <c r="I33" s="189"/>
      <c r="J33" s="324" t="s">
        <v>3</v>
      </c>
      <c r="K33" s="325">
        <f>258.9*0.2</f>
        <v>51.78</v>
      </c>
    </row>
    <row r="34" spans="2:11" x14ac:dyDescent="0.35">
      <c r="B34" s="188"/>
      <c r="C34" s="189"/>
      <c r="D34" s="189"/>
      <c r="E34" s="189"/>
      <c r="F34" s="189"/>
      <c r="G34" s="189"/>
      <c r="H34" s="189"/>
      <c r="I34" s="189"/>
      <c r="J34" s="189"/>
      <c r="K34" s="209"/>
    </row>
    <row r="35" spans="2:11" ht="16" thickBot="1" x14ac:dyDescent="0.4">
      <c r="B35" s="326" t="s">
        <v>191</v>
      </c>
      <c r="C35" s="327"/>
      <c r="D35" s="328"/>
      <c r="E35" s="328"/>
      <c r="F35" s="328"/>
      <c r="G35" s="328"/>
      <c r="H35" s="329"/>
      <c r="I35" s="328"/>
      <c r="J35" s="330" t="s">
        <v>190</v>
      </c>
      <c r="K35" s="331">
        <f>K29/K33</f>
        <v>10192.437599021268</v>
      </c>
    </row>
    <row r="36" spans="2:11" ht="15" thickTop="1" x14ac:dyDescent="0.35"/>
    <row r="37" spans="2:11" ht="15" thickBot="1" x14ac:dyDescent="0.4"/>
    <row r="38" spans="2:11" x14ac:dyDescent="0.35">
      <c r="D38" s="332" t="s">
        <v>266</v>
      </c>
      <c r="E38" s="285"/>
      <c r="F38" s="333"/>
      <c r="G38" s="334"/>
    </row>
    <row r="39" spans="2:11" x14ac:dyDescent="0.35">
      <c r="D39" s="335" t="s">
        <v>188</v>
      </c>
      <c r="E39" s="294">
        <v>7</v>
      </c>
      <c r="F39" s="336" t="s">
        <v>152</v>
      </c>
    </row>
    <row r="40" spans="2:11" ht="15" thickBot="1" x14ac:dyDescent="0.4">
      <c r="D40" s="337" t="s">
        <v>187</v>
      </c>
      <c r="E40" s="338">
        <v>10</v>
      </c>
      <c r="F40" s="339" t="s">
        <v>185</v>
      </c>
    </row>
  </sheetData>
  <mergeCells count="5">
    <mergeCell ref="I3:K3"/>
    <mergeCell ref="B8:K8"/>
    <mergeCell ref="B31:K31"/>
    <mergeCell ref="B2:K2"/>
    <mergeCell ref="B1:K1"/>
  </mergeCells>
  <printOptions horizontalCentered="1"/>
  <pageMargins left="0.33" right="0.41" top="0.56000000000000005" bottom="0.52" header="0.3" footer="0.3"/>
  <pageSetup scale="59" fitToHeight="0" orientation="portrait" r:id="rId1"/>
  <headerFooter>
    <oddFooter>&amp;LUAF
PM&amp;Y2.5&amp;Y Serious NAA BACT Analysis&amp;CPage 55&amp;RJanuary 2017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B1:K66"/>
  <sheetViews>
    <sheetView view="pageLayout" topLeftCell="B1" zoomScale="80" zoomScaleNormal="100" zoomScalePageLayoutView="80" workbookViewId="0">
      <selection activeCell="D18" sqref="D18"/>
    </sheetView>
  </sheetViews>
  <sheetFormatPr defaultColWidth="8.81640625" defaultRowHeight="14.5" x14ac:dyDescent="0.35"/>
  <cols>
    <col min="1" max="1" width="2.26953125" style="340" customWidth="1"/>
    <col min="2" max="2" width="5.26953125" style="340" customWidth="1"/>
    <col min="3" max="3" width="6" style="340" customWidth="1"/>
    <col min="4" max="4" width="63.7265625" style="340" customWidth="1"/>
    <col min="5" max="5" width="8.81640625" style="340"/>
    <col min="6" max="6" width="19.26953125" style="340" customWidth="1"/>
    <col min="7" max="7" width="13" style="340" customWidth="1"/>
    <col min="8" max="8" width="24.1796875" style="340" customWidth="1"/>
    <col min="9" max="9" width="20.453125" style="340" customWidth="1"/>
    <col min="10" max="10" width="14.7265625" style="340" customWidth="1"/>
    <col min="11" max="11" width="17.26953125" style="340" customWidth="1"/>
    <col min="12" max="12" width="8.81640625" style="340"/>
    <col min="13" max="13" width="29.81640625" style="340" customWidth="1"/>
    <col min="14" max="16384" width="8.81640625" style="340"/>
  </cols>
  <sheetData>
    <row r="1" spans="2:11" x14ac:dyDescent="0.35">
      <c r="B1" s="1351" t="s">
        <v>254</v>
      </c>
      <c r="C1" s="1351"/>
      <c r="D1" s="1351"/>
      <c r="E1" s="1351"/>
      <c r="F1" s="1351"/>
      <c r="G1" s="1351"/>
      <c r="H1" s="1351"/>
      <c r="I1" s="1351"/>
      <c r="J1" s="1351"/>
      <c r="K1" s="1351"/>
    </row>
    <row r="2" spans="2:11" x14ac:dyDescent="0.35">
      <c r="B2" s="1351" t="s">
        <v>281</v>
      </c>
      <c r="C2" s="1351"/>
      <c r="D2" s="1351"/>
      <c r="E2" s="1351"/>
      <c r="F2" s="1351"/>
      <c r="G2" s="1351"/>
      <c r="H2" s="1351"/>
      <c r="I2" s="1351"/>
      <c r="J2" s="1351"/>
      <c r="K2" s="1351"/>
    </row>
    <row r="3" spans="2:11" ht="15" thickBot="1" x14ac:dyDescent="0.4">
      <c r="J3" s="1374" t="s">
        <v>183</v>
      </c>
      <c r="K3" s="1374"/>
    </row>
    <row r="4" spans="2:11" ht="19" thickTop="1" x14ac:dyDescent="0.45">
      <c r="B4" s="341" t="s">
        <v>182</v>
      </c>
      <c r="C4" s="342"/>
      <c r="D4" s="342"/>
      <c r="E4" s="343"/>
      <c r="F4" s="343"/>
      <c r="G4" s="343"/>
      <c r="H4" s="343"/>
      <c r="I4" s="343"/>
      <c r="J4" s="344" t="s">
        <v>181</v>
      </c>
      <c r="K4" s="345">
        <v>42417</v>
      </c>
    </row>
    <row r="5" spans="2:11" ht="16.5" x14ac:dyDescent="0.45">
      <c r="B5" s="346" t="s">
        <v>180</v>
      </c>
      <c r="C5" s="347"/>
      <c r="D5" s="820" t="s">
        <v>307</v>
      </c>
      <c r="E5" s="347"/>
      <c r="F5" s="347"/>
      <c r="G5" s="347"/>
      <c r="H5" s="347"/>
      <c r="I5" s="347"/>
      <c r="J5" s="348" t="s">
        <v>179</v>
      </c>
      <c r="K5" s="349" t="s">
        <v>178</v>
      </c>
    </row>
    <row r="6" spans="2:11" x14ac:dyDescent="0.35">
      <c r="B6" s="346"/>
      <c r="C6" s="347"/>
      <c r="D6" s="347"/>
      <c r="E6" s="347"/>
      <c r="F6" s="347"/>
      <c r="G6" s="347"/>
      <c r="H6" s="347"/>
      <c r="I6" s="347"/>
      <c r="J6" s="348" t="s">
        <v>177</v>
      </c>
      <c r="K6" s="349" t="s">
        <v>176</v>
      </c>
    </row>
    <row r="7" spans="2:11" ht="15" thickBot="1" x14ac:dyDescent="0.4">
      <c r="B7" s="350"/>
      <c r="C7" s="351"/>
      <c r="D7" s="351"/>
      <c r="E7" s="351"/>
      <c r="F7" s="351"/>
      <c r="G7" s="351"/>
      <c r="H7" s="351"/>
      <c r="I7" s="351"/>
      <c r="J7" s="352" t="s">
        <v>175</v>
      </c>
      <c r="K7" s="353" t="s">
        <v>270</v>
      </c>
    </row>
    <row r="8" spans="2:11" ht="36.75" customHeight="1" thickBot="1" x14ac:dyDescent="0.4">
      <c r="B8" s="1375" t="s">
        <v>1</v>
      </c>
      <c r="C8" s="1376"/>
      <c r="D8" s="1376"/>
      <c r="E8" s="1376"/>
      <c r="F8" s="1376"/>
      <c r="G8" s="1376"/>
      <c r="H8" s="1376"/>
      <c r="I8" s="1376"/>
      <c r="J8" s="1376"/>
      <c r="K8" s="1377"/>
    </row>
    <row r="9" spans="2:11" ht="19" thickTop="1" x14ac:dyDescent="0.45">
      <c r="B9" s="354" t="s">
        <v>2</v>
      </c>
      <c r="C9" s="355"/>
      <c r="D9" s="355"/>
      <c r="E9" s="356" t="s">
        <v>173</v>
      </c>
      <c r="F9" s="356" t="s">
        <v>172</v>
      </c>
      <c r="G9" s="357" t="s">
        <v>171</v>
      </c>
      <c r="H9" s="358" t="s">
        <v>170</v>
      </c>
      <c r="I9" s="358" t="s">
        <v>169</v>
      </c>
      <c r="J9" s="355"/>
      <c r="K9" s="359"/>
    </row>
    <row r="10" spans="2:11" ht="15.5" x14ac:dyDescent="0.35">
      <c r="B10" s="360"/>
      <c r="C10" s="347"/>
      <c r="D10" s="347"/>
      <c r="E10" s="361"/>
      <c r="F10" s="361"/>
      <c r="G10" s="362"/>
      <c r="H10" s="363"/>
      <c r="I10" s="363"/>
      <c r="J10" s="347"/>
      <c r="K10" s="364"/>
    </row>
    <row r="11" spans="2:11" ht="15.5" x14ac:dyDescent="0.35">
      <c r="B11" s="365" t="s">
        <v>168</v>
      </c>
      <c r="C11" s="366" t="s">
        <v>167</v>
      </c>
      <c r="D11" s="366"/>
      <c r="E11" s="347"/>
      <c r="F11" s="347"/>
      <c r="G11" s="347"/>
      <c r="H11" s="347"/>
      <c r="I11" s="347"/>
      <c r="J11" s="367"/>
      <c r="K11" s="368"/>
    </row>
    <row r="12" spans="2:11" ht="15.5" x14ac:dyDescent="0.35">
      <c r="B12" s="360"/>
      <c r="C12" s="366" t="s">
        <v>142</v>
      </c>
      <c r="D12" s="366" t="s">
        <v>166</v>
      </c>
      <c r="E12" s="347"/>
      <c r="F12" s="347"/>
      <c r="G12" s="347"/>
      <c r="H12" s="347"/>
      <c r="I12" s="347"/>
      <c r="J12" s="369"/>
      <c r="K12" s="370"/>
    </row>
    <row r="13" spans="2:11" x14ac:dyDescent="0.35">
      <c r="B13" s="371"/>
      <c r="C13" s="372"/>
      <c r="D13" s="373" t="s">
        <v>165</v>
      </c>
      <c r="E13" s="374">
        <v>1</v>
      </c>
      <c r="F13" s="375" t="s">
        <v>109</v>
      </c>
      <c r="G13" s="374">
        <v>850000</v>
      </c>
      <c r="H13" s="376">
        <f>E13*G13</f>
        <v>850000</v>
      </c>
      <c r="I13" s="376"/>
      <c r="J13" s="377"/>
      <c r="K13" s="378"/>
    </row>
    <row r="14" spans="2:11" x14ac:dyDescent="0.35">
      <c r="B14" s="379"/>
      <c r="C14" s="380"/>
      <c r="D14" s="381" t="s">
        <v>240</v>
      </c>
      <c r="E14" s="382"/>
      <c r="F14" s="382"/>
      <c r="G14" s="383"/>
      <c r="H14" s="384"/>
      <c r="I14" s="384"/>
      <c r="J14" s="385" t="s">
        <v>147</v>
      </c>
      <c r="K14" s="370">
        <f>SUM(H13:H13)</f>
        <v>850000</v>
      </c>
    </row>
    <row r="15" spans="2:11" ht="15.5" x14ac:dyDescent="0.35">
      <c r="B15" s="379"/>
      <c r="C15" s="386" t="s">
        <v>139</v>
      </c>
      <c r="D15" s="386" t="s">
        <v>164</v>
      </c>
      <c r="E15" s="382"/>
      <c r="F15" s="382"/>
      <c r="G15" s="383"/>
      <c r="H15" s="384"/>
      <c r="I15" s="384"/>
      <c r="J15" s="385"/>
      <c r="K15" s="387"/>
    </row>
    <row r="16" spans="2:11" x14ac:dyDescent="0.35">
      <c r="B16" s="379"/>
      <c r="C16" s="380"/>
      <c r="D16" s="381" t="s">
        <v>271</v>
      </c>
      <c r="E16" s="374">
        <v>1</v>
      </c>
      <c r="F16" s="382" t="s">
        <v>109</v>
      </c>
      <c r="G16" s="374">
        <v>50000</v>
      </c>
      <c r="H16" s="376">
        <f>E16*G16</f>
        <v>50000</v>
      </c>
      <c r="I16" s="384"/>
      <c r="J16" s="377"/>
      <c r="K16" s="387"/>
    </row>
    <row r="17" spans="2:11" x14ac:dyDescent="0.35">
      <c r="B17" s="379"/>
      <c r="C17" s="380"/>
      <c r="D17" s="381" t="s">
        <v>272</v>
      </c>
      <c r="E17" s="374">
        <v>1</v>
      </c>
      <c r="F17" s="382" t="s">
        <v>109</v>
      </c>
      <c r="G17" s="374">
        <v>10000</v>
      </c>
      <c r="H17" s="376">
        <f>E17*G17</f>
        <v>10000</v>
      </c>
      <c r="I17" s="384"/>
      <c r="J17" s="377"/>
      <c r="K17" s="387"/>
    </row>
    <row r="18" spans="2:11" x14ac:dyDescent="0.35">
      <c r="B18" s="388"/>
      <c r="C18" s="389"/>
      <c r="D18" s="390"/>
      <c r="E18" s="391"/>
      <c r="F18" s="391"/>
      <c r="G18" s="390"/>
      <c r="H18" s="392"/>
      <c r="I18" s="392"/>
      <c r="J18" s="385" t="s">
        <v>147</v>
      </c>
      <c r="K18" s="370">
        <f>SUM(H16:H17)</f>
        <v>60000</v>
      </c>
    </row>
    <row r="19" spans="2:11" ht="15.5" x14ac:dyDescent="0.35">
      <c r="B19" s="371"/>
      <c r="C19" s="366" t="s">
        <v>137</v>
      </c>
      <c r="D19" s="366" t="s">
        <v>162</v>
      </c>
      <c r="E19" s="375"/>
      <c r="F19" s="375"/>
      <c r="G19" s="347"/>
      <c r="H19" s="376"/>
      <c r="I19" s="376"/>
      <c r="J19" s="377"/>
      <c r="K19" s="387"/>
    </row>
    <row r="20" spans="2:11" x14ac:dyDescent="0.35">
      <c r="B20" s="371"/>
      <c r="C20" s="372"/>
      <c r="D20" s="373" t="s">
        <v>161</v>
      </c>
      <c r="E20" s="393">
        <v>1</v>
      </c>
      <c r="F20" s="375"/>
      <c r="G20" s="394">
        <v>20000</v>
      </c>
      <c r="H20" s="376"/>
      <c r="I20" s="384"/>
      <c r="J20" s="377"/>
      <c r="K20" s="387"/>
    </row>
    <row r="21" spans="2:11" x14ac:dyDescent="0.35">
      <c r="B21" s="395"/>
      <c r="C21" s="381"/>
      <c r="D21" s="381"/>
      <c r="E21" s="396"/>
      <c r="F21" s="396"/>
      <c r="G21" s="381"/>
      <c r="H21" s="397"/>
      <c r="I21" s="397"/>
      <c r="J21" s="385" t="s">
        <v>147</v>
      </c>
      <c r="K21" s="370">
        <f>G20</f>
        <v>20000</v>
      </c>
    </row>
    <row r="22" spans="2:11" ht="15.5" x14ac:dyDescent="0.35">
      <c r="B22" s="371"/>
      <c r="C22" s="366" t="s">
        <v>134</v>
      </c>
      <c r="D22" s="366" t="s">
        <v>159</v>
      </c>
      <c r="E22" s="375"/>
      <c r="F22" s="375"/>
      <c r="G22" s="347"/>
      <c r="H22" s="376"/>
      <c r="I22" s="376"/>
      <c r="J22" s="377"/>
      <c r="K22" s="387"/>
    </row>
    <row r="23" spans="2:11" x14ac:dyDescent="0.35">
      <c r="B23" s="398"/>
      <c r="C23" s="373"/>
      <c r="D23" s="381" t="s">
        <v>233</v>
      </c>
      <c r="E23" s="399"/>
      <c r="F23" s="400" t="s">
        <v>155</v>
      </c>
      <c r="G23" s="401"/>
      <c r="H23" s="402"/>
      <c r="I23" s="384" t="s">
        <v>232</v>
      </c>
      <c r="J23" s="403"/>
      <c r="K23" s="404"/>
    </row>
    <row r="24" spans="2:11" x14ac:dyDescent="0.35">
      <c r="B24" s="398"/>
      <c r="C24" s="373"/>
      <c r="D24" s="381" t="s">
        <v>156</v>
      </c>
      <c r="E24" s="399"/>
      <c r="F24" s="400" t="s">
        <v>155</v>
      </c>
      <c r="G24" s="401"/>
      <c r="H24" s="402"/>
      <c r="I24" s="384" t="s">
        <v>232</v>
      </c>
      <c r="J24" s="403"/>
      <c r="K24" s="404"/>
    </row>
    <row r="25" spans="2:11" x14ac:dyDescent="0.35">
      <c r="B25" s="395"/>
      <c r="C25" s="381"/>
      <c r="D25" s="381"/>
      <c r="E25" s="396"/>
      <c r="F25" s="396"/>
      <c r="G25" s="381"/>
      <c r="H25" s="397"/>
      <c r="I25" s="397"/>
      <c r="J25" s="385" t="s">
        <v>147</v>
      </c>
      <c r="K25" s="370">
        <f>SUM(I23:I24)</f>
        <v>0</v>
      </c>
    </row>
    <row r="26" spans="2:11" ht="15.5" x14ac:dyDescent="0.35">
      <c r="B26" s="371"/>
      <c r="C26" s="366" t="s">
        <v>132</v>
      </c>
      <c r="D26" s="366" t="s">
        <v>154</v>
      </c>
      <c r="E26" s="347"/>
      <c r="F26" s="347"/>
      <c r="G26" s="347"/>
      <c r="H26" s="376"/>
      <c r="I26" s="376"/>
      <c r="J26" s="377"/>
      <c r="K26" s="387"/>
    </row>
    <row r="27" spans="2:11" x14ac:dyDescent="0.35">
      <c r="B27" s="398"/>
      <c r="C27" s="373"/>
      <c r="D27" s="373" t="s">
        <v>153</v>
      </c>
      <c r="E27" s="405">
        <v>5.0000000000000001E-3</v>
      </c>
      <c r="F27" s="375" t="s">
        <v>152</v>
      </c>
      <c r="G27" s="396"/>
      <c r="H27" s="402">
        <f>E27*G13</f>
        <v>4250</v>
      </c>
      <c r="I27" s="402"/>
      <c r="J27" s="403"/>
      <c r="K27" s="404"/>
    </row>
    <row r="28" spans="2:11" x14ac:dyDescent="0.35">
      <c r="B28" s="395"/>
      <c r="C28" s="381"/>
      <c r="D28" s="381"/>
      <c r="E28" s="396"/>
      <c r="F28" s="396"/>
      <c r="G28" s="381"/>
      <c r="H28" s="397"/>
      <c r="I28" s="397"/>
      <c r="J28" s="385" t="s">
        <v>147</v>
      </c>
      <c r="K28" s="370">
        <f>SUM(H27)</f>
        <v>4250</v>
      </c>
    </row>
    <row r="29" spans="2:11" ht="15.5" x14ac:dyDescent="0.35">
      <c r="B29" s="371"/>
      <c r="C29" s="366" t="s">
        <v>129</v>
      </c>
      <c r="D29" s="366" t="s">
        <v>151</v>
      </c>
      <c r="E29" s="375"/>
      <c r="F29" s="375"/>
      <c r="G29" s="347"/>
      <c r="H29" s="376"/>
      <c r="I29" s="376"/>
      <c r="J29" s="377"/>
      <c r="K29" s="387"/>
    </row>
    <row r="30" spans="2:11" x14ac:dyDescent="0.35">
      <c r="B30" s="371"/>
      <c r="C30" s="372"/>
      <c r="D30" s="373" t="s">
        <v>150</v>
      </c>
      <c r="E30" s="399"/>
      <c r="F30" s="400" t="s">
        <v>148</v>
      </c>
      <c r="G30" s="399"/>
      <c r="H30" s="402"/>
      <c r="I30" s="384" t="s">
        <v>232</v>
      </c>
      <c r="J30" s="377"/>
      <c r="K30" s="387"/>
    </row>
    <row r="31" spans="2:11" x14ac:dyDescent="0.35">
      <c r="B31" s="371"/>
      <c r="C31" s="372"/>
      <c r="D31" s="373" t="s">
        <v>149</v>
      </c>
      <c r="E31" s="399"/>
      <c r="F31" s="400" t="s">
        <v>148</v>
      </c>
      <c r="G31" s="399"/>
      <c r="H31" s="402"/>
      <c r="I31" s="384" t="s">
        <v>232</v>
      </c>
      <c r="J31" s="377"/>
      <c r="K31" s="387"/>
    </row>
    <row r="32" spans="2:11" x14ac:dyDescent="0.35">
      <c r="B32" s="371"/>
      <c r="C32" s="372"/>
      <c r="D32" s="372"/>
      <c r="E32" s="400"/>
      <c r="F32" s="400"/>
      <c r="G32" s="373"/>
      <c r="H32" s="402"/>
      <c r="I32" s="402"/>
      <c r="J32" s="385" t="s">
        <v>147</v>
      </c>
      <c r="K32" s="370">
        <f>SUM(I30:I31)</f>
        <v>0</v>
      </c>
    </row>
    <row r="33" spans="2:11" ht="15.5" x14ac:dyDescent="0.35">
      <c r="B33" s="406" t="s">
        <v>146</v>
      </c>
      <c r="C33" s="407"/>
      <c r="D33" s="407"/>
      <c r="E33" s="408" t="s">
        <v>241</v>
      </c>
      <c r="F33" s="408"/>
      <c r="G33" s="408"/>
      <c r="H33" s="408"/>
      <c r="I33" s="409"/>
      <c r="J33" s="410" t="s">
        <v>145</v>
      </c>
      <c r="K33" s="411">
        <f>K14+K18+K21+K25+K28+K32</f>
        <v>934250</v>
      </c>
    </row>
    <row r="34" spans="2:11" ht="15.5" x14ac:dyDescent="0.35">
      <c r="B34" s="412"/>
      <c r="C34" s="413"/>
      <c r="D34" s="413"/>
      <c r="E34" s="375"/>
      <c r="F34" s="375"/>
      <c r="G34" s="347"/>
      <c r="H34" s="376"/>
      <c r="I34" s="376"/>
      <c r="J34" s="414"/>
      <c r="K34" s="387"/>
    </row>
    <row r="35" spans="2:11" ht="15.5" x14ac:dyDescent="0.35">
      <c r="B35" s="365" t="s">
        <v>144</v>
      </c>
      <c r="C35" s="366" t="s">
        <v>143</v>
      </c>
      <c r="D35" s="366"/>
      <c r="E35" s="375"/>
      <c r="F35" s="375"/>
      <c r="G35" s="347"/>
      <c r="H35" s="376"/>
      <c r="I35" s="376"/>
      <c r="J35" s="414"/>
      <c r="K35" s="387"/>
    </row>
    <row r="36" spans="2:11" ht="15.5" x14ac:dyDescent="0.35">
      <c r="B36" s="360"/>
      <c r="C36" s="366" t="s">
        <v>142</v>
      </c>
      <c r="D36" s="366" t="s">
        <v>141</v>
      </c>
      <c r="E36" s="399"/>
      <c r="F36" s="375" t="s">
        <v>140</v>
      </c>
      <c r="G36" s="399"/>
      <c r="H36" s="376">
        <f>E36*G36</f>
        <v>0</v>
      </c>
      <c r="I36" s="376"/>
      <c r="J36" s="377"/>
      <c r="K36" s="387">
        <f>H36+I36</f>
        <v>0</v>
      </c>
    </row>
    <row r="37" spans="2:11" ht="15.5" x14ac:dyDescent="0.35">
      <c r="B37" s="360"/>
      <c r="C37" s="366" t="s">
        <v>139</v>
      </c>
      <c r="D37" s="366" t="s">
        <v>138</v>
      </c>
      <c r="E37" s="399"/>
      <c r="F37" s="375" t="s">
        <v>135</v>
      </c>
      <c r="G37" s="399"/>
      <c r="H37" s="376">
        <f t="shared" ref="H37:H42" si="0">E37*G37</f>
        <v>0</v>
      </c>
      <c r="I37" s="376"/>
      <c r="J37" s="377"/>
      <c r="K37" s="387">
        <f t="shared" ref="K37:K46" si="1">H37+I37</f>
        <v>0</v>
      </c>
    </row>
    <row r="38" spans="2:11" ht="15.5" x14ac:dyDescent="0.35">
      <c r="B38" s="360"/>
      <c r="C38" s="366" t="s">
        <v>137</v>
      </c>
      <c r="D38" s="366" t="s">
        <v>136</v>
      </c>
      <c r="E38" s="399"/>
      <c r="F38" s="375" t="s">
        <v>135</v>
      </c>
      <c r="G38" s="399"/>
      <c r="H38" s="376">
        <f t="shared" si="0"/>
        <v>0</v>
      </c>
      <c r="I38" s="376"/>
      <c r="J38" s="377"/>
      <c r="K38" s="387">
        <f t="shared" si="1"/>
        <v>0</v>
      </c>
    </row>
    <row r="39" spans="2:11" ht="15.5" x14ac:dyDescent="0.35">
      <c r="B39" s="360"/>
      <c r="C39" s="366" t="s">
        <v>134</v>
      </c>
      <c r="D39" s="366" t="s">
        <v>133</v>
      </c>
      <c r="E39" s="399"/>
      <c r="F39" s="375" t="s">
        <v>127</v>
      </c>
      <c r="G39" s="399"/>
      <c r="H39" s="376">
        <f t="shared" si="0"/>
        <v>0</v>
      </c>
      <c r="I39" s="376"/>
      <c r="J39" s="377"/>
      <c r="K39" s="387">
        <f t="shared" si="1"/>
        <v>0</v>
      </c>
    </row>
    <row r="40" spans="2:11" ht="15.5" x14ac:dyDescent="0.35">
      <c r="B40" s="360"/>
      <c r="C40" s="366" t="s">
        <v>132</v>
      </c>
      <c r="D40" s="366" t="s">
        <v>131</v>
      </c>
      <c r="E40" s="399"/>
      <c r="F40" s="375" t="s">
        <v>130</v>
      </c>
      <c r="G40" s="399"/>
      <c r="H40" s="376">
        <f t="shared" si="0"/>
        <v>0</v>
      </c>
      <c r="I40" s="376"/>
      <c r="J40" s="377"/>
      <c r="K40" s="387">
        <f t="shared" si="1"/>
        <v>0</v>
      </c>
    </row>
    <row r="41" spans="2:11" ht="15.5" x14ac:dyDescent="0.35">
      <c r="B41" s="360"/>
      <c r="C41" s="366" t="s">
        <v>129</v>
      </c>
      <c r="D41" s="366" t="s">
        <v>128</v>
      </c>
      <c r="E41" s="399"/>
      <c r="F41" s="375" t="s">
        <v>127</v>
      </c>
      <c r="G41" s="399"/>
      <c r="H41" s="376">
        <f t="shared" si="0"/>
        <v>0</v>
      </c>
      <c r="I41" s="376"/>
      <c r="J41" s="377"/>
      <c r="K41" s="387">
        <f t="shared" si="1"/>
        <v>0</v>
      </c>
    </row>
    <row r="42" spans="2:11" ht="15.5" x14ac:dyDescent="0.35">
      <c r="B42" s="360"/>
      <c r="C42" s="366" t="s">
        <v>126</v>
      </c>
      <c r="D42" s="366" t="s">
        <v>125</v>
      </c>
      <c r="E42" s="399"/>
      <c r="F42" s="375" t="s">
        <v>124</v>
      </c>
      <c r="G42" s="399"/>
      <c r="H42" s="376">
        <f t="shared" si="0"/>
        <v>0</v>
      </c>
      <c r="I42" s="376"/>
      <c r="J42" s="377"/>
      <c r="K42" s="387">
        <f t="shared" si="1"/>
        <v>0</v>
      </c>
    </row>
    <row r="43" spans="2:11" ht="15.5" x14ac:dyDescent="0.35">
      <c r="B43" s="360"/>
      <c r="C43" s="366" t="s">
        <v>123</v>
      </c>
      <c r="D43" s="366" t="s">
        <v>122</v>
      </c>
      <c r="E43" s="375"/>
      <c r="F43" s="375"/>
      <c r="G43" s="414"/>
      <c r="H43" s="376"/>
      <c r="I43" s="376"/>
      <c r="J43" s="377"/>
      <c r="K43" s="387"/>
    </row>
    <row r="44" spans="2:11" ht="15.5" x14ac:dyDescent="0.35">
      <c r="B44" s="360"/>
      <c r="C44" s="366"/>
      <c r="D44" s="413" t="s">
        <v>121</v>
      </c>
      <c r="F44" s="348" t="s">
        <v>120</v>
      </c>
      <c r="G44" s="415"/>
      <c r="H44" s="416"/>
      <c r="I44" s="376"/>
      <c r="J44" s="377"/>
      <c r="K44" s="387">
        <f t="shared" si="1"/>
        <v>0</v>
      </c>
    </row>
    <row r="45" spans="2:11" ht="15.5" x14ac:dyDescent="0.35">
      <c r="B45" s="360"/>
      <c r="C45" s="366"/>
      <c r="D45" s="413" t="s">
        <v>338</v>
      </c>
      <c r="F45" s="348" t="s">
        <v>119</v>
      </c>
      <c r="G45" s="415"/>
      <c r="H45" s="416"/>
      <c r="I45" s="376"/>
      <c r="J45" s="377"/>
      <c r="K45" s="387">
        <f t="shared" si="1"/>
        <v>0</v>
      </c>
    </row>
    <row r="46" spans="2:11" ht="15.5" x14ac:dyDescent="0.35">
      <c r="B46" s="360"/>
      <c r="C46" s="366"/>
      <c r="D46" s="413" t="s">
        <v>118</v>
      </c>
      <c r="F46" s="348" t="s">
        <v>117</v>
      </c>
      <c r="G46" s="417"/>
      <c r="H46" s="376"/>
      <c r="I46" s="376">
        <f>G46*K14</f>
        <v>0</v>
      </c>
      <c r="J46" s="377"/>
      <c r="K46" s="387">
        <f t="shared" si="1"/>
        <v>0</v>
      </c>
    </row>
    <row r="47" spans="2:11" ht="15.5" x14ac:dyDescent="0.35">
      <c r="B47" s="406" t="s">
        <v>234</v>
      </c>
      <c r="C47" s="418"/>
      <c r="D47" s="418"/>
      <c r="E47" s="1378"/>
      <c r="F47" s="1378"/>
      <c r="G47" s="1378"/>
      <c r="H47" s="1378"/>
      <c r="I47" s="419"/>
      <c r="J47" s="410" t="s">
        <v>115</v>
      </c>
      <c r="K47" s="411">
        <f>2*K14</f>
        <v>1700000</v>
      </c>
    </row>
    <row r="48" spans="2:11" ht="15.5" x14ac:dyDescent="0.35">
      <c r="B48" s="412"/>
      <c r="C48" s="413"/>
      <c r="D48" s="413"/>
      <c r="E48" s="347"/>
      <c r="F48" s="347"/>
      <c r="G48" s="347"/>
      <c r="H48" s="414"/>
      <c r="I48" s="414"/>
      <c r="J48" s="414"/>
      <c r="K48" s="387"/>
    </row>
    <row r="49" spans="2:11" ht="15.5" x14ac:dyDescent="0.35">
      <c r="B49" s="412"/>
      <c r="C49" s="413"/>
      <c r="D49" s="413"/>
      <c r="E49" s="347"/>
      <c r="F49" s="347"/>
      <c r="G49" s="347"/>
      <c r="H49" s="414"/>
      <c r="I49" s="414"/>
      <c r="J49" s="414"/>
      <c r="K49" s="387"/>
    </row>
    <row r="50" spans="2:11" ht="15.5" x14ac:dyDescent="0.35">
      <c r="B50" s="406" t="s">
        <v>4</v>
      </c>
      <c r="C50" s="420"/>
      <c r="D50" s="420"/>
      <c r="E50" s="1378"/>
      <c r="F50" s="1378"/>
      <c r="G50" s="1378"/>
      <c r="H50" s="1378"/>
      <c r="I50" s="421"/>
      <c r="J50" s="410" t="s">
        <v>114</v>
      </c>
      <c r="K50" s="411">
        <f>K33+K47</f>
        <v>2634250</v>
      </c>
    </row>
    <row r="51" spans="2:11" ht="15.5" x14ac:dyDescent="0.35">
      <c r="B51" s="360"/>
      <c r="C51" s="413"/>
      <c r="D51" s="413"/>
      <c r="E51" s="347"/>
      <c r="F51" s="347"/>
      <c r="G51" s="372"/>
      <c r="H51" s="414"/>
      <c r="I51" s="414"/>
      <c r="J51" s="414"/>
      <c r="K51" s="378"/>
    </row>
    <row r="52" spans="2:11" ht="15.5" x14ac:dyDescent="0.35">
      <c r="B52" s="412"/>
      <c r="C52" s="413"/>
      <c r="D52" s="413"/>
      <c r="E52" s="347"/>
      <c r="F52" s="347"/>
      <c r="G52" s="347"/>
      <c r="H52" s="414"/>
      <c r="I52" s="414"/>
      <c r="J52" s="414"/>
      <c r="K52" s="378"/>
    </row>
    <row r="53" spans="2:11" ht="15.5" x14ac:dyDescent="0.35">
      <c r="B53" s="360" t="s">
        <v>5</v>
      </c>
      <c r="C53" s="413"/>
      <c r="D53" s="413"/>
      <c r="E53" s="347"/>
      <c r="F53" s="347"/>
      <c r="G53" s="347"/>
      <c r="H53" s="414"/>
      <c r="I53" s="414"/>
      <c r="J53" s="414"/>
      <c r="K53" s="378"/>
    </row>
    <row r="54" spans="2:11" ht="15.5" x14ac:dyDescent="0.35">
      <c r="B54" s="422" t="s">
        <v>113</v>
      </c>
      <c r="C54" s="413" t="s">
        <v>112</v>
      </c>
      <c r="D54" s="413"/>
      <c r="E54" s="415"/>
      <c r="F54" s="375" t="s">
        <v>103</v>
      </c>
      <c r="G54" s="423"/>
      <c r="H54" s="414"/>
      <c r="I54" s="376">
        <f>E54*K50</f>
        <v>0</v>
      </c>
      <c r="K54" s="424" t="s">
        <v>242</v>
      </c>
    </row>
    <row r="55" spans="2:11" ht="15.5" x14ac:dyDescent="0.35">
      <c r="B55" s="422" t="s">
        <v>111</v>
      </c>
      <c r="C55" s="413" t="s">
        <v>110</v>
      </c>
      <c r="D55" s="413"/>
      <c r="E55" s="399">
        <v>1</v>
      </c>
      <c r="F55" s="375" t="s">
        <v>109</v>
      </c>
      <c r="G55" s="425">
        <v>10000</v>
      </c>
      <c r="H55" s="414"/>
      <c r="I55" s="376">
        <f>E55*G55</f>
        <v>10000</v>
      </c>
      <c r="J55" s="377"/>
      <c r="K55" s="424"/>
    </row>
    <row r="56" spans="2:11" ht="15.5" x14ac:dyDescent="0.35">
      <c r="B56" s="406" t="s">
        <v>7</v>
      </c>
      <c r="C56" s="420"/>
      <c r="D56" s="420"/>
      <c r="E56" s="426"/>
      <c r="F56" s="427"/>
      <c r="G56" s="426"/>
      <c r="H56" s="421"/>
      <c r="I56" s="419"/>
      <c r="J56" s="410" t="s">
        <v>108</v>
      </c>
      <c r="K56" s="411">
        <f>SUM(I54:I55)</f>
        <v>10000</v>
      </c>
    </row>
    <row r="57" spans="2:11" ht="15.5" x14ac:dyDescent="0.35">
      <c r="B57" s="360"/>
      <c r="C57" s="413"/>
      <c r="D57" s="413"/>
      <c r="E57" s="347"/>
      <c r="F57" s="375"/>
      <c r="G57" s="347"/>
      <c r="H57" s="414"/>
      <c r="I57" s="376"/>
      <c r="J57" s="428"/>
      <c r="K57" s="378"/>
    </row>
    <row r="58" spans="2:11" ht="15.5" x14ac:dyDescent="0.35">
      <c r="B58" s="412"/>
      <c r="C58" s="413"/>
      <c r="D58" s="413"/>
      <c r="E58" s="347"/>
      <c r="F58" s="375"/>
      <c r="G58" s="347"/>
      <c r="H58" s="414"/>
      <c r="I58" s="376"/>
      <c r="J58" s="414"/>
      <c r="K58" s="378"/>
    </row>
    <row r="59" spans="2:11" ht="15.5" x14ac:dyDescent="0.35">
      <c r="B59" s="360" t="s">
        <v>8</v>
      </c>
      <c r="C59" s="413"/>
      <c r="D59" s="413"/>
      <c r="E59" s="347"/>
      <c r="F59" s="375"/>
      <c r="G59" s="347"/>
      <c r="H59" s="414"/>
      <c r="I59" s="376"/>
      <c r="J59" s="414"/>
      <c r="K59" s="378"/>
    </row>
    <row r="60" spans="2:11" ht="15.5" x14ac:dyDescent="0.35">
      <c r="B60" s="422" t="s">
        <v>107</v>
      </c>
      <c r="C60" s="413" t="s">
        <v>106</v>
      </c>
      <c r="D60" s="413"/>
      <c r="E60" s="347"/>
      <c r="F60" s="375" t="s">
        <v>103</v>
      </c>
      <c r="G60" s="347"/>
      <c r="H60" s="414"/>
      <c r="I60" s="376"/>
      <c r="J60" s="377"/>
      <c r="K60" s="424" t="s">
        <v>102</v>
      </c>
    </row>
    <row r="61" spans="2:11" ht="15.5" x14ac:dyDescent="0.35">
      <c r="B61" s="422" t="s">
        <v>105</v>
      </c>
      <c r="C61" s="413" t="s">
        <v>104</v>
      </c>
      <c r="D61" s="413"/>
      <c r="E61" s="429">
        <v>0.3</v>
      </c>
      <c r="F61" s="375" t="s">
        <v>103</v>
      </c>
      <c r="G61" s="423"/>
      <c r="H61" s="414"/>
      <c r="I61" s="376">
        <f>E61*K50</f>
        <v>790275</v>
      </c>
      <c r="J61" s="377"/>
      <c r="K61" s="424"/>
    </row>
    <row r="62" spans="2:11" ht="15.5" x14ac:dyDescent="0.35">
      <c r="B62" s="406" t="s">
        <v>9</v>
      </c>
      <c r="C62" s="430"/>
      <c r="D62" s="430"/>
      <c r="E62" s="431"/>
      <c r="F62" s="431"/>
      <c r="G62" s="431"/>
      <c r="H62" s="432"/>
      <c r="I62" s="432"/>
      <c r="J62" s="410" t="s">
        <v>101</v>
      </c>
      <c r="K62" s="433">
        <f>SUM(I60:I61)</f>
        <v>790275</v>
      </c>
    </row>
    <row r="63" spans="2:11" ht="15.5" x14ac:dyDescent="0.35">
      <c r="B63" s="360"/>
      <c r="C63" s="413"/>
      <c r="D63" s="413"/>
      <c r="E63" s="347"/>
      <c r="F63" s="347"/>
      <c r="G63" s="347"/>
      <c r="H63" s="414"/>
      <c r="I63" s="414"/>
      <c r="J63" s="428"/>
      <c r="K63" s="378"/>
    </row>
    <row r="64" spans="2:11" ht="15.5" x14ac:dyDescent="0.35">
      <c r="B64" s="412"/>
      <c r="C64" s="413"/>
      <c r="D64" s="413"/>
      <c r="E64" s="347"/>
      <c r="F64" s="347"/>
      <c r="G64" s="347"/>
      <c r="H64" s="414"/>
      <c r="I64" s="414"/>
      <c r="J64" s="414"/>
      <c r="K64" s="378"/>
    </row>
    <row r="65" spans="2:11" ht="34.5" customHeight="1" thickBot="1" x14ac:dyDescent="0.5">
      <c r="B65" s="434" t="s">
        <v>10</v>
      </c>
      <c r="C65" s="435"/>
      <c r="D65" s="435"/>
      <c r="E65" s="435"/>
      <c r="F65" s="435"/>
      <c r="G65" s="436"/>
      <c r="H65" s="437"/>
      <c r="I65" s="438"/>
      <c r="J65" s="439" t="s">
        <v>100</v>
      </c>
      <c r="K65" s="440">
        <f>K50+K56+K62</f>
        <v>3434525</v>
      </c>
    </row>
    <row r="66" spans="2:11" ht="15" thickTop="1" x14ac:dyDescent="0.35"/>
  </sheetData>
  <mergeCells count="6">
    <mergeCell ref="J3:K3"/>
    <mergeCell ref="B8:K8"/>
    <mergeCell ref="E47:H47"/>
    <mergeCell ref="E50:H50"/>
    <mergeCell ref="B1:K1"/>
    <mergeCell ref="B2:K2"/>
  </mergeCells>
  <printOptions horizontalCentered="1"/>
  <pageMargins left="0.33" right="0.41" top="0.56000000000000005" bottom="0.52" header="0.3" footer="0.3"/>
  <pageSetup scale="50" fitToHeight="0" orientation="portrait" r:id="rId1"/>
  <headerFooter>
    <oddFooter>&amp;LUAF
PM&amp;Y2.5&amp;Y Serious NAA BACT Analysis&amp;CPage 56&amp;RJanuary 2017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B1:L54"/>
  <sheetViews>
    <sheetView view="pageLayout" zoomScaleNormal="70" workbookViewId="0">
      <selection activeCell="D17" sqref="D17"/>
    </sheetView>
  </sheetViews>
  <sheetFormatPr defaultColWidth="8.81640625" defaultRowHeight="14.5" x14ac:dyDescent="0.35"/>
  <cols>
    <col min="1" max="1" width="3" style="340" customWidth="1"/>
    <col min="2" max="3" width="6" style="340" customWidth="1"/>
    <col min="4" max="4" width="52.26953125" style="340" customWidth="1"/>
    <col min="5" max="5" width="11.54296875" style="340" bestFit="1" customWidth="1"/>
    <col min="6" max="6" width="14.453125" style="340" customWidth="1"/>
    <col min="7" max="7" width="15.453125" style="340" customWidth="1"/>
    <col min="8" max="8" width="24" style="340" customWidth="1"/>
    <col min="9" max="9" width="18.7265625" style="340" customWidth="1"/>
    <col min="10" max="10" width="8.81640625" style="340"/>
    <col min="11" max="11" width="13.26953125" style="340" customWidth="1"/>
    <col min="12" max="16384" width="8.81640625" style="340"/>
  </cols>
  <sheetData>
    <row r="1" spans="2:11" x14ac:dyDescent="0.35">
      <c r="B1" s="1351" t="s">
        <v>253</v>
      </c>
      <c r="C1" s="1351"/>
      <c r="D1" s="1351"/>
      <c r="E1" s="1351"/>
      <c r="F1" s="1351"/>
      <c r="G1" s="1351"/>
      <c r="H1" s="1351"/>
      <c r="I1" s="1351"/>
      <c r="J1" s="1351"/>
      <c r="K1" s="1351"/>
    </row>
    <row r="2" spans="2:11" x14ac:dyDescent="0.35">
      <c r="B2" s="1351" t="s">
        <v>281</v>
      </c>
      <c r="C2" s="1351"/>
      <c r="D2" s="1351"/>
      <c r="E2" s="1351"/>
      <c r="F2" s="1351"/>
      <c r="G2" s="1351"/>
      <c r="H2" s="1351"/>
      <c r="I2" s="1351"/>
      <c r="J2" s="1351"/>
      <c r="K2" s="1351"/>
    </row>
    <row r="3" spans="2:11" ht="15" thickBot="1" x14ac:dyDescent="0.4">
      <c r="I3" s="1379" t="s">
        <v>230</v>
      </c>
      <c r="J3" s="1380"/>
      <c r="K3" s="1381"/>
    </row>
    <row r="4" spans="2:11" ht="19" thickTop="1" x14ac:dyDescent="0.45">
      <c r="B4" s="341" t="s">
        <v>229</v>
      </c>
      <c r="C4" s="441"/>
      <c r="D4" s="343"/>
      <c r="E4" s="343"/>
      <c r="F4" s="343"/>
      <c r="G4" s="343"/>
      <c r="H4" s="343"/>
      <c r="I4" s="343"/>
      <c r="J4" s="344" t="s">
        <v>181</v>
      </c>
      <c r="K4" s="345">
        <v>42417</v>
      </c>
    </row>
    <row r="5" spans="2:11" ht="16.5" x14ac:dyDescent="0.45">
      <c r="B5" s="346" t="s">
        <v>228</v>
      </c>
      <c r="C5" s="347"/>
      <c r="D5" s="820" t="s">
        <v>307</v>
      </c>
      <c r="E5" s="347"/>
      <c r="F5" s="347"/>
      <c r="G5" s="347"/>
      <c r="H5" s="347"/>
      <c r="I5" s="347"/>
      <c r="J5" s="348" t="s">
        <v>179</v>
      </c>
      <c r="K5" s="349" t="s">
        <v>178</v>
      </c>
    </row>
    <row r="6" spans="2:11" x14ac:dyDescent="0.35">
      <c r="B6" s="346"/>
      <c r="C6" s="347"/>
      <c r="D6" s="347"/>
      <c r="E6" s="347"/>
      <c r="F6" s="347"/>
      <c r="G6" s="347"/>
      <c r="H6" s="347"/>
      <c r="I6" s="347"/>
      <c r="J6" s="348" t="s">
        <v>177</v>
      </c>
      <c r="K6" s="349" t="s">
        <v>176</v>
      </c>
    </row>
    <row r="7" spans="2:11" ht="15" thickBot="1" x14ac:dyDescent="0.4">
      <c r="B7" s="350"/>
      <c r="C7" s="351"/>
      <c r="D7" s="351"/>
      <c r="E7" s="351"/>
      <c r="F7" s="351"/>
      <c r="G7" s="351"/>
      <c r="H7" s="351"/>
      <c r="I7" s="351"/>
      <c r="J7" s="352" t="s">
        <v>175</v>
      </c>
      <c r="K7" s="353" t="s">
        <v>270</v>
      </c>
    </row>
    <row r="8" spans="2:11" ht="16" thickBot="1" x14ac:dyDescent="0.4">
      <c r="B8" s="1382" t="s">
        <v>11</v>
      </c>
      <c r="C8" s="1383"/>
      <c r="D8" s="1383"/>
      <c r="E8" s="1383"/>
      <c r="F8" s="1383"/>
      <c r="G8" s="1383"/>
      <c r="H8" s="1383"/>
      <c r="I8" s="1383"/>
      <c r="J8" s="1383"/>
      <c r="K8" s="1384"/>
    </row>
    <row r="9" spans="2:11" ht="15.5" x14ac:dyDescent="0.35">
      <c r="B9" s="442" t="s">
        <v>12</v>
      </c>
      <c r="C9" s="443"/>
      <c r="D9" s="444"/>
      <c r="E9" s="445" t="s">
        <v>173</v>
      </c>
      <c r="F9" s="445" t="s">
        <v>172</v>
      </c>
      <c r="G9" s="446" t="s">
        <v>171</v>
      </c>
      <c r="H9" s="447" t="s">
        <v>170</v>
      </c>
      <c r="I9" s="447" t="s">
        <v>169</v>
      </c>
      <c r="J9" s="444"/>
      <c r="K9" s="448" t="s">
        <v>226</v>
      </c>
    </row>
    <row r="10" spans="2:11" x14ac:dyDescent="0.35">
      <c r="B10" s="449" t="s">
        <v>168</v>
      </c>
      <c r="C10" s="347" t="s">
        <v>225</v>
      </c>
      <c r="D10" s="347"/>
      <c r="E10" s="393">
        <f>E12*2</f>
        <v>730</v>
      </c>
      <c r="F10" s="375" t="s">
        <v>155</v>
      </c>
      <c r="G10" s="374">
        <v>105</v>
      </c>
      <c r="H10" s="376"/>
      <c r="I10" s="376">
        <f>E10*G10</f>
        <v>76650</v>
      </c>
      <c r="J10" s="450"/>
      <c r="K10" s="387">
        <f>I10</f>
        <v>76650</v>
      </c>
    </row>
    <row r="11" spans="2:11" x14ac:dyDescent="0.35">
      <c r="B11" s="449" t="s">
        <v>144</v>
      </c>
      <c r="C11" s="347" t="s">
        <v>224</v>
      </c>
      <c r="D11" s="347"/>
      <c r="E11" s="393">
        <f>E12/2</f>
        <v>182.5</v>
      </c>
      <c r="F11" s="375" t="s">
        <v>155</v>
      </c>
      <c r="G11" s="374">
        <v>125</v>
      </c>
      <c r="H11" s="376"/>
      <c r="I11" s="376">
        <f>E11*G11</f>
        <v>22812.5</v>
      </c>
      <c r="J11" s="450"/>
      <c r="K11" s="387">
        <f t="shared" ref="K11:K12" si="0">I11</f>
        <v>22812.5</v>
      </c>
    </row>
    <row r="12" spans="2:11" x14ac:dyDescent="0.35">
      <c r="B12" s="449" t="s">
        <v>113</v>
      </c>
      <c r="C12" s="347" t="s">
        <v>223</v>
      </c>
      <c r="D12" s="347"/>
      <c r="E12" s="393">
        <f>365*E54/100</f>
        <v>365</v>
      </c>
      <c r="F12" s="382" t="s">
        <v>155</v>
      </c>
      <c r="G12" s="374">
        <v>105</v>
      </c>
      <c r="H12" s="376"/>
      <c r="I12" s="376">
        <f>E12*G12</f>
        <v>38325</v>
      </c>
      <c r="J12" s="450"/>
      <c r="K12" s="387">
        <f t="shared" si="0"/>
        <v>38325</v>
      </c>
    </row>
    <row r="13" spans="2:11" x14ac:dyDescent="0.35">
      <c r="B13" s="449" t="s">
        <v>111</v>
      </c>
      <c r="C13" s="347" t="s">
        <v>222</v>
      </c>
      <c r="D13" s="347"/>
      <c r="E13" s="374"/>
      <c r="F13" s="382" t="s">
        <v>127</v>
      </c>
      <c r="G13" s="374"/>
      <c r="H13" s="451" t="s">
        <v>200</v>
      </c>
      <c r="I13" s="376"/>
      <c r="J13" s="450"/>
      <c r="K13" s="387"/>
    </row>
    <row r="14" spans="2:11" x14ac:dyDescent="0.35">
      <c r="B14" s="449" t="s">
        <v>107</v>
      </c>
      <c r="C14" s="347" t="s">
        <v>221</v>
      </c>
      <c r="D14" s="347"/>
      <c r="E14" s="375"/>
      <c r="F14" s="375"/>
      <c r="G14" s="376"/>
      <c r="H14" s="376"/>
      <c r="I14" s="376"/>
      <c r="J14" s="450"/>
      <c r="K14" s="387"/>
    </row>
    <row r="15" spans="2:11" x14ac:dyDescent="0.35">
      <c r="B15" s="346"/>
      <c r="C15" s="452" t="s">
        <v>142</v>
      </c>
      <c r="D15" s="347" t="s">
        <v>243</v>
      </c>
      <c r="E15" s="453">
        <f>K45*(60)*2.2*2/2000</f>
        <v>15.573360000000003</v>
      </c>
      <c r="F15" s="375" t="s">
        <v>135</v>
      </c>
      <c r="G15" s="374">
        <v>356</v>
      </c>
      <c r="H15" s="376">
        <f>E15*G15</f>
        <v>5544.1161600000014</v>
      </c>
      <c r="I15" s="376"/>
      <c r="J15" s="450"/>
      <c r="K15" s="387">
        <f>H15</f>
        <v>5544.1161600000014</v>
      </c>
    </row>
    <row r="16" spans="2:11" x14ac:dyDescent="0.35">
      <c r="B16" s="346"/>
      <c r="C16" s="452"/>
      <c r="D16" s="180" t="s">
        <v>244</v>
      </c>
      <c r="E16" s="504"/>
      <c r="F16" s="375"/>
      <c r="G16" s="505"/>
      <c r="H16" s="376"/>
      <c r="I16" s="376"/>
      <c r="J16" s="450"/>
      <c r="K16" s="387"/>
    </row>
    <row r="17" spans="2:11" x14ac:dyDescent="0.35">
      <c r="B17" s="346"/>
      <c r="C17" s="452" t="s">
        <v>139</v>
      </c>
      <c r="D17" s="347" t="s">
        <v>219</v>
      </c>
      <c r="E17" s="393">
        <f>43*8760</f>
        <v>376680</v>
      </c>
      <c r="F17" s="375" t="s">
        <v>235</v>
      </c>
      <c r="G17" s="374">
        <v>0.18</v>
      </c>
      <c r="H17" s="376">
        <f>E17*G17</f>
        <v>67802.399999999994</v>
      </c>
      <c r="I17" s="376"/>
      <c r="J17" s="450"/>
      <c r="K17" s="387">
        <f>H17</f>
        <v>67802.399999999994</v>
      </c>
    </row>
    <row r="18" spans="2:11" x14ac:dyDescent="0.35">
      <c r="B18" s="346"/>
      <c r="C18" s="452"/>
      <c r="D18" s="347"/>
      <c r="E18" s="454"/>
      <c r="F18" s="382"/>
      <c r="G18" s="382"/>
      <c r="H18" s="451"/>
      <c r="I18" s="376"/>
      <c r="J18" s="450"/>
      <c r="K18" s="387"/>
    </row>
    <row r="19" spans="2:11" x14ac:dyDescent="0.35">
      <c r="B19" s="449" t="s">
        <v>105</v>
      </c>
      <c r="C19" s="1385" t="s">
        <v>273</v>
      </c>
      <c r="D19" s="1385"/>
      <c r="E19" s="393">
        <v>1</v>
      </c>
      <c r="F19" s="382" t="s">
        <v>109</v>
      </c>
      <c r="G19" s="455">
        <v>10000</v>
      </c>
      <c r="H19" s="376">
        <f>E19*G19</f>
        <v>10000</v>
      </c>
      <c r="I19" s="376"/>
      <c r="J19" s="450"/>
      <c r="K19" s="387">
        <f>H19</f>
        <v>10000</v>
      </c>
    </row>
    <row r="20" spans="2:11" x14ac:dyDescent="0.35">
      <c r="B20" s="346"/>
      <c r="C20" s="452"/>
      <c r="D20" s="347"/>
      <c r="E20" s="454"/>
      <c r="F20" s="382"/>
      <c r="G20" s="382"/>
      <c r="H20" s="451"/>
      <c r="I20" s="376"/>
      <c r="J20" s="450"/>
      <c r="K20" s="387"/>
    </row>
    <row r="21" spans="2:11" x14ac:dyDescent="0.35">
      <c r="B21" s="449" t="s">
        <v>208</v>
      </c>
      <c r="C21" s="452" t="s">
        <v>245</v>
      </c>
      <c r="D21" s="347"/>
      <c r="E21" s="375"/>
      <c r="F21" s="375"/>
      <c r="G21" s="376"/>
      <c r="H21" s="376"/>
      <c r="I21" s="376"/>
      <c r="J21" s="450"/>
      <c r="K21" s="387"/>
    </row>
    <row r="22" spans="2:11" x14ac:dyDescent="0.35">
      <c r="B22" s="449"/>
      <c r="C22" s="452"/>
      <c r="D22" s="180" t="s">
        <v>246</v>
      </c>
      <c r="E22" s="375"/>
      <c r="F22" s="375"/>
      <c r="G22" s="376"/>
      <c r="H22" s="376"/>
      <c r="I22" s="376"/>
      <c r="J22" s="450"/>
      <c r="K22" s="387"/>
    </row>
    <row r="23" spans="2:11" x14ac:dyDescent="0.35">
      <c r="B23" s="346"/>
      <c r="C23" s="456" t="s">
        <v>142</v>
      </c>
      <c r="D23" s="452" t="s">
        <v>216</v>
      </c>
      <c r="E23" s="415">
        <v>0.3</v>
      </c>
      <c r="F23" s="375" t="s">
        <v>215</v>
      </c>
      <c r="G23" s="376">
        <f>'3-8 - EU 3 - SCR TCI'!K33</f>
        <v>934250</v>
      </c>
      <c r="H23" s="414">
        <f>G23*E23</f>
        <v>280275</v>
      </c>
      <c r="I23" s="376"/>
      <c r="J23" s="450"/>
      <c r="K23" s="387">
        <f>H23*E29</f>
        <v>135398.55072463767</v>
      </c>
    </row>
    <row r="24" spans="2:11" x14ac:dyDescent="0.35">
      <c r="B24" s="346"/>
      <c r="C24" s="456"/>
      <c r="D24" s="181" t="s">
        <v>247</v>
      </c>
      <c r="E24" s="415"/>
      <c r="F24" s="375"/>
      <c r="G24" s="376"/>
      <c r="H24" s="414"/>
      <c r="I24" s="376"/>
      <c r="J24" s="450"/>
      <c r="K24" s="387"/>
    </row>
    <row r="25" spans="2:11" x14ac:dyDescent="0.35">
      <c r="B25" s="346"/>
      <c r="C25" s="456" t="s">
        <v>139</v>
      </c>
      <c r="D25" s="452" t="s">
        <v>213</v>
      </c>
      <c r="E25" s="374">
        <v>180</v>
      </c>
      <c r="F25" s="375" t="s">
        <v>155</v>
      </c>
      <c r="G25" s="374">
        <v>105</v>
      </c>
      <c r="H25" s="451"/>
      <c r="I25" s="376">
        <f>E25*G25</f>
        <v>18900</v>
      </c>
      <c r="J25" s="450"/>
      <c r="K25" s="387">
        <f>I25*E29</f>
        <v>9130.4347826086941</v>
      </c>
    </row>
    <row r="26" spans="2:11" x14ac:dyDescent="0.35">
      <c r="B26" s="346"/>
      <c r="C26" s="456" t="s">
        <v>137</v>
      </c>
      <c r="D26" s="452" t="s">
        <v>236</v>
      </c>
      <c r="E26" s="415">
        <v>0.13</v>
      </c>
      <c r="F26" s="375" t="s">
        <v>248</v>
      </c>
      <c r="G26" s="376"/>
      <c r="H26" s="451"/>
      <c r="I26" s="457">
        <f>E26*H23</f>
        <v>36435.75</v>
      </c>
      <c r="J26" s="450"/>
      <c r="K26" s="387">
        <f>I26*E29</f>
        <v>17601.811594202896</v>
      </c>
    </row>
    <row r="27" spans="2:11" x14ac:dyDescent="0.35">
      <c r="B27" s="346"/>
      <c r="C27" s="456" t="s">
        <v>134</v>
      </c>
      <c r="D27" s="452" t="s">
        <v>211</v>
      </c>
      <c r="E27" s="415">
        <v>0.13</v>
      </c>
      <c r="F27" s="375" t="s">
        <v>248</v>
      </c>
      <c r="G27" s="376"/>
      <c r="H27" s="451"/>
      <c r="I27" s="376">
        <f>E27*H23</f>
        <v>36435.75</v>
      </c>
      <c r="J27" s="450"/>
      <c r="K27" s="387">
        <f>I27*E29</f>
        <v>17601.811594202896</v>
      </c>
    </row>
    <row r="28" spans="2:11" x14ac:dyDescent="0.35">
      <c r="B28" s="346"/>
      <c r="C28" s="456"/>
      <c r="D28" s="452"/>
      <c r="E28" s="458"/>
      <c r="F28" s="375"/>
      <c r="G28" s="376"/>
      <c r="H28" s="376"/>
      <c r="I28" s="376"/>
      <c r="J28" s="450"/>
      <c r="K28" s="387"/>
    </row>
    <row r="29" spans="2:11" x14ac:dyDescent="0.35">
      <c r="B29" s="459" t="s">
        <v>210</v>
      </c>
      <c r="C29" s="460"/>
      <c r="D29" s="347"/>
      <c r="E29" s="461">
        <f>($E$51/100)/(POWER(1+($E$51/100),($E$53)/($E$54/100))-1)</f>
        <v>0.48309178743961345</v>
      </c>
      <c r="F29" s="348"/>
      <c r="G29" s="450"/>
      <c r="H29" s="376"/>
      <c r="I29" s="462"/>
      <c r="J29" s="376"/>
      <c r="K29" s="387"/>
    </row>
    <row r="30" spans="2:11" x14ac:dyDescent="0.35">
      <c r="B30" s="459"/>
      <c r="C30" s="460"/>
      <c r="D30" s="347"/>
      <c r="E30" s="461"/>
      <c r="F30" s="348"/>
      <c r="G30" s="450"/>
      <c r="H30" s="376"/>
      <c r="I30" s="462"/>
      <c r="J30" s="376"/>
      <c r="K30" s="387"/>
    </row>
    <row r="31" spans="2:11" x14ac:dyDescent="0.35">
      <c r="B31" s="463" t="s">
        <v>13</v>
      </c>
      <c r="C31" s="464"/>
      <c r="D31" s="465"/>
      <c r="E31" s="466"/>
      <c r="F31" s="467"/>
      <c r="G31" s="468"/>
      <c r="H31" s="409"/>
      <c r="I31" s="469"/>
      <c r="J31" s="470" t="s">
        <v>209</v>
      </c>
      <c r="K31" s="471">
        <f>SUM(K10:K27)</f>
        <v>400866.62485565216</v>
      </c>
    </row>
    <row r="32" spans="2:11" x14ac:dyDescent="0.35">
      <c r="B32" s="346"/>
      <c r="C32" s="460"/>
      <c r="D32" s="347"/>
      <c r="E32" s="375"/>
      <c r="F32" s="347"/>
      <c r="G32" s="376"/>
      <c r="H32" s="376"/>
      <c r="I32" s="462"/>
      <c r="J32" s="472"/>
      <c r="K32" s="387"/>
    </row>
    <row r="33" spans="2:12" ht="15.5" x14ac:dyDescent="0.35">
      <c r="B33" s="473" t="s">
        <v>14</v>
      </c>
      <c r="C33" s="366"/>
      <c r="D33" s="377"/>
      <c r="E33" s="375"/>
      <c r="F33" s="375"/>
      <c r="G33" s="376"/>
      <c r="H33" s="376"/>
      <c r="I33" s="376"/>
      <c r="J33" s="376"/>
      <c r="K33" s="387"/>
    </row>
    <row r="34" spans="2:12" x14ac:dyDescent="0.35">
      <c r="B34" s="449" t="s">
        <v>206</v>
      </c>
      <c r="C34" s="347" t="s">
        <v>207</v>
      </c>
      <c r="D34" s="347"/>
      <c r="E34" s="374"/>
      <c r="F34" s="375" t="s">
        <v>152</v>
      </c>
      <c r="G34" s="382"/>
      <c r="H34" s="451" t="s">
        <v>200</v>
      </c>
      <c r="I34" s="376">
        <f>E34*G34</f>
        <v>0</v>
      </c>
      <c r="J34" s="450"/>
      <c r="K34" s="387">
        <f>I34</f>
        <v>0</v>
      </c>
    </row>
    <row r="35" spans="2:12" x14ac:dyDescent="0.35">
      <c r="B35" s="1137" t="s">
        <v>204</v>
      </c>
      <c r="C35" s="1136" t="s">
        <v>334</v>
      </c>
      <c r="D35" s="513"/>
      <c r="E35" s="559">
        <v>0.03</v>
      </c>
      <c r="F35" s="375" t="s">
        <v>249</v>
      </c>
      <c r="G35" s="382"/>
      <c r="H35" s="451"/>
      <c r="I35" s="376">
        <f>E35*'3-8 - EU 3 - SCR TCI'!K65</f>
        <v>103035.75</v>
      </c>
      <c r="J35" s="450"/>
      <c r="K35" s="387">
        <f>I35</f>
        <v>103035.75</v>
      </c>
    </row>
    <row r="36" spans="2:12" x14ac:dyDescent="0.35">
      <c r="B36" s="449"/>
      <c r="C36" s="452" t="s">
        <v>199</v>
      </c>
      <c r="D36" s="347"/>
      <c r="E36" s="461">
        <f>($E$51/100*POWER((1+($E$51/100)),$E$52))/((POWER(((1+$E$51/100)),$E$52))-1)</f>
        <v>0.14237750272736471</v>
      </c>
      <c r="F36" s="382"/>
      <c r="G36" s="376"/>
      <c r="H36" s="376"/>
      <c r="I36" s="376"/>
      <c r="J36" s="450"/>
      <c r="K36" s="474"/>
      <c r="L36" s="475"/>
    </row>
    <row r="37" spans="2:12" x14ac:dyDescent="0.35">
      <c r="B37" s="449" t="s">
        <v>202</v>
      </c>
      <c r="C37" s="347" t="s">
        <v>197</v>
      </c>
      <c r="D37" s="347"/>
      <c r="E37" s="347"/>
      <c r="F37" s="347"/>
      <c r="G37" s="376"/>
      <c r="H37" s="476"/>
      <c r="I37" s="376"/>
      <c r="J37" s="477" t="s">
        <v>196</v>
      </c>
      <c r="K37" s="387">
        <f>E36*'3-8 - EU 3 - SCR TCI'!K65</f>
        <v>488999.09255470231</v>
      </c>
      <c r="L37" s="475"/>
    </row>
    <row r="38" spans="2:12" x14ac:dyDescent="0.35">
      <c r="B38" s="346"/>
      <c r="C38" s="347"/>
      <c r="D38" s="347"/>
      <c r="E38" s="375"/>
      <c r="F38" s="347"/>
      <c r="G38" s="376"/>
      <c r="H38" s="376"/>
      <c r="I38" s="376"/>
      <c r="J38" s="376"/>
      <c r="K38" s="387"/>
    </row>
    <row r="39" spans="2:12" x14ac:dyDescent="0.35">
      <c r="B39" s="463" t="s">
        <v>15</v>
      </c>
      <c r="C39" s="464"/>
      <c r="D39" s="478"/>
      <c r="E39" s="479"/>
      <c r="F39" s="467"/>
      <c r="G39" s="469"/>
      <c r="H39" s="480"/>
      <c r="I39" s="469"/>
      <c r="J39" s="470" t="s">
        <v>195</v>
      </c>
      <c r="K39" s="471">
        <f>SUM(K34:K37)</f>
        <v>592034.84255470231</v>
      </c>
    </row>
    <row r="40" spans="2:12" x14ac:dyDescent="0.35">
      <c r="B40" s="481"/>
      <c r="C40" s="482"/>
      <c r="D40" s="347"/>
      <c r="E40" s="375"/>
      <c r="F40" s="347"/>
      <c r="G40" s="376"/>
      <c r="H40" s="376"/>
      <c r="I40" s="376"/>
      <c r="J40" s="376"/>
      <c r="K40" s="387"/>
    </row>
    <row r="41" spans="2:12" ht="15.5" x14ac:dyDescent="0.35">
      <c r="B41" s="483" t="s">
        <v>194</v>
      </c>
      <c r="C41" s="484"/>
      <c r="D41" s="485"/>
      <c r="E41" s="486"/>
      <c r="F41" s="485"/>
      <c r="G41" s="409"/>
      <c r="H41" s="487"/>
      <c r="I41" s="409"/>
      <c r="J41" s="470" t="s">
        <v>193</v>
      </c>
      <c r="K41" s="471">
        <f>K31+K39</f>
        <v>992901.46741035441</v>
      </c>
    </row>
    <row r="42" spans="2:12" ht="15" thickBot="1" x14ac:dyDescent="0.4">
      <c r="B42" s="346"/>
      <c r="C42" s="347"/>
      <c r="D42" s="347"/>
      <c r="E42" s="375"/>
      <c r="F42" s="347"/>
      <c r="G42" s="347"/>
      <c r="H42" s="347"/>
      <c r="I42" s="347"/>
      <c r="J42" s="347"/>
      <c r="K42" s="368"/>
    </row>
    <row r="43" spans="2:12" ht="16" thickBot="1" x14ac:dyDescent="0.4">
      <c r="B43" s="1386" t="s">
        <v>16</v>
      </c>
      <c r="C43" s="1387"/>
      <c r="D43" s="1387"/>
      <c r="E43" s="1387"/>
      <c r="F43" s="1387"/>
      <c r="G43" s="1387"/>
      <c r="H43" s="1387"/>
      <c r="I43" s="1387"/>
      <c r="J43" s="1387"/>
      <c r="K43" s="1388"/>
    </row>
    <row r="44" spans="2:12" x14ac:dyDescent="0.35">
      <c r="B44" s="346"/>
      <c r="C44" s="347"/>
      <c r="D44" s="347"/>
      <c r="E44" s="347"/>
      <c r="F44" s="347"/>
      <c r="G44" s="347"/>
      <c r="H44" s="347"/>
      <c r="I44" s="347"/>
      <c r="J44" s="347"/>
      <c r="K44" s="368"/>
    </row>
    <row r="45" spans="2:12" ht="15.5" x14ac:dyDescent="0.35">
      <c r="B45" s="360" t="s">
        <v>192</v>
      </c>
      <c r="C45" s="366"/>
      <c r="D45" s="347"/>
      <c r="E45" s="347"/>
      <c r="F45" s="347"/>
      <c r="G45" s="347"/>
      <c r="H45" s="347"/>
      <c r="I45" s="347"/>
      <c r="J45" s="488" t="s">
        <v>3</v>
      </c>
      <c r="K45" s="489">
        <f>138.8*0.85</f>
        <v>117.98</v>
      </c>
    </row>
    <row r="46" spans="2:12" x14ac:dyDescent="0.35">
      <c r="B46" s="346"/>
      <c r="C46" s="347"/>
      <c r="D46" s="347"/>
      <c r="E46" s="347"/>
      <c r="F46" s="347"/>
      <c r="G46" s="347"/>
      <c r="H46" s="347"/>
      <c r="I46" s="347"/>
      <c r="J46" s="347"/>
      <c r="K46" s="368"/>
    </row>
    <row r="47" spans="2:12" ht="16" thickBot="1" x14ac:dyDescent="0.4">
      <c r="B47" s="490" t="s">
        <v>191</v>
      </c>
      <c r="C47" s="491"/>
      <c r="D47" s="492"/>
      <c r="E47" s="492"/>
      <c r="F47" s="492"/>
      <c r="G47" s="492"/>
      <c r="H47" s="493"/>
      <c r="I47" s="492"/>
      <c r="J47" s="494" t="s">
        <v>190</v>
      </c>
      <c r="K47" s="495">
        <f>K41/K45</f>
        <v>8415.8456298555211</v>
      </c>
    </row>
    <row r="48" spans="2:12" ht="15" thickTop="1" x14ac:dyDescent="0.35"/>
    <row r="49" spans="4:7" ht="15" thickBot="1" x14ac:dyDescent="0.4"/>
    <row r="50" spans="4:7" x14ac:dyDescent="0.35">
      <c r="D50" s="496" t="s">
        <v>189</v>
      </c>
      <c r="E50" s="444"/>
      <c r="F50" s="497"/>
      <c r="G50" s="498"/>
    </row>
    <row r="51" spans="4:7" x14ac:dyDescent="0.35">
      <c r="D51" s="499" t="s">
        <v>188</v>
      </c>
      <c r="E51" s="453">
        <v>7</v>
      </c>
      <c r="F51" s="500" t="s">
        <v>152</v>
      </c>
    </row>
    <row r="52" spans="4:7" x14ac:dyDescent="0.35">
      <c r="D52" s="499" t="s">
        <v>187</v>
      </c>
      <c r="E52" s="374">
        <v>10</v>
      </c>
      <c r="F52" s="500" t="s">
        <v>185</v>
      </c>
    </row>
    <row r="53" spans="4:7" x14ac:dyDescent="0.35">
      <c r="D53" s="499" t="s">
        <v>250</v>
      </c>
      <c r="E53" s="374">
        <v>2</v>
      </c>
      <c r="F53" s="500" t="s">
        <v>185</v>
      </c>
    </row>
    <row r="54" spans="4:7" ht="15" thickBot="1" x14ac:dyDescent="0.4">
      <c r="D54" s="501" t="s">
        <v>184</v>
      </c>
      <c r="E54" s="502">
        <v>100</v>
      </c>
      <c r="F54" s="503" t="s">
        <v>152</v>
      </c>
    </row>
  </sheetData>
  <mergeCells count="6">
    <mergeCell ref="I3:K3"/>
    <mergeCell ref="B8:K8"/>
    <mergeCell ref="C19:D19"/>
    <mergeCell ref="B43:K43"/>
    <mergeCell ref="B1:K1"/>
    <mergeCell ref="B2:K2"/>
  </mergeCells>
  <printOptions horizontalCentered="1"/>
  <pageMargins left="0.33" right="0.41" top="0.56000000000000005" bottom="0.52" header="0.3" footer="0.3"/>
  <pageSetup scale="56" fitToHeight="0" orientation="portrait" r:id="rId1"/>
  <headerFooter>
    <oddFooter>&amp;LUAF
PM&amp;Y2.5&amp;Y Serious NAA BACT Analysis&amp;CPage 57&amp;RJanuary 2017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4</vt:i4>
      </vt:variant>
    </vt:vector>
  </HeadingPairs>
  <TitlesOfParts>
    <vt:vector size="24" baseType="lpstr">
      <vt:lpstr>3-1</vt:lpstr>
      <vt:lpstr>3-2</vt:lpstr>
      <vt:lpstr>3-3</vt:lpstr>
      <vt:lpstr>3-4 - EU 113 - SCR TCI</vt:lpstr>
      <vt:lpstr>3-5 - EU 113 - SCR CE</vt:lpstr>
      <vt:lpstr>3-6 - EU 113 - SNCR TCI</vt:lpstr>
      <vt:lpstr>3-7 - EU 113 - SNCR CE</vt:lpstr>
      <vt:lpstr>3-8 - EU 3 - SCR TCI</vt:lpstr>
      <vt:lpstr>3-9 - EU 3 - SCR CE</vt:lpstr>
      <vt:lpstr>3-10 - EU ID 3 LNB-FGR TCI</vt:lpstr>
      <vt:lpstr>3-11 - EU ID 3 LNB-FGR CE</vt:lpstr>
      <vt:lpstr>3-12 - EU ID 4 - LNB-FGR TCI</vt:lpstr>
      <vt:lpstr>3-13 EU ID 4 - LNB-FGR CE</vt:lpstr>
      <vt:lpstr>3-14 EU8 SCR TCI</vt:lpstr>
      <vt:lpstr>3-15 EU8 SCR CE</vt:lpstr>
      <vt:lpstr>3-16 - EU 27 - SCR TCI</vt:lpstr>
      <vt:lpstr>3-17 - EU 27 - SCR CE</vt:lpstr>
      <vt:lpstr>3-18</vt:lpstr>
      <vt:lpstr>3-19</vt:lpstr>
      <vt:lpstr>5-22</vt:lpstr>
      <vt:lpstr>'3-1'!Print_Area</vt:lpstr>
      <vt:lpstr>'3-18'!Print_Area</vt:lpstr>
      <vt:lpstr>'3-19'!Print_Area</vt:lpstr>
      <vt:lpstr>'3-3'!Print_Area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Laurel Peterson</dc:creator>
  <cp:lastModifiedBy>Jones, David</cp:lastModifiedBy>
  <cp:lastPrinted>2017-01-24T19:56:58Z</cp:lastPrinted>
  <dcterms:created xsi:type="dcterms:W3CDTF">2010-08-17T22:24:37Z</dcterms:created>
  <dcterms:modified xsi:type="dcterms:W3CDTF">2019-10-30T18:31:27Z</dcterms:modified>
</cp:coreProperties>
</file>