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90" yWindow="15" windowWidth="15285" windowHeight="5895" tabRatio="817"/>
  </bookViews>
  <sheets>
    <sheet name="Executive Summary Table" sheetId="61" r:id="rId1"/>
    <sheet name="Table 1-2. Sig EUI PTE" sheetId="12" r:id="rId2"/>
    <sheet name="Table 1-3. NOx" sheetId="3" r:id="rId3"/>
    <sheet name="Table 1-4. PM2.5" sheetId="60" r:id="rId4"/>
    <sheet name="Table 1-5. SO2" sheetId="53" r:id="rId5"/>
  </sheets>
  <definedNames>
    <definedName name="_xlnm.Criteria" localSheetId="3">#REF!</definedName>
    <definedName name="_xlnm.Print_Area" localSheetId="2">'Table 1-3. NOx'!$A$1:$P$41</definedName>
    <definedName name="_xlnm.Print_Area" localSheetId="3">'Table 1-4. PM2.5'!$A$1:$P$52</definedName>
    <definedName name="_xlnm.Print_Area" localSheetId="4">'Table 1-5. SO2'!$A$1:$R$51</definedName>
  </definedNames>
  <calcPr calcId="145621"/>
</workbook>
</file>

<file path=xl/calcChain.xml><?xml version="1.0" encoding="utf-8"?>
<calcChain xmlns="http://schemas.openxmlformats.org/spreadsheetml/2006/main">
  <c r="C24" i="61" l="1"/>
  <c r="C23" i="61"/>
  <c r="C22" i="61"/>
  <c r="C21" i="61"/>
  <c r="C19" i="61"/>
  <c r="C18" i="61"/>
  <c r="C17" i="61"/>
  <c r="C16" i="61"/>
  <c r="C15" i="61"/>
  <c r="E24" i="61"/>
  <c r="E23" i="61"/>
  <c r="E22" i="61"/>
  <c r="E21" i="61"/>
  <c r="E19" i="61"/>
  <c r="E18" i="61"/>
  <c r="E17" i="61"/>
  <c r="E16" i="61"/>
  <c r="E15" i="61"/>
  <c r="M9" i="3" l="1"/>
  <c r="M8" i="3"/>
  <c r="M10" i="12"/>
  <c r="K10" i="12"/>
  <c r="J10" i="60" l="1"/>
  <c r="I11" i="3"/>
  <c r="I11" i="60" s="1"/>
  <c r="I8" i="12"/>
  <c r="I9" i="60" s="1"/>
  <c r="K12" i="53"/>
  <c r="O11" i="60" l="1"/>
  <c r="L11" i="53"/>
  <c r="N11" i="60"/>
  <c r="M11" i="60"/>
  <c r="L10" i="60"/>
  <c r="K10" i="60"/>
  <c r="L9" i="60"/>
  <c r="K9" i="60"/>
  <c r="I9" i="3"/>
  <c r="O9" i="3" s="1"/>
  <c r="N11" i="53"/>
  <c r="M11" i="53"/>
  <c r="N10" i="53"/>
  <c r="M10" i="53"/>
  <c r="M25" i="12"/>
  <c r="K25" i="12"/>
  <c r="M24" i="12"/>
  <c r="K24" i="12"/>
  <c r="M23" i="12"/>
  <c r="K23" i="12"/>
  <c r="L27" i="53" l="1"/>
  <c r="K27" i="53"/>
  <c r="J27" i="53"/>
  <c r="I27" i="53"/>
  <c r="K26" i="53"/>
  <c r="K25" i="53"/>
  <c r="N26" i="60"/>
  <c r="M26" i="60"/>
  <c r="N25" i="60"/>
  <c r="M25" i="60"/>
  <c r="N24" i="60"/>
  <c r="M24" i="60"/>
  <c r="I26" i="60"/>
  <c r="J25" i="60"/>
  <c r="I25" i="60"/>
  <c r="J24" i="60"/>
  <c r="I24" i="60"/>
  <c r="J26" i="3"/>
  <c r="I26" i="3"/>
  <c r="H26" i="3"/>
  <c r="H26" i="60" s="1"/>
  <c r="G26" i="3"/>
  <c r="G26" i="60" s="1"/>
  <c r="O26" i="60" s="1"/>
  <c r="L25" i="12" s="1"/>
  <c r="C26" i="3"/>
  <c r="C27" i="53" s="1"/>
  <c r="B26" i="3"/>
  <c r="B26" i="60" s="1"/>
  <c r="A26" i="3"/>
  <c r="A27" i="53" s="1"/>
  <c r="N25" i="3"/>
  <c r="J25" i="3"/>
  <c r="I25" i="3"/>
  <c r="H25" i="3"/>
  <c r="J26" i="53" s="1"/>
  <c r="G25" i="3"/>
  <c r="G25" i="60" s="1"/>
  <c r="C25" i="3"/>
  <c r="C25" i="60" s="1"/>
  <c r="B25" i="3"/>
  <c r="B26" i="53" s="1"/>
  <c r="A25" i="3"/>
  <c r="A26" i="53" s="1"/>
  <c r="J24" i="3"/>
  <c r="I24" i="3"/>
  <c r="H24" i="3"/>
  <c r="H24" i="60" s="1"/>
  <c r="G24" i="3"/>
  <c r="I25" i="53" s="1"/>
  <c r="C24" i="3"/>
  <c r="C24" i="60" s="1"/>
  <c r="B24" i="3"/>
  <c r="B24" i="60" s="1"/>
  <c r="A24" i="3"/>
  <c r="A24" i="60" s="1"/>
  <c r="O23" i="53"/>
  <c r="O16" i="53"/>
  <c r="O15" i="53"/>
  <c r="O14" i="53"/>
  <c r="O13" i="53"/>
  <c r="O12" i="53"/>
  <c r="O11" i="53"/>
  <c r="O10" i="53"/>
  <c r="K10" i="53" s="1"/>
  <c r="O25" i="60" l="1"/>
  <c r="L24" i="12" s="1"/>
  <c r="B27" i="53"/>
  <c r="A25" i="60"/>
  <c r="A26" i="60"/>
  <c r="J25" i="53"/>
  <c r="B25" i="53"/>
  <c r="A25" i="53"/>
  <c r="G24" i="60"/>
  <c r="O24" i="60" s="1"/>
  <c r="L23" i="12" s="1"/>
  <c r="H25" i="60"/>
  <c r="I26" i="53"/>
  <c r="B25" i="60"/>
  <c r="C26" i="60"/>
  <c r="C25" i="53"/>
  <c r="C26" i="53"/>
  <c r="O9" i="53"/>
  <c r="M21" i="60" l="1"/>
  <c r="N12" i="60"/>
  <c r="M12" i="60"/>
  <c r="N10" i="60"/>
  <c r="M10" i="60"/>
  <c r="M13" i="3" l="1"/>
  <c r="N22" i="3"/>
  <c r="M22" i="3"/>
  <c r="M22" i="12"/>
  <c r="M20" i="12"/>
  <c r="M19" i="12"/>
  <c r="M18" i="12"/>
  <c r="M17" i="12"/>
  <c r="M16" i="12"/>
  <c r="K22" i="12"/>
  <c r="K20" i="12"/>
  <c r="K19" i="12"/>
  <c r="K18" i="12"/>
  <c r="K17" i="12"/>
  <c r="K16" i="12"/>
  <c r="K23" i="53" l="1"/>
  <c r="N22" i="60"/>
  <c r="M22" i="60"/>
  <c r="J22" i="60"/>
  <c r="I22" i="60"/>
  <c r="J22" i="3"/>
  <c r="I22" i="3"/>
  <c r="H22" i="3"/>
  <c r="H22" i="60" s="1"/>
  <c r="G22" i="3"/>
  <c r="C22" i="3"/>
  <c r="C22" i="60" s="1"/>
  <c r="B22" i="3"/>
  <c r="B22" i="60" s="1"/>
  <c r="A22" i="3"/>
  <c r="A22" i="60" s="1"/>
  <c r="O22" i="3" l="1"/>
  <c r="K21" i="12" s="1"/>
  <c r="G22" i="60"/>
  <c r="O22" i="60" s="1"/>
  <c r="L21" i="12" s="1"/>
  <c r="K20" i="53" l="1"/>
  <c r="K22" i="53" l="1"/>
  <c r="K21" i="53"/>
  <c r="K24" i="53"/>
  <c r="K19" i="53"/>
  <c r="K18" i="53"/>
  <c r="K17" i="53"/>
  <c r="K13" i="53"/>
  <c r="K11" i="53"/>
  <c r="K9" i="53"/>
  <c r="J20" i="53"/>
  <c r="I20" i="53"/>
  <c r="J24" i="53"/>
  <c r="I24" i="53"/>
  <c r="J19" i="53"/>
  <c r="I19" i="53"/>
  <c r="J18" i="53"/>
  <c r="I18" i="53"/>
  <c r="J17" i="53"/>
  <c r="I17" i="53"/>
  <c r="I16" i="53"/>
  <c r="I15" i="53"/>
  <c r="I14" i="53"/>
  <c r="J12" i="53"/>
  <c r="I12" i="53"/>
  <c r="J9" i="53"/>
  <c r="J10" i="53" s="1"/>
  <c r="J11" i="53" s="1"/>
  <c r="I11" i="53"/>
  <c r="I10" i="53"/>
  <c r="I9" i="53"/>
  <c r="J8" i="3"/>
  <c r="I12" i="3"/>
  <c r="G10" i="3"/>
  <c r="G9" i="3"/>
  <c r="I16" i="3"/>
  <c r="I12" i="12"/>
  <c r="I13" i="3" s="1"/>
  <c r="I10" i="3"/>
  <c r="I8" i="3"/>
  <c r="E21" i="60"/>
  <c r="L21" i="53"/>
  <c r="L20" i="53"/>
  <c r="L24" i="53"/>
  <c r="L19" i="53"/>
  <c r="L18" i="53"/>
  <c r="J21" i="3"/>
  <c r="I21" i="3"/>
  <c r="J20" i="3"/>
  <c r="I20" i="3"/>
  <c r="J19" i="3"/>
  <c r="I19" i="3"/>
  <c r="J23" i="3"/>
  <c r="J26" i="60" s="1"/>
  <c r="I23" i="3"/>
  <c r="J18" i="3"/>
  <c r="I18" i="3"/>
  <c r="J17" i="3"/>
  <c r="I17" i="60"/>
  <c r="Q11" i="53" l="1"/>
  <c r="M9" i="12" s="1"/>
  <c r="Q9" i="53"/>
  <c r="M7" i="12" s="1"/>
  <c r="K14" i="53"/>
  <c r="J21" i="60"/>
  <c r="I21" i="60"/>
  <c r="I17" i="3"/>
  <c r="J23" i="60"/>
  <c r="J20" i="60"/>
  <c r="J19" i="60"/>
  <c r="I20" i="60"/>
  <c r="I19" i="60"/>
  <c r="N20" i="60"/>
  <c r="M20" i="60"/>
  <c r="N19" i="60"/>
  <c r="M19" i="60"/>
  <c r="N23" i="60"/>
  <c r="M23" i="60"/>
  <c r="N18" i="60"/>
  <c r="M18" i="60"/>
  <c r="N17" i="60"/>
  <c r="M17" i="60"/>
  <c r="J18" i="60"/>
  <c r="J17" i="60"/>
  <c r="I23" i="60"/>
  <c r="I18" i="60"/>
  <c r="O21" i="60" l="1"/>
  <c r="L20" i="12" s="1"/>
  <c r="E48" i="60"/>
  <c r="M15" i="3" l="1"/>
  <c r="M14" i="3"/>
  <c r="M12" i="3"/>
  <c r="M10" i="3"/>
  <c r="O10" i="3" s="1"/>
  <c r="K9" i="12" s="1"/>
  <c r="H20" i="3"/>
  <c r="J21" i="53" s="1"/>
  <c r="G20" i="3"/>
  <c r="H19" i="3"/>
  <c r="H19" i="60" s="1"/>
  <c r="G19" i="3"/>
  <c r="H23" i="3"/>
  <c r="G23" i="3"/>
  <c r="G23" i="60" s="1"/>
  <c r="O23" i="60" s="1"/>
  <c r="L22" i="12" s="1"/>
  <c r="H18" i="3"/>
  <c r="H18" i="60" s="1"/>
  <c r="G18" i="3"/>
  <c r="H17" i="3"/>
  <c r="G17" i="3"/>
  <c r="C20" i="3"/>
  <c r="C21" i="53" s="1"/>
  <c r="B20" i="3"/>
  <c r="B21" i="53" s="1"/>
  <c r="A20" i="3"/>
  <c r="A20" i="60" s="1"/>
  <c r="C19" i="3"/>
  <c r="C20" i="53" s="1"/>
  <c r="B19" i="3"/>
  <c r="B20" i="53" s="1"/>
  <c r="A19" i="3"/>
  <c r="C23" i="3"/>
  <c r="C23" i="60" s="1"/>
  <c r="B23" i="3"/>
  <c r="A23" i="3"/>
  <c r="A24" i="53" s="1"/>
  <c r="C18" i="3"/>
  <c r="B18" i="3"/>
  <c r="B18" i="60" s="1"/>
  <c r="A18" i="3"/>
  <c r="A19" i="53" s="1"/>
  <c r="C17" i="3"/>
  <c r="C18" i="53" s="1"/>
  <c r="B17" i="3"/>
  <c r="B18" i="53" s="1"/>
  <c r="A17" i="3"/>
  <c r="G15" i="3"/>
  <c r="B15" i="3"/>
  <c r="A15" i="3"/>
  <c r="H17" i="60" l="1"/>
  <c r="O19" i="60"/>
  <c r="C17" i="60"/>
  <c r="A20" i="53"/>
  <c r="C19" i="60"/>
  <c r="G18" i="60"/>
  <c r="O18" i="60" s="1"/>
  <c r="L17" i="12" s="1"/>
  <c r="A18" i="53"/>
  <c r="I21" i="53"/>
  <c r="C19" i="53"/>
  <c r="B23" i="60"/>
  <c r="O17" i="60"/>
  <c r="L16" i="12" s="1"/>
  <c r="A18" i="60"/>
  <c r="B19" i="53"/>
  <c r="C24" i="53"/>
  <c r="A21" i="53"/>
  <c r="B17" i="60"/>
  <c r="A23" i="60"/>
  <c r="B19" i="60"/>
  <c r="C20" i="60"/>
  <c r="H23" i="60"/>
  <c r="H20" i="60"/>
  <c r="B24" i="53"/>
  <c r="A17" i="60"/>
  <c r="C18" i="60"/>
  <c r="A19" i="60"/>
  <c r="B20" i="60"/>
  <c r="G20" i="60"/>
  <c r="O20" i="60" s="1"/>
  <c r="L19" i="12" s="1"/>
  <c r="L18" i="12" l="1"/>
  <c r="G17" i="53"/>
  <c r="O17" i="53" s="1"/>
  <c r="E15" i="60"/>
  <c r="M15" i="60" s="1"/>
  <c r="E14" i="60"/>
  <c r="M14" i="60" s="1"/>
  <c r="E13" i="60"/>
  <c r="M13" i="60" s="1"/>
  <c r="E9" i="60"/>
  <c r="M9" i="60" s="1"/>
  <c r="O9" i="60" s="1"/>
  <c r="E8" i="60"/>
  <c r="M8" i="60" s="1"/>
  <c r="J23" i="53"/>
  <c r="A23" i="53" l="1"/>
  <c r="B23" i="53"/>
  <c r="C23" i="53"/>
  <c r="I23" i="53"/>
  <c r="Q23" i="53" s="1"/>
  <c r="M21" i="12" s="1"/>
  <c r="I16" i="60" l="1"/>
  <c r="O16" i="60" s="1"/>
  <c r="L15" i="12" s="1"/>
  <c r="G16" i="3"/>
  <c r="M16" i="3" s="1"/>
  <c r="H16" i="3"/>
  <c r="H16" i="60" s="1"/>
  <c r="G21" i="3"/>
  <c r="H21" i="3"/>
  <c r="J22" i="53" s="1"/>
  <c r="Q17" i="53" l="1"/>
  <c r="M15" i="12" s="1"/>
  <c r="H21" i="60"/>
  <c r="G16" i="60"/>
  <c r="M16" i="60" s="1"/>
  <c r="G21" i="60"/>
  <c r="I22" i="53"/>
  <c r="O16" i="3" l="1"/>
  <c r="K15" i="12" s="1"/>
  <c r="A16" i="3"/>
  <c r="B16" i="3"/>
  <c r="C16" i="3"/>
  <c r="A21" i="3"/>
  <c r="B21" i="3"/>
  <c r="C21" i="3"/>
  <c r="C16" i="60" l="1"/>
  <c r="C17" i="53"/>
  <c r="A21" i="60"/>
  <c r="A22" i="53"/>
  <c r="B21" i="60"/>
  <c r="A16" i="60"/>
  <c r="B22" i="53"/>
  <c r="A17" i="53"/>
  <c r="C21" i="60"/>
  <c r="B16" i="60"/>
  <c r="C22" i="53"/>
  <c r="B17" i="53"/>
  <c r="O12" i="3" l="1"/>
  <c r="K11" i="12" s="1"/>
  <c r="H15" i="60" l="1"/>
  <c r="H14" i="60"/>
  <c r="I13" i="60"/>
  <c r="H13" i="60"/>
  <c r="I12" i="60"/>
  <c r="O12" i="60" s="1"/>
  <c r="L11" i="12" s="1"/>
  <c r="I10" i="60"/>
  <c r="C10" i="60"/>
  <c r="C9" i="60"/>
  <c r="I8" i="60"/>
  <c r="C8" i="60"/>
  <c r="G11" i="12" l="1"/>
  <c r="I13" i="53" s="1"/>
  <c r="Q13" i="53" l="1"/>
  <c r="M11" i="12" s="1"/>
  <c r="C10" i="53"/>
  <c r="C11" i="53"/>
  <c r="B9" i="3"/>
  <c r="C9" i="53"/>
  <c r="H11" i="3"/>
  <c r="G11" i="3"/>
  <c r="M11" i="3" s="1"/>
  <c r="G12" i="3"/>
  <c r="G13" i="3"/>
  <c r="G14" i="3"/>
  <c r="G8" i="3"/>
  <c r="O8" i="3" s="1"/>
  <c r="C13" i="53"/>
  <c r="B11" i="3"/>
  <c r="B12" i="53" s="1"/>
  <c r="B12" i="3"/>
  <c r="B13" i="53" s="1"/>
  <c r="B13" i="3"/>
  <c r="B14" i="3"/>
  <c r="B8" i="3"/>
  <c r="A12" i="3"/>
  <c r="A13" i="3"/>
  <c r="A14" i="3"/>
  <c r="H8" i="3"/>
  <c r="K7" i="12" l="1"/>
  <c r="G12" i="60"/>
  <c r="A14" i="60"/>
  <c r="B8" i="60"/>
  <c r="B13" i="60"/>
  <c r="B11" i="60"/>
  <c r="G14" i="60"/>
  <c r="G11" i="60"/>
  <c r="H11" i="60"/>
  <c r="H8" i="60"/>
  <c r="A15" i="60"/>
  <c r="A12" i="60"/>
  <c r="B14" i="60"/>
  <c r="B12" i="60"/>
  <c r="G15" i="60"/>
  <c r="H12" i="60"/>
  <c r="B10" i="3"/>
  <c r="B10" i="60" s="1"/>
  <c r="B9" i="60"/>
  <c r="B15" i="60"/>
  <c r="C12" i="53"/>
  <c r="C11" i="60"/>
  <c r="A13" i="60"/>
  <c r="C12" i="60"/>
  <c r="G8" i="60"/>
  <c r="O8" i="60" s="1"/>
  <c r="G13" i="60"/>
  <c r="B9" i="53"/>
  <c r="G10" i="60"/>
  <c r="J15" i="53"/>
  <c r="H9" i="3"/>
  <c r="H10" i="3" s="1"/>
  <c r="H10" i="60" s="1"/>
  <c r="O13" i="3"/>
  <c r="K12" i="12" s="1"/>
  <c r="A15" i="53"/>
  <c r="B16" i="53"/>
  <c r="J14" i="53"/>
  <c r="B15" i="53"/>
  <c r="A14" i="53"/>
  <c r="B14" i="53"/>
  <c r="J13" i="53"/>
  <c r="J16" i="53"/>
  <c r="A13" i="53"/>
  <c r="A16" i="53"/>
  <c r="B10" i="53"/>
  <c r="A11" i="3"/>
  <c r="A11" i="60" s="1"/>
  <c r="K26" i="12" l="1"/>
  <c r="L10" i="12"/>
  <c r="O10" i="60"/>
  <c r="L9" i="12" s="1"/>
  <c r="M8" i="12"/>
  <c r="L7" i="12"/>
  <c r="G9" i="60"/>
  <c r="O13" i="60"/>
  <c r="L12" i="12" s="1"/>
  <c r="Q14" i="53"/>
  <c r="B11" i="53"/>
  <c r="H9" i="60"/>
  <c r="A9" i="3"/>
  <c r="A9" i="60" s="1"/>
  <c r="A8" i="3"/>
  <c r="A12" i="53"/>
  <c r="M12" i="12" l="1"/>
  <c r="M26" i="12" s="1"/>
  <c r="A8" i="60"/>
  <c r="A9" i="53"/>
  <c r="A10" i="53"/>
  <c r="A10" i="3"/>
  <c r="A10" i="60" s="1"/>
  <c r="A11" i="53" l="1"/>
  <c r="L8" i="12"/>
  <c r="L26" i="12" s="1"/>
  <c r="K8" i="12"/>
</calcChain>
</file>

<file path=xl/sharedStrings.xml><?xml version="1.0" encoding="utf-8"?>
<sst xmlns="http://schemas.openxmlformats.org/spreadsheetml/2006/main" count="695" uniqueCount="219">
  <si>
    <t>Diesel</t>
  </si>
  <si>
    <t>Reference</t>
  </si>
  <si>
    <t xml:space="preserve">Factor </t>
  </si>
  <si>
    <t>tpy</t>
  </si>
  <si>
    <t>N/A</t>
  </si>
  <si>
    <t>Notes:</t>
  </si>
  <si>
    <t>MMBtu/hr</t>
  </si>
  <si>
    <t>hp</t>
  </si>
  <si>
    <t>lb/gal</t>
  </si>
  <si>
    <t>Emission Unit</t>
  </si>
  <si>
    <t>Description</t>
  </si>
  <si>
    <t>ID</t>
  </si>
  <si>
    <t>Make/Model</t>
  </si>
  <si>
    <t>lb/hr</t>
  </si>
  <si>
    <t>lb/hp-hr</t>
  </si>
  <si>
    <t>lb/kgal</t>
  </si>
  <si>
    <t>Diesel Heating Value</t>
  </si>
  <si>
    <t>Btu/hp-hr</t>
  </si>
  <si>
    <t>Btu/scf</t>
  </si>
  <si>
    <t>Significant Emission Units</t>
  </si>
  <si>
    <t>Natural Gas</t>
  </si>
  <si>
    <t>lb/MMscf</t>
  </si>
  <si>
    <t>Vendor Data</t>
  </si>
  <si>
    <t>Installation</t>
  </si>
  <si>
    <t>Date</t>
  </si>
  <si>
    <t>Dual-Fired Boiler</t>
  </si>
  <si>
    <t>Zurn</t>
  </si>
  <si>
    <t>Bldg. No.</t>
  </si>
  <si>
    <t>FS802</t>
  </si>
  <si>
    <t>Fairbanks Morse Colt-Pielstick PC2.6</t>
  </si>
  <si>
    <t>FS817</t>
  </si>
  <si>
    <t>9A</t>
  </si>
  <si>
    <t>Therm-Tec/G-30P-1H</t>
  </si>
  <si>
    <t>FS919</t>
  </si>
  <si>
    <t>Weil McLain/2094W</t>
  </si>
  <si>
    <t>FS814</t>
  </si>
  <si>
    <t>lb/ton</t>
  </si>
  <si>
    <t>MMBtu/gal</t>
  </si>
  <si>
    <t>AP-42 Table 1.3-1</t>
  </si>
  <si>
    <t>AP-42 Table 3.4-1</t>
  </si>
  <si>
    <t>Natural Gas Heat Content</t>
  </si>
  <si>
    <t>AP-42 Table 1.4-2</t>
  </si>
  <si>
    <t>*S lb/kgal</t>
  </si>
  <si>
    <t>*S lb/hp-hr</t>
  </si>
  <si>
    <t>Mass Balance</t>
  </si>
  <si>
    <t>Density of Diesel</t>
  </si>
  <si>
    <t>Engine Heat Rate</t>
  </si>
  <si>
    <r>
      <t>MMBtu/hr</t>
    </r>
    <r>
      <rPr>
        <vertAlign val="superscript"/>
        <sz val="11"/>
        <rFont val="Arial"/>
        <family val="2"/>
      </rPr>
      <t>2</t>
    </r>
  </si>
  <si>
    <r>
      <rPr>
        <vertAlign val="superscript"/>
        <sz val="11"/>
        <rFont val="Arial"/>
        <family val="2"/>
      </rPr>
      <t>2</t>
    </r>
    <r>
      <rPr>
        <sz val="11"/>
        <rFont val="Arial"/>
        <family val="2"/>
      </rPr>
      <t xml:space="preserve"> Conversion factors:</t>
    </r>
  </si>
  <si>
    <r>
      <t>AP-42 Table 1.4-1 low NO</t>
    </r>
    <r>
      <rPr>
        <vertAlign val="subscript"/>
        <sz val="11"/>
        <rFont val="Arial"/>
        <family val="2"/>
      </rPr>
      <t>X</t>
    </r>
  </si>
  <si>
    <t>acfm</t>
  </si>
  <si>
    <t>hr/yr</t>
  </si>
  <si>
    <t>Ash Loadout to Truck</t>
  </si>
  <si>
    <t xml:space="preserve">U = mean wind speed = 5.4 mph in Fairbanks, per National Climactic Data Center (http://lwf.ncdc.noaa.gov/oa/climate/online/ccd/avgwind.html) </t>
  </si>
  <si>
    <t>Ash content of coal = 8.5% per Usibelli Coal Mine website</t>
  </si>
  <si>
    <t>Ash loadout emissions, tons/yr = (emission factor, lb/ton) x (ash loading, ton/yr) / (2,000 lb/ton)</t>
  </si>
  <si>
    <t>AP-42 Table 2.3-1</t>
  </si>
  <si>
    <t>AP-42 Table 2.3-2</t>
  </si>
  <si>
    <t>weight %</t>
  </si>
  <si>
    <t>lb/MMBtu</t>
  </si>
  <si>
    <r>
      <t>Diesel</t>
    </r>
    <r>
      <rPr>
        <vertAlign val="superscript"/>
        <sz val="11"/>
        <rFont val="Arial"/>
        <family val="2"/>
      </rPr>
      <t>3</t>
    </r>
  </si>
  <si>
    <r>
      <t>tpy</t>
    </r>
    <r>
      <rPr>
        <vertAlign val="superscript"/>
        <sz val="11"/>
        <rFont val="Arial"/>
        <family val="2"/>
      </rPr>
      <t>5</t>
    </r>
  </si>
  <si>
    <t>Alaska Center for Energy and Power Generator Engine</t>
  </si>
  <si>
    <t>TBD</t>
  </si>
  <si>
    <t>g/lb</t>
  </si>
  <si>
    <t>AP-42 Tables 1.3-2, 1.3-7</t>
  </si>
  <si>
    <t>Peaking/Backup Generator (DEG) Engine</t>
  </si>
  <si>
    <t>Fuel Type</t>
  </si>
  <si>
    <r>
      <t>NO</t>
    </r>
    <r>
      <rPr>
        <b/>
        <vertAlign val="subscript"/>
        <sz val="11"/>
        <rFont val="Arial"/>
        <family val="2"/>
      </rPr>
      <t>X</t>
    </r>
    <r>
      <rPr>
        <b/>
        <sz val="11"/>
        <rFont val="Arial"/>
        <family val="2"/>
      </rPr>
      <t xml:space="preserve"> Emission Factor</t>
    </r>
  </si>
  <si>
    <t>Maximum Rating/Capacity</t>
  </si>
  <si>
    <r>
      <t>Allowable Annual Operation</t>
    </r>
    <r>
      <rPr>
        <b/>
        <vertAlign val="superscript"/>
        <sz val="11"/>
        <rFont val="Arial"/>
        <family val="2"/>
      </rPr>
      <t>1</t>
    </r>
  </si>
  <si>
    <r>
      <t>Potential NO</t>
    </r>
    <r>
      <rPr>
        <b/>
        <vertAlign val="subscript"/>
        <sz val="11"/>
        <rFont val="Arial"/>
        <family val="2"/>
      </rPr>
      <t>X</t>
    </r>
    <r>
      <rPr>
        <b/>
        <sz val="11"/>
        <rFont val="Arial"/>
        <family val="2"/>
      </rPr>
      <t xml:space="preserve"> Emissions</t>
    </r>
    <r>
      <rPr>
        <b/>
        <vertAlign val="superscript"/>
        <sz val="11"/>
        <rFont val="Arial"/>
        <family val="2"/>
      </rPr>
      <t>2</t>
    </r>
  </si>
  <si>
    <r>
      <t>PM</t>
    </r>
    <r>
      <rPr>
        <b/>
        <vertAlign val="subscript"/>
        <sz val="11"/>
        <rFont val="Arial"/>
        <family val="2"/>
      </rPr>
      <t>2.5</t>
    </r>
    <r>
      <rPr>
        <b/>
        <sz val="11"/>
        <rFont val="Arial"/>
        <family val="2"/>
      </rPr>
      <t xml:space="preserve"> Emission Factor</t>
    </r>
  </si>
  <si>
    <r>
      <t>Potential PM</t>
    </r>
    <r>
      <rPr>
        <b/>
        <vertAlign val="subscript"/>
        <sz val="11"/>
        <rFont val="Arial"/>
        <family val="2"/>
      </rPr>
      <t xml:space="preserve">2.5 </t>
    </r>
    <r>
      <rPr>
        <b/>
        <sz val="11"/>
        <rFont val="Arial"/>
        <family val="2"/>
      </rPr>
      <t>Emissions</t>
    </r>
    <r>
      <rPr>
        <b/>
        <vertAlign val="superscript"/>
        <sz val="11"/>
        <rFont val="Arial"/>
        <family val="2"/>
      </rPr>
      <t>2</t>
    </r>
  </si>
  <si>
    <r>
      <t>Potential SO</t>
    </r>
    <r>
      <rPr>
        <b/>
        <vertAlign val="subscript"/>
        <sz val="11"/>
        <rFont val="Arial"/>
        <family val="2"/>
      </rPr>
      <t xml:space="preserve">2 </t>
    </r>
    <r>
      <rPr>
        <b/>
        <sz val="11"/>
        <rFont val="Arial"/>
        <family val="2"/>
      </rPr>
      <t>Emissions</t>
    </r>
    <r>
      <rPr>
        <b/>
        <vertAlign val="superscript"/>
        <sz val="11"/>
        <rFont val="Arial"/>
        <family val="2"/>
      </rPr>
      <t>2</t>
    </r>
  </si>
  <si>
    <r>
      <t>SO</t>
    </r>
    <r>
      <rPr>
        <b/>
        <vertAlign val="subscript"/>
        <sz val="11"/>
        <rFont val="Arial"/>
        <family val="2"/>
      </rPr>
      <t>2</t>
    </r>
    <r>
      <rPr>
        <b/>
        <sz val="11"/>
        <rFont val="Arial"/>
        <family val="2"/>
      </rPr>
      <t xml:space="preserve"> Emission Factor</t>
    </r>
  </si>
  <si>
    <t>University of Alaska Fairbanks Campus</t>
  </si>
  <si>
    <t>AQ0316MSS02, Cond.12.3b</t>
  </si>
  <si>
    <t>Duel - Diesel and NG</t>
  </si>
  <si>
    <r>
      <t>Diesel</t>
    </r>
    <r>
      <rPr>
        <vertAlign val="superscript"/>
        <sz val="11"/>
        <rFont val="Arial"/>
        <family val="2"/>
      </rPr>
      <t>1</t>
    </r>
  </si>
  <si>
    <t xml:space="preserve"> </t>
  </si>
  <si>
    <t>Maximum Operation</t>
  </si>
  <si>
    <t>Coal/Woody Biomass</t>
  </si>
  <si>
    <t>Sand Handling System</t>
  </si>
  <si>
    <t>Ash Handling System</t>
  </si>
  <si>
    <t>Ash Handling System Vacuum</t>
  </si>
  <si>
    <t>Efficiency</t>
  </si>
  <si>
    <t>lb/MMBtu heat input</t>
  </si>
  <si>
    <t>Technology</t>
  </si>
  <si>
    <t>Control</t>
  </si>
  <si>
    <r>
      <t>MMBtu/yr</t>
    </r>
    <r>
      <rPr>
        <vertAlign val="superscript"/>
        <sz val="11"/>
        <rFont val="Arial"/>
        <family val="2"/>
      </rPr>
      <t>2</t>
    </r>
  </si>
  <si>
    <t>Dust Collector</t>
  </si>
  <si>
    <t>Short Term</t>
  </si>
  <si>
    <t>g/MMBtu</t>
  </si>
  <si>
    <t>g/hp-hr</t>
  </si>
  <si>
    <r>
      <t>SO</t>
    </r>
    <r>
      <rPr>
        <b/>
        <vertAlign val="subscript"/>
        <sz val="11"/>
        <rFont val="Arial"/>
        <family val="2"/>
      </rPr>
      <t>2</t>
    </r>
    <r>
      <rPr>
        <b/>
        <sz val="11"/>
        <rFont val="Arial"/>
        <family val="2"/>
      </rPr>
      <t xml:space="preserve"> Emissions</t>
    </r>
  </si>
  <si>
    <r>
      <t>NO</t>
    </r>
    <r>
      <rPr>
        <b/>
        <vertAlign val="subscript"/>
        <sz val="11"/>
        <rFont val="Arial"/>
        <family val="2"/>
      </rPr>
      <t>X</t>
    </r>
    <r>
      <rPr>
        <b/>
        <sz val="11"/>
        <rFont val="Arial"/>
        <family val="2"/>
      </rPr>
      <t xml:space="preserve"> Emissions</t>
    </r>
  </si>
  <si>
    <r>
      <t>PM</t>
    </r>
    <r>
      <rPr>
        <b/>
        <vertAlign val="subscript"/>
        <sz val="11"/>
        <rFont val="Arial"/>
        <family val="2"/>
      </rPr>
      <t>2.5</t>
    </r>
    <r>
      <rPr>
        <b/>
        <sz val="11"/>
        <rFont val="Arial"/>
        <family val="2"/>
      </rPr>
      <t xml:space="preserve"> Emissions</t>
    </r>
  </si>
  <si>
    <t>Design Specifications</t>
  </si>
  <si>
    <t>gr/dcf</t>
  </si>
  <si>
    <t>gr/lb</t>
  </si>
  <si>
    <t>AP-42 Table 13.2.4</t>
  </si>
  <si>
    <t>M = ash moisture content = 4.8 percent (AP-42, page 13.2.4-4)</t>
  </si>
  <si>
    <t>Operations, ash tons/hr = (Σ coal capacity, ton/hr) x (0.085 ash content) + (captured sulfur, captured oxygen, and limestone inerts) = 3 ton/hr per design engineers</t>
  </si>
  <si>
    <r>
      <t>hr/yr</t>
    </r>
    <r>
      <rPr>
        <vertAlign val="superscript"/>
        <sz val="11"/>
        <rFont val="Arial"/>
        <family val="2"/>
      </rPr>
      <t>2</t>
    </r>
  </si>
  <si>
    <r>
      <t>hr/yr</t>
    </r>
    <r>
      <rPr>
        <vertAlign val="superscript"/>
        <sz val="11"/>
        <rFont val="Arial"/>
        <family val="2"/>
      </rPr>
      <t>8</t>
    </r>
  </si>
  <si>
    <r>
      <t>tpy</t>
    </r>
    <r>
      <rPr>
        <vertAlign val="superscript"/>
        <sz val="11"/>
        <rFont val="Arial"/>
        <family val="2"/>
      </rPr>
      <t>3</t>
    </r>
  </si>
  <si>
    <r>
      <t>hr/yr</t>
    </r>
    <r>
      <rPr>
        <vertAlign val="superscript"/>
        <sz val="11"/>
        <rFont val="Arial"/>
        <family val="2"/>
      </rPr>
      <t>9</t>
    </r>
  </si>
  <si>
    <t xml:space="preserve">  </t>
  </si>
  <si>
    <t>ULSD</t>
  </si>
  <si>
    <t>Baghouse</t>
  </si>
  <si>
    <t>Replacement Dual-fired CFB Boiler</t>
  </si>
  <si>
    <t>Limestone Handling System</t>
  </si>
  <si>
    <t>Dry Sorbent Handling Vent Filter Exhaust</t>
  </si>
  <si>
    <t>40 CFR 60.44b(l)(1)</t>
  </si>
  <si>
    <t>40 CFR 60.42b(k)(1)</t>
  </si>
  <si>
    <t>AK state SIP  PM emission std.</t>
  </si>
  <si>
    <t>Tier 3, Turbocharger and aftercooler</t>
  </si>
  <si>
    <t>Caterpillar C-15 (Tier 3)</t>
  </si>
  <si>
    <t>Standard Combustor when firing Diesel</t>
  </si>
  <si>
    <r>
      <t>weight %</t>
    </r>
    <r>
      <rPr>
        <vertAlign val="superscript"/>
        <sz val="11"/>
        <rFont val="Arial"/>
        <family val="2"/>
      </rPr>
      <t>7</t>
    </r>
  </si>
  <si>
    <r>
      <t>tpy</t>
    </r>
    <r>
      <rPr>
        <vertAlign val="superscript"/>
        <sz val="11"/>
        <rFont val="Arial"/>
        <family val="2"/>
      </rPr>
      <t>6</t>
    </r>
  </si>
  <si>
    <r>
      <t>ton/yr</t>
    </r>
    <r>
      <rPr>
        <vertAlign val="superscript"/>
        <sz val="11"/>
        <rFont val="Arial"/>
        <family val="2"/>
      </rPr>
      <t>6</t>
    </r>
  </si>
  <si>
    <t>Tier 3</t>
  </si>
  <si>
    <t>Positive Crankcase Ventilation</t>
  </si>
  <si>
    <t>June 2012</t>
  </si>
  <si>
    <t>Multi-chamber (4 primary burners and 2 flue duct burners)</t>
  </si>
  <si>
    <t>Potential Emissions (tpy)</t>
  </si>
  <si>
    <r>
      <t>NO</t>
    </r>
    <r>
      <rPr>
        <b/>
        <vertAlign val="subscript"/>
        <sz val="11"/>
        <rFont val="Arial"/>
        <family val="2"/>
      </rPr>
      <t>X</t>
    </r>
  </si>
  <si>
    <r>
      <t>PM</t>
    </r>
    <r>
      <rPr>
        <b/>
        <vertAlign val="subscript"/>
        <sz val="11"/>
        <rFont val="Arial"/>
        <family val="2"/>
      </rPr>
      <t>2.5</t>
    </r>
  </si>
  <si>
    <r>
      <t>SO</t>
    </r>
    <r>
      <rPr>
        <b/>
        <vertAlign val="subscript"/>
        <sz val="11"/>
        <rFont val="Arial"/>
        <family val="2"/>
      </rPr>
      <t>2</t>
    </r>
  </si>
  <si>
    <r>
      <t>MMBtu/hr</t>
    </r>
    <r>
      <rPr>
        <vertAlign val="superscript"/>
        <sz val="11"/>
        <rFont val="Arial"/>
        <family val="2"/>
      </rPr>
      <t>8</t>
    </r>
  </si>
  <si>
    <r>
      <t>ULSD</t>
    </r>
    <r>
      <rPr>
        <vertAlign val="superscript"/>
        <sz val="11"/>
        <rFont val="Arial"/>
        <family val="2"/>
      </rPr>
      <t>7</t>
    </r>
  </si>
  <si>
    <r>
      <t>lb/hr</t>
    </r>
    <r>
      <rPr>
        <vertAlign val="superscript"/>
        <sz val="11"/>
        <rFont val="Arial"/>
        <family val="2"/>
      </rPr>
      <t>5</t>
    </r>
  </si>
  <si>
    <t>Coal Silo No. 1 with bin vent</t>
  </si>
  <si>
    <t>Coal Silo No. 2 with bin vent</t>
  </si>
  <si>
    <t>Coal Silo No. 3 with bin vent</t>
  </si>
  <si>
    <t>MMBtu/yr</t>
  </si>
  <si>
    <r>
      <rPr>
        <vertAlign val="superscript"/>
        <sz val="11"/>
        <rFont val="Arial"/>
        <family val="2"/>
      </rPr>
      <t>1</t>
    </r>
    <r>
      <rPr>
        <sz val="11"/>
        <rFont val="Arial"/>
        <family val="2"/>
      </rPr>
      <t xml:space="preserve"> Maximum annual operation for all units based on full-time operation, or permitted operating limits, where applicable.</t>
    </r>
  </si>
  <si>
    <t>Mass Conversion</t>
  </si>
  <si>
    <r>
      <rPr>
        <vertAlign val="superscript"/>
        <sz val="11"/>
        <rFont val="Arial"/>
        <family val="2"/>
      </rPr>
      <t xml:space="preserve">6 </t>
    </r>
    <r>
      <rPr>
        <sz val="11"/>
        <rFont val="Arial"/>
        <family val="2"/>
      </rPr>
      <t>EU ID 9A is limited by Condition 8 of Permit No. AQ0316MSS04 to 109 tons of waste combustion per rolling 12-month.</t>
    </r>
  </si>
  <si>
    <t>Fuel Sulfur Content</t>
  </si>
  <si>
    <t>Enclosure</t>
  </si>
  <si>
    <r>
      <rPr>
        <vertAlign val="superscript"/>
        <sz val="11"/>
        <rFont val="Arial"/>
        <family val="2"/>
      </rPr>
      <t>3</t>
    </r>
    <r>
      <rPr>
        <sz val="11"/>
        <rFont val="Arial"/>
        <family val="2"/>
      </rPr>
      <t xml:space="preserve"> EU ID 8 is also authorized to combust coal slurry fuel.  The unit has not operated on this fuel and will not do so in the future.  Emission estimates for this unit are based on diesel fuel combustion.</t>
    </r>
  </si>
  <si>
    <r>
      <t>lb/ton</t>
    </r>
    <r>
      <rPr>
        <vertAlign val="superscript"/>
        <sz val="11"/>
        <rFont val="Arial"/>
        <family val="2"/>
      </rPr>
      <t>10</t>
    </r>
  </si>
  <si>
    <r>
      <rPr>
        <vertAlign val="superscript"/>
        <sz val="11"/>
        <rFont val="Arial"/>
        <family val="2"/>
      </rPr>
      <t>10</t>
    </r>
    <r>
      <rPr>
        <sz val="11"/>
        <rFont val="Arial"/>
        <family val="2"/>
      </rPr>
      <t xml:space="preserve"> Ash loadout emission calculations:</t>
    </r>
  </si>
  <si>
    <t>Low NOx Burners
+
10 Percent Capacity Factor</t>
  </si>
  <si>
    <t>Standard Combustor when firing Diesel
+
10 Percent Capacity Factor</t>
  </si>
  <si>
    <r>
      <t>tpy</t>
    </r>
    <r>
      <rPr>
        <vertAlign val="superscript"/>
        <sz val="11"/>
        <rFont val="Arial"/>
        <family val="2"/>
      </rPr>
      <t>4</t>
    </r>
  </si>
  <si>
    <r>
      <t>gal/yr</t>
    </r>
    <r>
      <rPr>
        <vertAlign val="superscript"/>
        <sz val="11"/>
        <rFont val="Arial"/>
        <family val="2"/>
      </rPr>
      <t>5</t>
    </r>
  </si>
  <si>
    <r>
      <t>galyr</t>
    </r>
    <r>
      <rPr>
        <vertAlign val="superscript"/>
        <sz val="11"/>
        <rFont val="Arial"/>
        <family val="2"/>
      </rPr>
      <t>5</t>
    </r>
  </si>
  <si>
    <r>
      <t>Table 1-3. Potential to Emit Calculations for BACT Basis of Worst-Case Emissions - NO</t>
    </r>
    <r>
      <rPr>
        <b/>
        <vertAlign val="subscript"/>
        <sz val="11"/>
        <rFont val="Arial"/>
        <family val="2"/>
      </rPr>
      <t xml:space="preserve">X </t>
    </r>
    <r>
      <rPr>
        <b/>
        <sz val="11"/>
        <rFont val="Arial"/>
        <family val="2"/>
      </rPr>
      <t>Emissions</t>
    </r>
  </si>
  <si>
    <r>
      <t>Table 1-5. Potential to Emit Calculations for BACT Basis of Worst-Case Emissions - SO</t>
    </r>
    <r>
      <rPr>
        <b/>
        <vertAlign val="subscript"/>
        <sz val="11"/>
        <rFont val="Arial"/>
        <family val="2"/>
      </rPr>
      <t>2</t>
    </r>
    <r>
      <rPr>
        <b/>
        <sz val="11"/>
        <rFont val="Arial"/>
        <family val="2"/>
      </rPr>
      <t xml:space="preserve"> Emissions</t>
    </r>
  </si>
  <si>
    <r>
      <t>Table 1-4. Potential to Emit Calculations for BACT Basis of Worst-Case Emissions - PM</t>
    </r>
    <r>
      <rPr>
        <b/>
        <vertAlign val="subscript"/>
        <sz val="11"/>
        <rFont val="Arial"/>
        <family val="2"/>
      </rPr>
      <t>2.5</t>
    </r>
    <r>
      <rPr>
        <b/>
        <sz val="11"/>
        <rFont val="Arial"/>
        <family val="2"/>
      </rPr>
      <t xml:space="preserve"> Emissions</t>
    </r>
  </si>
  <si>
    <t>Table 1-2.  Potential to Emit Inventory for BACT Basis of Worst-Case Emissions - Significant Emission Units</t>
  </si>
  <si>
    <r>
      <t>MMBtu/yr</t>
    </r>
    <r>
      <rPr>
        <vertAlign val="superscript"/>
        <sz val="11"/>
        <rFont val="Arial"/>
        <family val="2"/>
      </rPr>
      <t>4</t>
    </r>
  </si>
  <si>
    <r>
      <rPr>
        <vertAlign val="superscript"/>
        <sz val="11"/>
        <rFont val="Arial"/>
        <family val="2"/>
      </rPr>
      <t>2</t>
    </r>
    <r>
      <rPr>
        <sz val="11"/>
        <rFont val="Arial"/>
        <family val="2"/>
      </rPr>
      <t xml:space="preserve"> EU ID 4 has a 10 percent capacity factor limit and a 158,468 MMBtu/yr limit per Condition 17 of Permit No. AQ0316TVP02, Rev 1.</t>
    </r>
  </si>
  <si>
    <r>
      <t>Total</t>
    </r>
    <r>
      <rPr>
        <b/>
        <vertAlign val="superscript"/>
        <sz val="11"/>
        <rFont val="Arial"/>
        <family val="2"/>
      </rPr>
      <t>11</t>
    </r>
  </si>
  <si>
    <t>gal/yr</t>
  </si>
  <si>
    <t>BiRD  RM 100U3 Boiler No. 1</t>
  </si>
  <si>
    <t>BiRD  RM 100U3 Boiler No. 2</t>
  </si>
  <si>
    <t>BiRD  RM 100U3 Boiler No. 3</t>
  </si>
  <si>
    <r>
      <t xml:space="preserve">1 </t>
    </r>
    <r>
      <rPr>
        <sz val="11"/>
        <rFont val="Arial"/>
        <family val="2"/>
      </rPr>
      <t>Although this boiler is permitted as a dual fuel-fired boiler, the unit is configured to fire only diesel.  A BACT analysis will only be completed for diesel firing for this unit.</t>
    </r>
  </si>
  <si>
    <r>
      <rPr>
        <vertAlign val="superscript"/>
        <sz val="11"/>
        <rFont val="Arial"/>
        <family val="2"/>
      </rPr>
      <t>4</t>
    </r>
    <r>
      <rPr>
        <sz val="11"/>
        <rFont val="Arial"/>
        <family val="2"/>
      </rPr>
      <t xml:space="preserve"> EU ID 9A fuel is piped with EU IDs 19 through 21.  Because EU IDs 19 through 21 are required to use ULSD, EU ID 9A is also firing ULSD.</t>
    </r>
  </si>
  <si>
    <r>
      <rPr>
        <vertAlign val="superscript"/>
        <sz val="11"/>
        <rFont val="Arial"/>
        <family val="2"/>
      </rPr>
      <t>5</t>
    </r>
    <r>
      <rPr>
        <sz val="11"/>
        <rFont val="Arial"/>
        <family val="2"/>
      </rPr>
      <t xml:space="preserve"> The rating of EU ID 9A is listed incorrectly in the existing Title V permit.  The correct rating provided here is from the Title V permit renewal application.</t>
    </r>
  </si>
  <si>
    <r>
      <rPr>
        <vertAlign val="superscript"/>
        <sz val="11"/>
        <rFont val="Arial"/>
        <family val="2"/>
      </rPr>
      <t>6</t>
    </r>
    <r>
      <rPr>
        <sz val="11"/>
        <rFont val="Arial"/>
        <family val="2"/>
      </rPr>
      <t xml:space="preserve"> EU ID 9A is limited by Condition 8 of Permit No. AQ0316MSS04 to 109 tons of waste combustion per rolling 12-month period.</t>
    </r>
  </si>
  <si>
    <r>
      <rPr>
        <vertAlign val="superscript"/>
        <sz val="11"/>
        <rFont val="Arial"/>
        <family val="2"/>
      </rPr>
      <t>7</t>
    </r>
    <r>
      <rPr>
        <sz val="11"/>
        <rFont val="Arial"/>
        <family val="2"/>
      </rPr>
      <t xml:space="preserve"> EU IDs 19 through 21 are limited to operating on ULSD per Condition 9 of Permit No. AQ316MSS04.</t>
    </r>
  </si>
  <si>
    <r>
      <rPr>
        <vertAlign val="superscript"/>
        <sz val="11"/>
        <rFont val="Arial"/>
        <family val="2"/>
      </rPr>
      <t>11</t>
    </r>
    <r>
      <rPr>
        <sz val="11"/>
        <rFont val="Arial"/>
        <family val="2"/>
      </rPr>
      <t xml:space="preserve"> The total emissions for NO</t>
    </r>
    <r>
      <rPr>
        <vertAlign val="subscript"/>
        <sz val="11"/>
        <rFont val="Arial"/>
        <family val="2"/>
      </rPr>
      <t>X</t>
    </r>
    <r>
      <rPr>
        <sz val="11"/>
        <rFont val="Arial"/>
        <family val="2"/>
      </rPr>
      <t xml:space="preserve"> and SO</t>
    </r>
    <r>
      <rPr>
        <vertAlign val="subscript"/>
        <sz val="11"/>
        <rFont val="Arial"/>
        <family val="2"/>
      </rPr>
      <t>2</t>
    </r>
    <r>
      <rPr>
        <sz val="11"/>
        <rFont val="Arial"/>
        <family val="2"/>
      </rPr>
      <t xml:space="preserve">  are restricted for EU IDs 4 and 8 to 40 tpy for each pollutant because the units share these limits for both pollutants.  Emission for PM</t>
    </r>
    <r>
      <rPr>
        <vertAlign val="subscript"/>
        <sz val="11"/>
        <rFont val="Arial"/>
        <family val="2"/>
      </rPr>
      <t>2.5</t>
    </r>
    <r>
      <rPr>
        <sz val="11"/>
        <rFont val="Arial"/>
        <family val="2"/>
      </rPr>
      <t xml:space="preserve"> is the sum of all emissions from all units.</t>
    </r>
  </si>
  <si>
    <r>
      <t>hr/yr</t>
    </r>
    <r>
      <rPr>
        <vertAlign val="superscript"/>
        <sz val="11"/>
        <rFont val="Arial"/>
        <family val="2"/>
      </rPr>
      <t>10</t>
    </r>
  </si>
  <si>
    <r>
      <rPr>
        <vertAlign val="superscript"/>
        <sz val="11"/>
        <rFont val="Arial"/>
        <family val="2"/>
      </rPr>
      <t>3</t>
    </r>
    <r>
      <rPr>
        <sz val="11"/>
        <rFont val="Arial"/>
        <family val="2"/>
      </rPr>
      <t xml:space="preserve"> Although this boiler is permitted as a dual fuel-fired boiler, the unit is configured to fire only diesel. The potential NO</t>
    </r>
    <r>
      <rPr>
        <vertAlign val="subscript"/>
        <sz val="11"/>
        <rFont val="Arial"/>
        <family val="2"/>
      </rPr>
      <t>X</t>
    </r>
    <r>
      <rPr>
        <sz val="11"/>
        <rFont val="Arial"/>
        <family val="2"/>
      </rPr>
      <t xml:space="preserve"> emissions for EU ID 3 are based on diesel fuel combustion.</t>
    </r>
  </si>
  <si>
    <r>
      <rPr>
        <vertAlign val="superscript"/>
        <sz val="11"/>
        <rFont val="Arial"/>
        <family val="2"/>
      </rPr>
      <t>4</t>
    </r>
    <r>
      <rPr>
        <sz val="11"/>
        <rFont val="Arial"/>
        <family val="2"/>
      </rPr>
      <t xml:space="preserve"> Maximum annual operation of EU ID 4 while firing diesel or gas is  restricted by a 10 percent capacity factor limit on the annual the heat input, and by a limit that restrict emissions to less the 40 tpy for EU ID and EU ID 8, combined per Condition 16 of Operating Permit AQ0316TVP02.</t>
    </r>
  </si>
  <si>
    <r>
      <t>7</t>
    </r>
    <r>
      <rPr>
        <sz val="11"/>
        <rFont val="Arial"/>
        <family val="2"/>
      </rPr>
      <t xml:space="preserve"> EU IDs 19 through 21 are limited to operating on ULSD per Condition 9 of Permit No. AQ316MSS04.</t>
    </r>
  </si>
  <si>
    <r>
      <rPr>
        <vertAlign val="superscript"/>
        <sz val="11"/>
        <rFont val="Arial"/>
        <family val="2"/>
      </rPr>
      <t xml:space="preserve">8 </t>
    </r>
    <r>
      <rPr>
        <sz val="11"/>
        <rFont val="Arial"/>
        <family val="2"/>
      </rPr>
      <t>EU IDs 19 through 21 are limited to operate no more than 19,650 hr/yr, combined, per Condition 10 of Permit No. AQ0316MSS04.</t>
    </r>
  </si>
  <si>
    <r>
      <rPr>
        <vertAlign val="superscript"/>
        <sz val="11"/>
        <rFont val="Arial"/>
        <family val="2"/>
      </rPr>
      <t>9</t>
    </r>
    <r>
      <rPr>
        <sz val="11"/>
        <rFont val="Arial"/>
        <family val="2"/>
      </rPr>
      <t xml:space="preserve"> EU ID 27 limited to operating no more than 4,380 hr/yr per Condition 4 of Permit No. AQ0316MSS03.</t>
    </r>
  </si>
  <si>
    <r>
      <t xml:space="preserve">9 </t>
    </r>
    <r>
      <rPr>
        <sz val="11"/>
        <rFont val="Arial"/>
        <family val="2"/>
      </rPr>
      <t>EU IDs 19 through 21 are limited to operating no more than 19,650 hr/yr, combined, per Condition 10 of Permit No. AQ0316MSS04.</t>
    </r>
  </si>
  <si>
    <r>
      <rPr>
        <vertAlign val="superscript"/>
        <sz val="11"/>
        <rFont val="Arial"/>
        <family val="2"/>
      </rPr>
      <t>4</t>
    </r>
    <r>
      <rPr>
        <sz val="11"/>
        <rFont val="Arial"/>
        <family val="2"/>
      </rPr>
      <t xml:space="preserve"> Maximum annual operation of EU ID 4 while firing diesel or gas is limited by the 10 percent annual capacity factor which restricts the heat input.</t>
    </r>
  </si>
  <si>
    <r>
      <rPr>
        <vertAlign val="superscript"/>
        <sz val="11"/>
        <rFont val="Arial"/>
        <family val="2"/>
      </rPr>
      <t>5</t>
    </r>
    <r>
      <rPr>
        <sz val="11"/>
        <rFont val="Arial"/>
        <family val="2"/>
      </rPr>
      <t xml:space="preserve"> The highest potential PM</t>
    </r>
    <r>
      <rPr>
        <vertAlign val="subscript"/>
        <sz val="11"/>
        <rFont val="Arial"/>
        <family val="2"/>
      </rPr>
      <t>2.5</t>
    </r>
    <r>
      <rPr>
        <sz val="11"/>
        <rFont val="Arial"/>
        <family val="2"/>
      </rPr>
      <t xml:space="preserve"> emissions for EU ID 8 is shown using the NO</t>
    </r>
    <r>
      <rPr>
        <vertAlign val="subscript"/>
        <sz val="11"/>
        <rFont val="Arial"/>
        <family val="2"/>
      </rPr>
      <t>X</t>
    </r>
    <r>
      <rPr>
        <sz val="11"/>
        <rFont val="Arial"/>
        <family val="2"/>
      </rPr>
      <t>-driven fuel restriction.</t>
    </r>
  </si>
  <si>
    <t>Operations, ash tons/yr = (3 ton/hr) * (8,760 hr/yr)</t>
  </si>
  <si>
    <t>Ash loadout emissions based on maximum boiler total coal consumption capacity</t>
  </si>
  <si>
    <r>
      <rPr>
        <vertAlign val="superscript"/>
        <sz val="11"/>
        <rFont val="Arial"/>
        <family val="2"/>
      </rPr>
      <t>3</t>
    </r>
    <r>
      <rPr>
        <sz val="11"/>
        <rFont val="Arial"/>
        <family val="2"/>
      </rPr>
      <t xml:space="preserve"> Although this boiler is permitted as a dual fuel-fired boiler, the unit is configured to fire only diesel. The potential SO</t>
    </r>
    <r>
      <rPr>
        <vertAlign val="subscript"/>
        <sz val="11"/>
        <rFont val="Arial"/>
        <family val="2"/>
      </rPr>
      <t>2</t>
    </r>
    <r>
      <rPr>
        <sz val="11"/>
        <rFont val="Arial"/>
        <family val="2"/>
      </rPr>
      <t xml:space="preserve"> emissions for EU ID 3 are based on diesel fuel combustion.</t>
    </r>
  </si>
  <si>
    <r>
      <rPr>
        <vertAlign val="superscript"/>
        <sz val="11"/>
        <rFont val="Arial"/>
        <family val="2"/>
      </rPr>
      <t>3</t>
    </r>
    <r>
      <rPr>
        <sz val="11"/>
        <rFont val="Arial"/>
        <family val="2"/>
      </rPr>
      <t xml:space="preserve"> Although this boiler is permitted as a dual fuel-fired boiler, the unit is configured to fire only diesel. The potential PM</t>
    </r>
    <r>
      <rPr>
        <vertAlign val="subscript"/>
        <sz val="11"/>
        <rFont val="Arial"/>
        <family val="2"/>
      </rPr>
      <t>2.5</t>
    </r>
    <r>
      <rPr>
        <sz val="11"/>
        <rFont val="Arial"/>
        <family val="2"/>
      </rPr>
      <t xml:space="preserve"> emissions for EU ID 3 are based on diesel fuel combustion.</t>
    </r>
  </si>
  <si>
    <r>
      <rPr>
        <vertAlign val="superscript"/>
        <sz val="11"/>
        <rFont val="Arial"/>
        <family val="2"/>
      </rPr>
      <t>5</t>
    </r>
    <r>
      <rPr>
        <sz val="11"/>
        <rFont val="Arial"/>
        <family val="2"/>
      </rPr>
      <t xml:space="preserve"> Maximum annual operation of EU ID 8 is limited to 40 tpy of SO</t>
    </r>
    <r>
      <rPr>
        <vertAlign val="subscript"/>
        <sz val="11"/>
        <rFont val="Arial"/>
        <family val="2"/>
      </rPr>
      <t>2</t>
    </r>
    <r>
      <rPr>
        <sz val="11"/>
        <rFont val="Arial"/>
        <family val="2"/>
      </rPr>
      <t>, a limit shared with EU ID 4.  EU ID 8 can consume no more than 1,010,529 gal/year and be in compliance with the 40 tpy limit. (40 ton/yr * 2,000 lb/ton /(8.09e-3 lb/hp-hr * 0.5%S) * 7,000 Btu/hp-hr * 1 MMBtu/10</t>
    </r>
    <r>
      <rPr>
        <vertAlign val="superscript"/>
        <sz val="11"/>
        <rFont val="Arial"/>
        <family val="2"/>
      </rPr>
      <t>6</t>
    </r>
    <r>
      <rPr>
        <vertAlign val="subscript"/>
        <sz val="11"/>
        <rFont val="Arial"/>
        <family val="2"/>
      </rPr>
      <t xml:space="preserve"> </t>
    </r>
    <r>
      <rPr>
        <sz val="11"/>
        <rFont val="Arial"/>
        <family val="2"/>
      </rPr>
      <t>Btu / 0.137 MMBtu/gal = 1,010,529 gal/yr)</t>
    </r>
  </si>
  <si>
    <r>
      <rPr>
        <vertAlign val="superscript"/>
        <sz val="11"/>
        <rFont val="Arial"/>
        <family val="2"/>
      </rPr>
      <t xml:space="preserve">4 </t>
    </r>
    <r>
      <rPr>
        <sz val="11"/>
        <rFont val="Arial"/>
        <family val="2"/>
      </rPr>
      <t>Maximum annual operation of EU ID 4 while firing diesel is limited to 40 tpy of SO</t>
    </r>
    <r>
      <rPr>
        <vertAlign val="subscript"/>
        <sz val="11"/>
        <rFont val="Arial"/>
        <family val="2"/>
      </rPr>
      <t>2</t>
    </r>
    <r>
      <rPr>
        <sz val="11"/>
        <rFont val="Arial"/>
        <family val="2"/>
      </rPr>
      <t>, a shared limit with EU ID 8.   EU ID 4 can consume no more than 154,366 MMBtu/year and be in compliance with the 40 tpy limit. (40 ton/yr * 2,000 lb/ton /(0.52 lb/MMBtu) = 154,366 MMBtu/yr.  Firing on natural gas is restricted by a 10 percent annual capacity factor.</t>
    </r>
  </si>
  <si>
    <r>
      <rPr>
        <vertAlign val="superscript"/>
        <sz val="11"/>
        <rFont val="Arial"/>
        <family val="2"/>
      </rPr>
      <t xml:space="preserve">6 </t>
    </r>
    <r>
      <rPr>
        <sz val="11"/>
        <rFont val="Arial"/>
        <family val="2"/>
      </rPr>
      <t>EU ID 9A is limited by Condition 8 of Permit No. AQ0316MSS04 to 109 tons of waste combustion per rolling 12-month period.</t>
    </r>
  </si>
  <si>
    <r>
      <rPr>
        <vertAlign val="superscript"/>
        <sz val="11"/>
        <rFont val="Arial"/>
        <family val="2"/>
      </rPr>
      <t xml:space="preserve">8 </t>
    </r>
    <r>
      <rPr>
        <sz val="11"/>
        <rFont val="Arial"/>
        <family val="2"/>
      </rPr>
      <t>EU IDs 19 through 21 are limited to operating no more than 19,650 hr/yr, combined, per Condition 10 of Permit No. AQ0316MSS04.</t>
    </r>
  </si>
  <si>
    <r>
      <t xml:space="preserve">8 </t>
    </r>
    <r>
      <rPr>
        <sz val="11"/>
        <rFont val="Arial"/>
        <family val="2"/>
      </rPr>
      <t>EU IDs 19 through 21 are limited to operating no more than 19,650 hr/yr, combined, per Condition 10 of Permit No. AQ0316MSS04.</t>
    </r>
  </si>
  <si>
    <t>CFB with staged combustion</t>
  </si>
  <si>
    <t>Good Combustion Practices</t>
  </si>
  <si>
    <t>Limited Operation</t>
  </si>
  <si>
    <t>Turbocharger and Aftercooler + Federal Limit + Limited Operating</t>
  </si>
  <si>
    <t>Positive Crankcase Ventilation + Low Ash Fuel + Limited Operation</t>
  </si>
  <si>
    <t>Federal Limit (NSPS Subpart IIII, Tier 3) + Limited Operation</t>
  </si>
  <si>
    <t>Fabric Filter</t>
  </si>
  <si>
    <r>
      <rPr>
        <b/>
        <sz val="11"/>
        <rFont val="Arial"/>
        <family val="2"/>
      </rPr>
      <t>ULSD</t>
    </r>
    <r>
      <rPr>
        <sz val="11"/>
        <rFont val="Arial"/>
        <family val="2"/>
      </rPr>
      <t xml:space="preserve"> + Limited Operation</t>
    </r>
  </si>
  <si>
    <r>
      <t>Proposed BACT Determination</t>
    </r>
    <r>
      <rPr>
        <b/>
        <vertAlign val="superscript"/>
        <sz val="11"/>
        <rFont val="Arial"/>
        <family val="2"/>
      </rPr>
      <t>1</t>
    </r>
  </si>
  <si>
    <t>Large Boiler</t>
  </si>
  <si>
    <t>Mid-sized Boiler</t>
  </si>
  <si>
    <t>Large Engine</t>
  </si>
  <si>
    <t>Small Boiler</t>
  </si>
  <si>
    <t>Small Engine</t>
  </si>
  <si>
    <t>Limestone Injection + Low Sulfur Fuel</t>
  </si>
  <si>
    <t>Medical/Pathological Waste Incinerator</t>
  </si>
  <si>
    <t>Medical/Pathological Waste</t>
  </si>
  <si>
    <t>Limestone Injection, Low sulfur coal</t>
  </si>
  <si>
    <r>
      <t>Medical/Pathological Waste</t>
    </r>
    <r>
      <rPr>
        <vertAlign val="superscript"/>
        <sz val="11"/>
        <rFont val="Arial"/>
        <family val="2"/>
      </rPr>
      <t>4</t>
    </r>
  </si>
  <si>
    <r>
      <t>Emission factor from AP-42, Section 13.2.4 based on empirical equation E = k x 0.0032 x (U/5)</t>
    </r>
    <r>
      <rPr>
        <vertAlign val="superscript"/>
        <sz val="11"/>
        <rFont val="Arial"/>
        <family val="2"/>
      </rPr>
      <t>1.3</t>
    </r>
    <r>
      <rPr>
        <sz val="11"/>
        <rFont val="Arial"/>
        <family val="2"/>
      </rPr>
      <t>/(M/2)</t>
    </r>
    <r>
      <rPr>
        <vertAlign val="superscript"/>
        <sz val="11"/>
        <rFont val="Arial"/>
        <family val="2"/>
      </rPr>
      <t>1.4</t>
    </r>
    <r>
      <rPr>
        <sz val="11"/>
        <rFont val="Arial"/>
        <family val="2"/>
      </rPr>
      <t xml:space="preserve"> lb/ton transferred where:</t>
    </r>
  </si>
  <si>
    <r>
      <t>k for PM</t>
    </r>
    <r>
      <rPr>
        <vertAlign val="subscript"/>
        <sz val="11"/>
        <rFont val="Arial"/>
        <family val="2"/>
      </rPr>
      <t>2.5</t>
    </r>
    <r>
      <rPr>
        <sz val="11"/>
        <rFont val="Arial"/>
        <family val="2"/>
      </rPr>
      <t xml:space="preserve"> =</t>
    </r>
  </si>
  <si>
    <r>
      <t xml:space="preserve">1 </t>
    </r>
    <r>
      <rPr>
        <sz val="11"/>
        <rFont val="Arial"/>
        <family val="2"/>
      </rPr>
      <t xml:space="preserve">Determinations in </t>
    </r>
    <r>
      <rPr>
        <b/>
        <sz val="11"/>
        <rFont val="Arial"/>
        <family val="2"/>
      </rPr>
      <t>bold</t>
    </r>
    <r>
      <rPr>
        <sz val="11"/>
        <rFont val="Arial"/>
        <family val="2"/>
      </rPr>
      <t xml:space="preserve"> are changes to the required controls in the applicable operating permit or minor permit.</t>
    </r>
  </si>
  <si>
    <r>
      <t xml:space="preserve">8 </t>
    </r>
    <r>
      <rPr>
        <sz val="11"/>
        <rFont val="Arial"/>
        <family val="2"/>
      </rPr>
      <t>The nameplates for EU IDs 19 through 21 list the ratings in gross output or do not specify whether the rating is output or input.  A 75 percent efficiency has been assumed for these units to conservatively calculate the heat input rating per the Title V permit renewal application.</t>
    </r>
  </si>
  <si>
    <t>Babcock &amp; Wilcox</t>
  </si>
  <si>
    <t>BiRD - Medical/Pathological Waste Incinerator</t>
  </si>
  <si>
    <r>
      <rPr>
        <vertAlign val="superscript"/>
        <sz val="11"/>
        <rFont val="Arial"/>
        <family val="2"/>
      </rPr>
      <t>10</t>
    </r>
    <r>
      <rPr>
        <sz val="11"/>
        <rFont val="Arial"/>
        <family val="2"/>
      </rPr>
      <t xml:space="preserve"> EU ID 27 is limited to operating no more than 4,380 hr/yr per Condition 4 of Permit No. AQ0316MSS03.</t>
    </r>
  </si>
  <si>
    <t>Fabric Filter + Enclosure</t>
  </si>
  <si>
    <t>Good Combustion Practices + Limited Operation</t>
  </si>
  <si>
    <t>Multiple Chambers + Limited Operation</t>
  </si>
  <si>
    <t>Turbocharging and Intercooler</t>
  </si>
  <si>
    <r>
      <rPr>
        <vertAlign val="superscript"/>
        <sz val="11"/>
        <rFont val="Arial"/>
        <family val="2"/>
      </rPr>
      <t>5</t>
    </r>
    <r>
      <rPr>
        <sz val="11"/>
        <rFont val="Arial"/>
        <family val="2"/>
      </rPr>
      <t xml:space="preserve"> Maximum annual operation of EU ID 8 is restricted by the 40 tpy of NO</t>
    </r>
    <r>
      <rPr>
        <vertAlign val="subscript"/>
        <sz val="11"/>
        <rFont val="Arial"/>
        <family val="2"/>
      </rPr>
      <t>X</t>
    </r>
    <r>
      <rPr>
        <sz val="11"/>
        <rFont val="Arial"/>
        <family val="2"/>
      </rPr>
      <t xml:space="preserve"> emission limit that is shared with EU ID 4.  EU ID 8 can consume no more than 140,105 gal/year of fuel and be in compliance this limit. (40 ton/yr * 2,000 lb/ton/0.571 lb/gal = 140,105 gal/yr)</t>
    </r>
  </si>
  <si>
    <t>Turbocharger and Aftercooler + Limited Operation</t>
  </si>
  <si>
    <t>Table ES-1.  Summary of Proposed BACT Determinations for Equipment at the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</si>
</sst>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000"/>
    <numFmt numFmtId="165" formatCode="0.0"/>
    <numFmt numFmtId="166" formatCode="#,##0.0"/>
    <numFmt numFmtId="167" formatCode="0.0000"/>
    <numFmt numFmtId="168" formatCode="#,##0.000"/>
    <numFmt numFmtId="169" formatCode="0.0E+00"/>
    <numFmt numFmtId="170" formatCode="#,##0.0000"/>
    <numFmt numFmtId="171" formatCode="_(* #,##0_);_(* \(#,##0\);_(* &quot;-&quot;??_);_(@_)"/>
  </numFmts>
  <fonts count="29">
    <font>
      <sz val="10"/>
      <name val="Arial"/>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Times New Roman"/>
      <family val="1"/>
    </font>
    <font>
      <sz val="8"/>
      <name val="Arial"/>
      <family val="2"/>
    </font>
    <font>
      <b/>
      <sz val="12"/>
      <name val="Arial"/>
      <family val="2"/>
    </font>
    <font>
      <sz val="11"/>
      <name val="Arial"/>
      <family val="2"/>
    </font>
    <font>
      <b/>
      <sz val="11"/>
      <name val="Arial"/>
      <family val="2"/>
    </font>
    <font>
      <b/>
      <vertAlign val="subscript"/>
      <sz val="11"/>
      <name val="Arial"/>
      <family val="2"/>
    </font>
    <font>
      <b/>
      <vertAlign val="superscript"/>
      <sz val="11"/>
      <name val="Arial"/>
      <family val="2"/>
    </font>
    <font>
      <sz val="10"/>
      <name val="MS Sans Serif"/>
      <family val="2"/>
    </font>
    <font>
      <sz val="11"/>
      <color theme="1"/>
      <name val="Calibri"/>
      <family val="2"/>
      <scheme val="minor"/>
    </font>
    <font>
      <vertAlign val="superscript"/>
      <sz val="11"/>
      <name val="Arial"/>
      <family val="2"/>
    </font>
    <font>
      <sz val="10"/>
      <color theme="1"/>
      <name val="Arial"/>
      <family val="2"/>
    </font>
    <font>
      <sz val="10"/>
      <name val="Arial"/>
      <family val="2"/>
    </font>
    <font>
      <sz val="12"/>
      <name val="Times New Roman"/>
      <family val="1"/>
    </font>
    <font>
      <vertAlign val="subscript"/>
      <sz val="11"/>
      <name val="Arial"/>
      <family val="2"/>
    </font>
    <font>
      <sz val="11"/>
      <color rgb="FFFF0000"/>
      <name val="Arial"/>
      <family val="2"/>
    </font>
    <font>
      <sz val="11"/>
      <name val="Times New Roman"/>
      <family val="1"/>
    </font>
    <font>
      <sz val="11"/>
      <color rgb="FFFF0000"/>
      <name val="arilan"/>
    </font>
    <font>
      <sz val="10"/>
      <name val="Arial"/>
      <family val="2"/>
    </font>
    <font>
      <sz val="10"/>
      <color rgb="FFFF0000"/>
      <name val="Times New Roman"/>
      <family val="1"/>
    </font>
    <font>
      <vertAlign val="superscript"/>
      <sz val="11"/>
      <color rgb="FFFF0000"/>
      <name val="Arial"/>
      <family val="2"/>
    </font>
  </fonts>
  <fills count="4">
    <fill>
      <patternFill patternType="none"/>
    </fill>
    <fill>
      <patternFill patternType="gray125"/>
    </fill>
    <fill>
      <patternFill patternType="gray0625"/>
    </fill>
    <fill>
      <patternFill patternType="solid">
        <fgColor indexed="65"/>
        <bgColor indexed="64"/>
      </patternFill>
    </fill>
  </fills>
  <borders count="64">
    <border>
      <left/>
      <right/>
      <top/>
      <bottom/>
      <diagonal/>
    </border>
    <border>
      <left/>
      <right style="thin">
        <color indexed="64"/>
      </right>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auto="1"/>
      </top>
      <bottom style="double">
        <color auto="1"/>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double">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1">
    <xf numFmtId="0" fontId="0" fillId="0" borderId="0"/>
    <xf numFmtId="0" fontId="7" fillId="0" borderId="0"/>
    <xf numFmtId="0" fontId="16" fillId="0" borderId="0"/>
    <xf numFmtId="0" fontId="17" fillId="0" borderId="0"/>
    <xf numFmtId="15" fontId="8" fillId="2" borderId="0"/>
    <xf numFmtId="9" fontId="20" fillId="0" borderId="0" applyFont="0" applyFill="0" applyBorder="0" applyAlignment="0" applyProtection="0"/>
    <xf numFmtId="0" fontId="6" fillId="0" borderId="0"/>
    <xf numFmtId="0" fontId="21" fillId="0" borderId="0"/>
    <xf numFmtId="0" fontId="7" fillId="0" borderId="0"/>
    <xf numFmtId="0" fontId="7" fillId="0" borderId="0"/>
    <xf numFmtId="0" fontId="6" fillId="0" borderId="0"/>
    <xf numFmtId="0" fontId="5" fillId="0" borderId="0"/>
    <xf numFmtId="0" fontId="5" fillId="0" borderId="0"/>
    <xf numFmtId="0" fontId="4" fillId="0" borderId="0"/>
    <xf numFmtId="0" fontId="3" fillId="0" borderId="0"/>
    <xf numFmtId="9"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7" fillId="0" borderId="0"/>
    <xf numFmtId="0" fontId="7" fillId="0" borderId="0"/>
    <xf numFmtId="0" fontId="3" fillId="0" borderId="0"/>
    <xf numFmtId="9" fontId="7" fillId="0" borderId="0" applyFont="0" applyFill="0" applyBorder="0" applyAlignment="0" applyProtection="0"/>
    <xf numFmtId="0" fontId="7" fillId="0" borderId="0"/>
    <xf numFmtId="43" fontId="26" fillId="0" borderId="0" applyFont="0" applyFill="0" applyBorder="0" applyAlignment="0" applyProtection="0"/>
    <xf numFmtId="9" fontId="2" fillId="0" borderId="0" applyFont="0" applyFill="0" applyBorder="0" applyAlignment="0" applyProtection="0"/>
  </cellStyleXfs>
  <cellXfs count="445">
    <xf numFmtId="0" fontId="0" fillId="0" borderId="0" xfId="0"/>
    <xf numFmtId="0" fontId="9" fillId="0" borderId="0" xfId="0" applyFont="1"/>
    <xf numFmtId="0" fontId="12" fillId="0" borderId="0" xfId="0" applyFont="1" applyAlignment="1">
      <alignment horizontal="centerContinuous"/>
    </xf>
    <xf numFmtId="0" fontId="12" fillId="0" borderId="0" xfId="0" applyFont="1"/>
    <xf numFmtId="0" fontId="7" fillId="0" borderId="0" xfId="0" applyFont="1"/>
    <xf numFmtId="0" fontId="12" fillId="0" borderId="0" xfId="0" applyFont="1" applyBorder="1"/>
    <xf numFmtId="0" fontId="12" fillId="0" borderId="0" xfId="0" applyFont="1" applyFill="1"/>
    <xf numFmtId="0" fontId="7" fillId="0" borderId="0" xfId="0" applyFont="1" applyFill="1"/>
    <xf numFmtId="0" fontId="12" fillId="0" borderId="0" xfId="0" applyFont="1" applyFill="1" applyAlignment="1">
      <alignment horizontal="centerContinuous"/>
    </xf>
    <xf numFmtId="0" fontId="13" fillId="0" borderId="0" xfId="0" applyFont="1" applyAlignment="1">
      <alignment horizontal="centerContinuous"/>
    </xf>
    <xf numFmtId="0" fontId="13" fillId="2" borderId="6" xfId="0" applyFont="1" applyFill="1" applyBorder="1" applyAlignment="1">
      <alignment horizontal="center"/>
    </xf>
    <xf numFmtId="0" fontId="12" fillId="0" borderId="0" xfId="0" applyFont="1" applyFill="1" applyBorder="1"/>
    <xf numFmtId="0" fontId="9" fillId="0" borderId="0" xfId="0" applyFont="1" applyFill="1"/>
    <xf numFmtId="0" fontId="9" fillId="0" borderId="0" xfId="0" applyFont="1" applyFill="1" applyAlignment="1">
      <alignment vertical="center"/>
    </xf>
    <xf numFmtId="3" fontId="12" fillId="0" borderId="28" xfId="0" applyNumberFormat="1" applyFont="1" applyFill="1" applyBorder="1" applyAlignment="1">
      <alignment vertical="center"/>
    </xf>
    <xf numFmtId="0" fontId="24" fillId="0" borderId="0" xfId="0" applyFont="1" applyFill="1"/>
    <xf numFmtId="0" fontId="24" fillId="0" borderId="0" xfId="0" applyFont="1" applyFill="1" applyAlignment="1">
      <alignment vertical="center"/>
    </xf>
    <xf numFmtId="0" fontId="24" fillId="0" borderId="0" xfId="0" applyFont="1"/>
    <xf numFmtId="0" fontId="23" fillId="0" borderId="0" xfId="0" applyFont="1" applyFill="1" applyAlignment="1">
      <alignment vertical="center"/>
    </xf>
    <xf numFmtId="165" fontId="12" fillId="0" borderId="28" xfId="0" applyNumberFormat="1" applyFont="1" applyFill="1" applyBorder="1" applyAlignment="1">
      <alignment vertical="center"/>
    </xf>
    <xf numFmtId="3" fontId="12" fillId="0" borderId="0" xfId="0" applyNumberFormat="1" applyFont="1"/>
    <xf numFmtId="3" fontId="12" fillId="0" borderId="26" xfId="0" applyNumberFormat="1" applyFont="1" applyFill="1" applyBorder="1" applyAlignment="1">
      <alignment vertical="center"/>
    </xf>
    <xf numFmtId="0" fontId="12" fillId="0" borderId="0" xfId="0" applyFont="1" applyFill="1" applyAlignment="1"/>
    <xf numFmtId="0" fontId="12" fillId="0" borderId="0" xfId="0" applyFont="1" applyFill="1" applyBorder="1" applyAlignment="1">
      <alignment horizontal="center"/>
    </xf>
    <xf numFmtId="0" fontId="12" fillId="0" borderId="27" xfId="0" applyFont="1" applyFill="1" applyBorder="1" applyAlignment="1">
      <alignment horizontal="center" vertical="center"/>
    </xf>
    <xf numFmtId="0" fontId="12" fillId="0" borderId="28" xfId="0" applyFont="1" applyFill="1" applyBorder="1" applyAlignment="1">
      <alignment vertical="center"/>
    </xf>
    <xf numFmtId="0" fontId="12" fillId="0" borderId="26" xfId="0" applyFont="1" applyFill="1" applyBorder="1" applyAlignment="1">
      <alignment vertical="center"/>
    </xf>
    <xf numFmtId="2" fontId="12" fillId="0" borderId="28" xfId="0" applyNumberFormat="1" applyFont="1" applyFill="1" applyBorder="1" applyAlignment="1">
      <alignment vertical="center"/>
    </xf>
    <xf numFmtId="0" fontId="12" fillId="0" borderId="0" xfId="0" applyFont="1" applyFill="1" applyBorder="1" applyAlignment="1">
      <alignment horizontal="left" wrapText="1"/>
    </xf>
    <xf numFmtId="0" fontId="12" fillId="0" borderId="0" xfId="0" applyFont="1" applyFill="1"/>
    <xf numFmtId="0" fontId="12" fillId="0" borderId="0" xfId="0" applyFont="1" applyAlignment="1">
      <alignment wrapText="1"/>
    </xf>
    <xf numFmtId="0" fontId="12" fillId="0" borderId="0" xfId="0" applyFont="1" applyFill="1"/>
    <xf numFmtId="0" fontId="12" fillId="0" borderId="0" xfId="0" applyFont="1" applyFill="1" applyBorder="1" applyAlignment="1"/>
    <xf numFmtId="0" fontId="13" fillId="2" borderId="22" xfId="0" applyFont="1" applyFill="1" applyBorder="1" applyAlignment="1">
      <alignment horizontal="center" vertical="center" wrapText="1"/>
    </xf>
    <xf numFmtId="3" fontId="12" fillId="0" borderId="20" xfId="0" applyNumberFormat="1" applyFont="1" applyFill="1" applyBorder="1" applyAlignment="1">
      <alignment vertical="center"/>
    </xf>
    <xf numFmtId="3" fontId="12" fillId="0" borderId="20" xfId="0" applyNumberFormat="1" applyFont="1" applyFill="1" applyBorder="1" applyAlignment="1">
      <alignment horizontal="center" vertical="center"/>
    </xf>
    <xf numFmtId="3" fontId="12" fillId="0" borderId="22" xfId="0" applyNumberFormat="1" applyFont="1" applyFill="1" applyBorder="1" applyAlignment="1">
      <alignment vertical="center"/>
    </xf>
    <xf numFmtId="0" fontId="23" fillId="0" borderId="0" xfId="0" applyFont="1" applyFill="1" applyBorder="1" applyAlignment="1">
      <alignment vertical="center"/>
    </xf>
    <xf numFmtId="0" fontId="12" fillId="0" borderId="33" xfId="0" applyFont="1" applyFill="1" applyBorder="1" applyAlignment="1">
      <alignment horizontal="center" vertical="center"/>
    </xf>
    <xf numFmtId="0" fontId="12" fillId="0" borderId="27" xfId="0" applyFont="1" applyFill="1" applyBorder="1" applyAlignment="1">
      <alignment horizontal="center" vertical="center" wrapText="1"/>
    </xf>
    <xf numFmtId="2" fontId="12"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Border="1" applyAlignment="1">
      <alignment horizontal="right"/>
    </xf>
    <xf numFmtId="3" fontId="12" fillId="0" borderId="0" xfId="0" applyNumberFormat="1" applyFont="1" applyFill="1"/>
    <xf numFmtId="0" fontId="12" fillId="0" borderId="0" xfId="0" applyFont="1" applyFill="1" applyAlignment="1">
      <alignment horizontal="right"/>
    </xf>
    <xf numFmtId="165" fontId="12" fillId="0" borderId="0" xfId="5" applyNumberFormat="1" applyFont="1" applyFill="1"/>
    <xf numFmtId="168" fontId="12" fillId="0" borderId="0" xfId="0" applyNumberFormat="1" applyFont="1" applyFill="1"/>
    <xf numFmtId="0" fontId="12" fillId="0" borderId="0" xfId="0" applyFont="1" applyAlignment="1">
      <alignment wrapText="1"/>
    </xf>
    <xf numFmtId="0" fontId="18" fillId="0" borderId="0" xfId="0" applyFont="1" applyFill="1" applyBorder="1" applyAlignment="1">
      <alignment horizontal="left" wrapText="1"/>
    </xf>
    <xf numFmtId="0" fontId="12" fillId="0" borderId="0" xfId="0" applyFont="1" applyFill="1"/>
    <xf numFmtId="4" fontId="12" fillId="0" borderId="20" xfId="0" applyNumberFormat="1" applyFont="1" applyFill="1" applyBorder="1" applyAlignment="1">
      <alignment vertical="center"/>
    </xf>
    <xf numFmtId="3" fontId="12" fillId="0" borderId="20" xfId="0" applyNumberFormat="1" applyFont="1" applyFill="1" applyBorder="1" applyAlignment="1">
      <alignment horizontal="left" vertical="center"/>
    </xf>
    <xf numFmtId="0" fontId="12" fillId="0" borderId="0" xfId="0" applyFont="1" applyAlignment="1">
      <alignment horizontal="centerContinuous" wrapText="1"/>
    </xf>
    <xf numFmtId="0" fontId="12" fillId="0" borderId="0" xfId="0" applyFont="1" applyBorder="1" applyAlignment="1">
      <alignment wrapText="1"/>
    </xf>
    <xf numFmtId="0" fontId="12" fillId="0" borderId="0" xfId="0" applyFont="1" applyFill="1" applyAlignment="1">
      <alignment wrapText="1"/>
    </xf>
    <xf numFmtId="3" fontId="12" fillId="0" borderId="0" xfId="0" applyNumberFormat="1" applyFont="1" applyFill="1" applyAlignment="1"/>
    <xf numFmtId="168" fontId="12" fillId="0" borderId="0" xfId="0" applyNumberFormat="1" applyFont="1" applyFill="1" applyAlignment="1"/>
    <xf numFmtId="0" fontId="12" fillId="0" borderId="0" xfId="0" applyFont="1" applyFill="1" applyAlignment="1">
      <alignment wrapText="1"/>
    </xf>
    <xf numFmtId="0" fontId="19" fillId="0" borderId="0" xfId="10" applyFont="1" applyFill="1"/>
    <xf numFmtId="0" fontId="27" fillId="0" borderId="0" xfId="0" applyFont="1"/>
    <xf numFmtId="165" fontId="12" fillId="0" borderId="43" xfId="0" applyNumberFormat="1" applyFont="1" applyFill="1" applyBorder="1" applyAlignment="1">
      <alignment vertical="center"/>
    </xf>
    <xf numFmtId="3" fontId="12" fillId="0" borderId="32" xfId="0" applyNumberFormat="1" applyFont="1" applyFill="1" applyBorder="1" applyAlignment="1">
      <alignment horizontal="center" vertical="center"/>
    </xf>
    <xf numFmtId="166" fontId="12" fillId="0" borderId="0" xfId="0" applyNumberFormat="1" applyFont="1" applyFill="1"/>
    <xf numFmtId="4" fontId="12" fillId="0" borderId="28" xfId="0" applyNumberFormat="1" applyFont="1" applyFill="1" applyBorder="1" applyAlignment="1">
      <alignment vertical="center"/>
    </xf>
    <xf numFmtId="0" fontId="18" fillId="0" borderId="0" xfId="0" applyFont="1" applyFill="1"/>
    <xf numFmtId="0" fontId="12" fillId="0" borderId="20" xfId="0" applyNumberFormat="1" applyFont="1" applyFill="1" applyBorder="1" applyAlignment="1">
      <alignment horizontal="center" vertical="center"/>
    </xf>
    <xf numFmtId="0" fontId="12" fillId="0" borderId="26" xfId="0" applyFont="1" applyFill="1" applyBorder="1" applyAlignment="1">
      <alignment vertical="center" wrapText="1"/>
    </xf>
    <xf numFmtId="164" fontId="12" fillId="0" borderId="28" xfId="0" applyNumberFormat="1" applyFont="1" applyFill="1" applyBorder="1" applyAlignment="1">
      <alignment vertical="center"/>
    </xf>
    <xf numFmtId="165" fontId="12" fillId="0" borderId="0" xfId="5" applyNumberFormat="1" applyFont="1" applyFill="1" applyAlignment="1"/>
    <xf numFmtId="166" fontId="12" fillId="0" borderId="0" xfId="0" applyNumberFormat="1" applyFont="1" applyFill="1" applyAlignment="1"/>
    <xf numFmtId="3" fontId="12" fillId="0" borderId="20" xfId="0" applyNumberFormat="1" applyFont="1" applyFill="1" applyBorder="1" applyAlignment="1">
      <alignment horizontal="center" vertical="center" wrapText="1"/>
    </xf>
    <xf numFmtId="0" fontId="25" fillId="0" borderId="0" xfId="0" applyFont="1" applyFill="1"/>
    <xf numFmtId="0" fontId="28" fillId="0" borderId="0" xfId="0" applyFont="1" applyFill="1"/>
    <xf numFmtId="3" fontId="12" fillId="0" borderId="28" xfId="0" applyNumberFormat="1" applyFont="1" applyFill="1" applyBorder="1" applyAlignment="1">
      <alignment horizontal="center" vertical="center"/>
    </xf>
    <xf numFmtId="3" fontId="12" fillId="0" borderId="16" xfId="0" applyNumberFormat="1" applyFont="1" applyFill="1" applyBorder="1" applyAlignment="1">
      <alignment horizontal="center" vertical="center" wrapText="1"/>
    </xf>
    <xf numFmtId="165" fontId="12" fillId="0" borderId="20" xfId="0" applyNumberFormat="1" applyFont="1" applyFill="1" applyBorder="1" applyAlignment="1">
      <alignment horizontal="right" vertical="center"/>
    </xf>
    <xf numFmtId="165" fontId="12" fillId="0" borderId="21" xfId="0" applyNumberFormat="1" applyFont="1" applyFill="1" applyBorder="1" applyAlignment="1">
      <alignment horizontal="left" vertical="center"/>
    </xf>
    <xf numFmtId="0" fontId="12" fillId="0" borderId="40" xfId="0" applyFont="1" applyFill="1" applyBorder="1" applyAlignment="1">
      <alignment horizontal="center" vertical="center"/>
    </xf>
    <xf numFmtId="0" fontId="13" fillId="2" borderId="5" xfId="0" applyFont="1" applyFill="1" applyBorder="1" applyAlignment="1">
      <alignment horizontal="center" vertical="center" wrapText="1"/>
    </xf>
    <xf numFmtId="3" fontId="12" fillId="0" borderId="20" xfId="0" applyNumberFormat="1" applyFont="1" applyFill="1" applyBorder="1" applyAlignment="1">
      <alignment horizontal="right" vertical="center"/>
    </xf>
    <xf numFmtId="0" fontId="12" fillId="0" borderId="21" xfId="0" applyFont="1" applyFill="1" applyBorder="1" applyAlignment="1">
      <alignment horizontal="left" vertical="center"/>
    </xf>
    <xf numFmtId="0" fontId="12" fillId="0" borderId="21" xfId="0" applyFont="1" applyFill="1" applyBorder="1" applyAlignment="1">
      <alignment vertical="center"/>
    </xf>
    <xf numFmtId="0" fontId="12" fillId="0" borderId="14" xfId="0" applyFont="1" applyFill="1" applyBorder="1" applyAlignment="1">
      <alignment vertical="center"/>
    </xf>
    <xf numFmtId="3" fontId="12" fillId="0" borderId="16" xfId="0" applyNumberFormat="1" applyFont="1" applyFill="1" applyBorder="1" applyAlignment="1">
      <alignment vertical="center"/>
    </xf>
    <xf numFmtId="0" fontId="12" fillId="0" borderId="16" xfId="0" applyFont="1" applyFill="1" applyBorder="1" applyAlignment="1">
      <alignment horizontal="right" vertical="center"/>
    </xf>
    <xf numFmtId="3" fontId="12" fillId="0" borderId="28" xfId="0" applyNumberFormat="1" applyFont="1" applyFill="1" applyBorder="1" applyAlignment="1">
      <alignment horizontal="right" vertical="center"/>
    </xf>
    <xf numFmtId="166" fontId="12" fillId="0" borderId="28" xfId="0" applyNumberFormat="1" applyFont="1" applyFill="1" applyBorder="1" applyAlignment="1">
      <alignment vertical="center"/>
    </xf>
    <xf numFmtId="1" fontId="12" fillId="0" borderId="28" xfId="0" applyNumberFormat="1" applyFont="1" applyFill="1" applyBorder="1" applyAlignment="1">
      <alignment vertical="center"/>
    </xf>
    <xf numFmtId="0" fontId="12" fillId="0" borderId="20" xfId="0" applyFont="1" applyFill="1" applyBorder="1" applyAlignment="1">
      <alignment vertical="center"/>
    </xf>
    <xf numFmtId="0" fontId="12" fillId="0" borderId="16" xfId="0" applyFont="1" applyFill="1" applyBorder="1" applyAlignment="1">
      <alignment vertical="center"/>
    </xf>
    <xf numFmtId="0" fontId="12" fillId="0" borderId="15" xfId="0" applyFont="1" applyFill="1" applyBorder="1" applyAlignment="1">
      <alignment vertical="center"/>
    </xf>
    <xf numFmtId="0" fontId="12" fillId="0" borderId="29" xfId="0" applyFont="1" applyFill="1" applyBorder="1" applyAlignment="1">
      <alignment vertical="center"/>
    </xf>
    <xf numFmtId="165" fontId="12" fillId="0" borderId="16" xfId="0" applyNumberFormat="1" applyFont="1" applyFill="1" applyBorder="1" applyAlignment="1">
      <alignment vertical="center"/>
    </xf>
    <xf numFmtId="3" fontId="12" fillId="0" borderId="27" xfId="0" applyNumberFormat="1" applyFont="1" applyFill="1" applyBorder="1" applyAlignment="1">
      <alignment vertical="center"/>
    </xf>
    <xf numFmtId="10" fontId="12" fillId="0" borderId="26" xfId="0" applyNumberFormat="1" applyFont="1" applyFill="1" applyBorder="1" applyAlignment="1">
      <alignment horizontal="left" vertical="center"/>
    </xf>
    <xf numFmtId="0" fontId="12" fillId="0" borderId="28" xfId="0" applyNumberFormat="1" applyFont="1" applyFill="1" applyBorder="1" applyAlignment="1">
      <alignment vertical="center"/>
    </xf>
    <xf numFmtId="0" fontId="12" fillId="0" borderId="26" xfId="0" applyNumberFormat="1" applyFont="1" applyFill="1" applyBorder="1" applyAlignment="1">
      <alignment vertical="center"/>
    </xf>
    <xf numFmtId="0" fontId="12" fillId="0" borderId="20" xfId="0" applyNumberFormat="1" applyFont="1" applyFill="1" applyBorder="1" applyAlignment="1">
      <alignment vertical="center"/>
    </xf>
    <xf numFmtId="11" fontId="12" fillId="0" borderId="28" xfId="0" applyNumberFormat="1" applyFont="1" applyFill="1" applyBorder="1" applyAlignment="1">
      <alignment vertical="center"/>
    </xf>
    <xf numFmtId="167" fontId="12" fillId="0" borderId="28" xfId="0" applyNumberFormat="1" applyFont="1" applyFill="1" applyBorder="1" applyAlignment="1">
      <alignment horizontal="right" vertical="center"/>
    </xf>
    <xf numFmtId="2" fontId="12" fillId="0" borderId="16" xfId="0" applyNumberFormat="1" applyFont="1" applyFill="1" applyBorder="1" applyAlignment="1">
      <alignment vertical="center"/>
    </xf>
    <xf numFmtId="0" fontId="12" fillId="0" borderId="15" xfId="0" applyFont="1" applyFill="1" applyBorder="1" applyAlignment="1">
      <alignment vertical="center" wrapText="1"/>
    </xf>
    <xf numFmtId="0" fontId="12" fillId="0" borderId="28" xfId="0" applyNumberFormat="1" applyFont="1" applyFill="1" applyBorder="1" applyAlignment="1">
      <alignment horizontal="right" vertical="center"/>
    </xf>
    <xf numFmtId="0" fontId="12" fillId="0" borderId="15" xfId="0" applyNumberFormat="1" applyFont="1" applyFill="1" applyBorder="1" applyAlignment="1">
      <alignment vertical="center"/>
    </xf>
    <xf numFmtId="0" fontId="12" fillId="0" borderId="14" xfId="0" applyNumberFormat="1" applyFont="1" applyFill="1" applyBorder="1" applyAlignment="1">
      <alignment vertical="center"/>
    </xf>
    <xf numFmtId="0" fontId="12" fillId="0" borderId="34"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30" xfId="0" applyFont="1" applyFill="1" applyBorder="1" applyAlignment="1">
      <alignment horizontal="right" vertical="center"/>
    </xf>
    <xf numFmtId="0" fontId="12" fillId="0" borderId="31" xfId="0" applyFont="1" applyFill="1" applyBorder="1" applyAlignment="1">
      <alignment vertical="center"/>
    </xf>
    <xf numFmtId="3" fontId="12" fillId="0" borderId="30" xfId="0" applyNumberFormat="1" applyFont="1" applyFill="1" applyBorder="1" applyAlignment="1">
      <alignment vertical="center"/>
    </xf>
    <xf numFmtId="0" fontId="12" fillId="0" borderId="30" xfId="0" applyFont="1" applyFill="1" applyBorder="1" applyAlignment="1">
      <alignment vertical="center"/>
    </xf>
    <xf numFmtId="0" fontId="12" fillId="0" borderId="39" xfId="0" applyFont="1" applyFill="1" applyBorder="1" applyAlignment="1">
      <alignment horizontal="center" vertical="center" wrapText="1"/>
    </xf>
    <xf numFmtId="0" fontId="12" fillId="0" borderId="31" xfId="0" applyFont="1" applyFill="1" applyBorder="1" applyAlignment="1">
      <alignment vertical="center" wrapText="1"/>
    </xf>
    <xf numFmtId="0" fontId="12" fillId="0" borderId="32" xfId="0" applyFont="1" applyFill="1" applyBorder="1" applyAlignment="1">
      <alignment vertical="center"/>
    </xf>
    <xf numFmtId="3" fontId="12" fillId="0" borderId="31" xfId="0" applyNumberFormat="1" applyFont="1" applyFill="1" applyBorder="1" applyAlignment="1">
      <alignment vertical="center"/>
    </xf>
    <xf numFmtId="0" fontId="12" fillId="0" borderId="32" xfId="0" applyNumberFormat="1" applyFont="1" applyFill="1" applyBorder="1" applyAlignment="1">
      <alignment horizontal="center" vertical="center"/>
    </xf>
    <xf numFmtId="0" fontId="12" fillId="0" borderId="30" xfId="0" applyFont="1" applyFill="1" applyBorder="1" applyAlignment="1">
      <alignment horizontal="center" vertical="center"/>
    </xf>
    <xf numFmtId="0" fontId="12" fillId="0" borderId="0" xfId="0" applyFont="1" applyFill="1" applyAlignment="1">
      <alignment wrapText="1"/>
    </xf>
    <xf numFmtId="0" fontId="13" fillId="2" borderId="1" xfId="0" applyFont="1" applyFill="1" applyBorder="1" applyAlignment="1">
      <alignment horizontal="center"/>
    </xf>
    <xf numFmtId="0" fontId="13" fillId="2" borderId="50" xfId="0" applyFont="1" applyFill="1" applyBorder="1" applyAlignment="1">
      <alignment horizontal="center"/>
    </xf>
    <xf numFmtId="0" fontId="12" fillId="0" borderId="40" xfId="0" applyFont="1" applyFill="1" applyBorder="1" applyAlignment="1">
      <alignment horizontal="center" vertical="center"/>
    </xf>
    <xf numFmtId="0" fontId="12" fillId="0" borderId="0" xfId="0" applyFont="1" applyFill="1" applyBorder="1" applyAlignment="1">
      <alignment horizontal="left" wrapText="1"/>
    </xf>
    <xf numFmtId="165" fontId="12" fillId="0" borderId="28" xfId="0" applyNumberFormat="1" applyFont="1" applyFill="1" applyBorder="1" applyAlignment="1">
      <alignment horizontal="right" vertical="center"/>
    </xf>
    <xf numFmtId="0" fontId="12" fillId="0" borderId="21" xfId="0" applyFont="1" applyFill="1" applyBorder="1" applyAlignment="1">
      <alignment vertical="center"/>
    </xf>
    <xf numFmtId="0" fontId="12" fillId="0" borderId="16" xfId="0" applyFont="1" applyFill="1" applyBorder="1" applyAlignment="1">
      <alignment horizontal="right" vertical="center"/>
    </xf>
    <xf numFmtId="0" fontId="12" fillId="0" borderId="14" xfId="0" applyFont="1" applyFill="1" applyBorder="1" applyAlignment="1">
      <alignment vertical="center"/>
    </xf>
    <xf numFmtId="3" fontId="12" fillId="0" borderId="16" xfId="0" applyNumberFormat="1" applyFont="1" applyFill="1" applyBorder="1" applyAlignment="1">
      <alignment vertical="center"/>
    </xf>
    <xf numFmtId="0" fontId="12" fillId="0" borderId="20" xfId="0" applyNumberFormat="1" applyFont="1" applyFill="1" applyBorder="1" applyAlignment="1">
      <alignment horizontal="center" vertical="center" wrapText="1"/>
    </xf>
    <xf numFmtId="165" fontId="12" fillId="0" borderId="0" xfId="0" applyNumberFormat="1" applyFont="1" applyFill="1" applyBorder="1" applyAlignment="1">
      <alignment vertical="center"/>
    </xf>
    <xf numFmtId="0" fontId="12" fillId="0" borderId="55" xfId="0" applyFont="1" applyFill="1" applyBorder="1" applyAlignment="1">
      <alignment vertical="center"/>
    </xf>
    <xf numFmtId="0" fontId="12" fillId="0" borderId="40" xfId="0" applyFont="1" applyFill="1" applyBorder="1" applyAlignment="1">
      <alignment horizontal="center" vertical="center"/>
    </xf>
    <xf numFmtId="0" fontId="12" fillId="0" borderId="16" xfId="0" applyFont="1" applyFill="1" applyBorder="1" applyAlignment="1">
      <alignment horizontal="right" vertical="center"/>
    </xf>
    <xf numFmtId="0" fontId="12" fillId="0" borderId="38" xfId="0" applyFont="1" applyFill="1" applyBorder="1" applyAlignment="1">
      <alignment horizontal="center" vertical="center"/>
    </xf>
    <xf numFmtId="0" fontId="12" fillId="0" borderId="25" xfId="0" applyFont="1" applyFill="1" applyBorder="1" applyAlignment="1">
      <alignment horizontal="center" vertical="center" wrapText="1"/>
    </xf>
    <xf numFmtId="0" fontId="12" fillId="0" borderId="25" xfId="0" applyFont="1" applyFill="1" applyBorder="1" applyAlignment="1">
      <alignment horizontal="center" vertical="center"/>
    </xf>
    <xf numFmtId="3" fontId="12" fillId="0" borderId="28" xfId="0" applyNumberFormat="1" applyFont="1" applyFill="1" applyBorder="1" applyAlignment="1">
      <alignment horizontal="right" vertical="center"/>
    </xf>
    <xf numFmtId="0" fontId="12" fillId="0" borderId="16" xfId="0" applyFont="1" applyFill="1" applyBorder="1" applyAlignment="1">
      <alignment horizontal="center" vertical="center"/>
    </xf>
    <xf numFmtId="0" fontId="12" fillId="0" borderId="16" xfId="0" applyFont="1" applyFill="1" applyBorder="1" applyAlignment="1">
      <alignment horizontal="right" vertical="center"/>
    </xf>
    <xf numFmtId="0" fontId="12" fillId="0" borderId="21" xfId="0" applyFont="1" applyFill="1" applyBorder="1" applyAlignment="1">
      <alignment vertical="center"/>
    </xf>
    <xf numFmtId="0" fontId="12" fillId="0" borderId="21" xfId="0" applyFont="1" applyFill="1" applyBorder="1" applyAlignment="1">
      <alignment horizontal="left" vertical="center"/>
    </xf>
    <xf numFmtId="164" fontId="12" fillId="0" borderId="16" xfId="0" applyNumberFormat="1" applyFont="1" applyFill="1" applyBorder="1" applyAlignment="1">
      <alignment horizontal="right" vertical="center"/>
    </xf>
    <xf numFmtId="0" fontId="12" fillId="0" borderId="22" xfId="0" applyNumberFormat="1" applyFont="1" applyFill="1" applyBorder="1" applyAlignment="1">
      <alignment horizontal="center" vertical="center"/>
    </xf>
    <xf numFmtId="0" fontId="12" fillId="0" borderId="23" xfId="0" applyFont="1" applyFill="1" applyBorder="1" applyAlignment="1">
      <alignment vertical="center"/>
    </xf>
    <xf numFmtId="3" fontId="12" fillId="0" borderId="43" xfId="0" applyNumberFormat="1" applyFont="1" applyFill="1" applyBorder="1" applyAlignment="1">
      <alignment vertical="center"/>
    </xf>
    <xf numFmtId="4" fontId="12" fillId="0" borderId="20" xfId="0" applyNumberFormat="1" applyFont="1" applyFill="1" applyBorder="1" applyAlignment="1">
      <alignment horizontal="right" vertical="center"/>
    </xf>
    <xf numFmtId="4" fontId="12" fillId="0" borderId="29" xfId="0" applyNumberFormat="1" applyFont="1" applyFill="1" applyBorder="1" applyAlignment="1">
      <alignment vertical="center"/>
    </xf>
    <xf numFmtId="170" fontId="12" fillId="0" borderId="29" xfId="0" applyNumberFormat="1" applyFont="1" applyFill="1" applyBorder="1" applyAlignment="1">
      <alignment vertical="center"/>
    </xf>
    <xf numFmtId="2" fontId="12" fillId="0" borderId="7" xfId="0" applyNumberFormat="1" applyFont="1" applyFill="1" applyBorder="1" applyAlignment="1">
      <alignment vertical="center"/>
    </xf>
    <xf numFmtId="0" fontId="12" fillId="0" borderId="22" xfId="0" applyNumberFormat="1" applyFont="1" applyFill="1" applyBorder="1" applyAlignment="1">
      <alignment vertical="center"/>
    </xf>
    <xf numFmtId="164" fontId="12" fillId="0" borderId="29" xfId="0" applyNumberFormat="1" applyFont="1" applyFill="1" applyBorder="1" applyAlignment="1">
      <alignment vertical="center"/>
    </xf>
    <xf numFmtId="0" fontId="12" fillId="0" borderId="0" xfId="0" applyFont="1" applyAlignment="1">
      <alignment vertical="center"/>
    </xf>
    <xf numFmtId="0" fontId="13" fillId="2" borderId="33" xfId="0" applyFont="1" applyFill="1" applyBorder="1" applyAlignment="1">
      <alignment horizontal="center" vertical="center"/>
    </xf>
    <xf numFmtId="0" fontId="13" fillId="2" borderId="27" xfId="0" applyFont="1" applyFill="1" applyBorder="1" applyAlignment="1">
      <alignment horizontal="center" vertical="center" wrapText="1"/>
    </xf>
    <xf numFmtId="15" fontId="13" fillId="2" borderId="27" xfId="4" applyFont="1" applyFill="1" applyBorder="1" applyAlignment="1">
      <alignment horizontal="center" vertical="center"/>
    </xf>
    <xf numFmtId="165" fontId="13" fillId="2" borderId="27" xfId="4" applyNumberFormat="1" applyFont="1" applyFill="1" applyBorder="1" applyAlignment="1">
      <alignment horizontal="centerContinuous" vertical="center"/>
    </xf>
    <xf numFmtId="165" fontId="13" fillId="2" borderId="27" xfId="4" applyNumberFormat="1" applyFont="1" applyFill="1" applyBorder="1" applyAlignment="1">
      <alignment horizontal="centerContinuous" vertical="center" wrapText="1"/>
    </xf>
    <xf numFmtId="0" fontId="13" fillId="2" borderId="27" xfId="0" applyFont="1" applyFill="1" applyBorder="1" applyAlignment="1">
      <alignment horizontal="center" vertical="center"/>
    </xf>
    <xf numFmtId="165" fontId="12" fillId="0" borderId="15" xfId="0" applyNumberFormat="1" applyFont="1" applyFill="1" applyBorder="1" applyAlignment="1">
      <alignment horizontal="center" vertical="center"/>
    </xf>
    <xf numFmtId="165" fontId="12" fillId="0" borderId="14" xfId="0" applyNumberFormat="1" applyFont="1" applyFill="1" applyBorder="1" applyAlignment="1">
      <alignment horizontal="center" vertical="center"/>
    </xf>
    <xf numFmtId="0" fontId="12" fillId="0" borderId="53" xfId="0" applyFont="1" applyFill="1" applyBorder="1" applyAlignment="1">
      <alignment horizontal="center" vertical="center"/>
    </xf>
    <xf numFmtId="0" fontId="12" fillId="0" borderId="7" xfId="0" applyFont="1" applyFill="1" applyBorder="1" applyAlignment="1">
      <alignment horizontal="right" vertical="center"/>
    </xf>
    <xf numFmtId="0" fontId="12" fillId="0" borderId="13" xfId="0" applyFont="1" applyFill="1" applyBorder="1" applyAlignment="1">
      <alignment vertical="center"/>
    </xf>
    <xf numFmtId="3" fontId="12" fillId="0" borderId="43" xfId="0" applyNumberFormat="1" applyFont="1" applyFill="1" applyBorder="1" applyAlignment="1">
      <alignment horizontal="right" vertical="center"/>
    </xf>
    <xf numFmtId="3" fontId="12" fillId="0" borderId="22" xfId="0" applyNumberFormat="1" applyFont="1" applyFill="1" applyBorder="1" applyAlignment="1">
      <alignment horizontal="center" vertical="center"/>
    </xf>
    <xf numFmtId="0" fontId="12" fillId="0" borderId="10" xfId="0" applyFont="1" applyFill="1" applyBorder="1" applyAlignment="1">
      <alignment vertical="center"/>
    </xf>
    <xf numFmtId="0" fontId="12" fillId="0" borderId="43" xfId="0" applyFont="1" applyFill="1" applyBorder="1" applyAlignment="1">
      <alignment vertical="center"/>
    </xf>
    <xf numFmtId="0" fontId="12" fillId="0" borderId="28" xfId="0" applyFont="1" applyFill="1" applyBorder="1" applyAlignment="1">
      <alignment horizontal="right" vertical="center"/>
    </xf>
    <xf numFmtId="164" fontId="12" fillId="0" borderId="7" xfId="0" applyNumberFormat="1" applyFont="1" applyFill="1" applyBorder="1" applyAlignment="1">
      <alignment horizontal="right" vertical="center"/>
    </xf>
    <xf numFmtId="0" fontId="12" fillId="0" borderId="7" xfId="0" applyFont="1" applyFill="1" applyBorder="1" applyAlignment="1">
      <alignment horizontal="center" vertical="center"/>
    </xf>
    <xf numFmtId="0" fontId="12" fillId="0" borderId="28" xfId="0" applyFont="1" applyFill="1" applyBorder="1" applyAlignment="1">
      <alignment horizontal="center" vertical="center"/>
    </xf>
    <xf numFmtId="164" fontId="12" fillId="0" borderId="30" xfId="0" applyNumberFormat="1" applyFont="1" applyFill="1" applyBorder="1" applyAlignment="1">
      <alignment horizontal="right" vertical="center"/>
    </xf>
    <xf numFmtId="0" fontId="12" fillId="0" borderId="13" xfId="0" applyFont="1" applyFill="1" applyBorder="1" applyAlignment="1">
      <alignment vertical="center" wrapText="1"/>
    </xf>
    <xf numFmtId="0" fontId="12" fillId="0" borderId="43" xfId="0" applyNumberFormat="1" applyFont="1" applyFill="1" applyBorder="1" applyAlignment="1">
      <alignment horizontal="right" vertical="center"/>
    </xf>
    <xf numFmtId="0" fontId="12" fillId="0" borderId="22" xfId="0" applyFont="1" applyFill="1" applyBorder="1" applyAlignment="1">
      <alignment vertical="center"/>
    </xf>
    <xf numFmtId="0" fontId="12" fillId="0" borderId="10" xfId="0" applyNumberFormat="1" applyFont="1" applyFill="1" applyBorder="1" applyAlignment="1">
      <alignment vertical="center"/>
    </xf>
    <xf numFmtId="0" fontId="12" fillId="0" borderId="11" xfId="0" applyNumberFormat="1" applyFont="1" applyFill="1" applyBorder="1" applyAlignment="1">
      <alignment vertical="center"/>
    </xf>
    <xf numFmtId="0" fontId="12" fillId="0" borderId="40" xfId="0" applyFont="1" applyFill="1" applyBorder="1" applyAlignment="1">
      <alignment horizontal="center" vertical="center"/>
    </xf>
    <xf numFmtId="0" fontId="12" fillId="0" borderId="25" xfId="0" applyFont="1" applyFill="1" applyBorder="1" applyAlignment="1">
      <alignment horizontal="center" vertical="center"/>
    </xf>
    <xf numFmtId="3" fontId="12" fillId="0" borderId="28" xfId="0" applyNumberFormat="1" applyFont="1" applyFill="1" applyBorder="1" applyAlignment="1">
      <alignment horizontal="right" vertical="center"/>
    </xf>
    <xf numFmtId="0" fontId="12" fillId="0" borderId="38" xfId="0" applyFont="1" applyFill="1" applyBorder="1" applyAlignment="1">
      <alignment horizontal="center" vertical="center"/>
    </xf>
    <xf numFmtId="0" fontId="12" fillId="0" borderId="21" xfId="0" applyFont="1" applyFill="1" applyBorder="1" applyAlignment="1">
      <alignment vertical="center"/>
    </xf>
    <xf numFmtId="2" fontId="12" fillId="0" borderId="28" xfId="0" applyNumberFormat="1" applyFont="1" applyFill="1" applyBorder="1" applyAlignment="1">
      <alignment horizontal="right" vertical="center"/>
    </xf>
    <xf numFmtId="3" fontId="12" fillId="0" borderId="26" xfId="0" applyNumberFormat="1" applyFont="1" applyFill="1" applyBorder="1" applyAlignment="1">
      <alignment horizontal="left" vertical="center"/>
    </xf>
    <xf numFmtId="0" fontId="12" fillId="0" borderId="14" xfId="0" applyFont="1" applyFill="1" applyBorder="1" applyAlignment="1">
      <alignment vertical="center"/>
    </xf>
    <xf numFmtId="0" fontId="12" fillId="0" borderId="11" xfId="0" applyFont="1" applyFill="1" applyBorder="1" applyAlignment="1">
      <alignment vertical="center"/>
    </xf>
    <xf numFmtId="0" fontId="13" fillId="2" borderId="3" xfId="0" applyFont="1" applyFill="1" applyBorder="1" applyAlignment="1">
      <alignment horizontal="center" vertical="center" wrapText="1"/>
    </xf>
    <xf numFmtId="0" fontId="13" fillId="2" borderId="25" xfId="0" applyFont="1" applyFill="1" applyBorder="1" applyAlignment="1">
      <alignment horizontal="center" vertical="center" wrapText="1"/>
    </xf>
    <xf numFmtId="3" fontId="12" fillId="0" borderId="16" xfId="0" applyNumberFormat="1" applyFont="1" applyFill="1" applyBorder="1" applyAlignment="1">
      <alignment vertical="center"/>
    </xf>
    <xf numFmtId="3" fontId="12" fillId="0" borderId="43" xfId="0" applyNumberFormat="1" applyFont="1" applyFill="1" applyBorder="1" applyAlignment="1">
      <alignment vertical="center"/>
    </xf>
    <xf numFmtId="3" fontId="12" fillId="0" borderId="15" xfId="0" applyNumberFormat="1" applyFont="1" applyFill="1" applyBorder="1" applyAlignment="1">
      <alignment vertical="center"/>
    </xf>
    <xf numFmtId="3" fontId="12" fillId="0" borderId="13" xfId="0" applyNumberFormat="1" applyFont="1" applyFill="1" applyBorder="1" applyAlignment="1">
      <alignment vertical="center"/>
    </xf>
    <xf numFmtId="164" fontId="12" fillId="0" borderId="16" xfId="0" applyNumberFormat="1" applyFont="1" applyFill="1" applyBorder="1" applyAlignment="1">
      <alignment vertical="center"/>
    </xf>
    <xf numFmtId="0" fontId="18"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Alignment="1">
      <alignment vertical="center" wrapText="1"/>
    </xf>
    <xf numFmtId="165" fontId="12" fillId="0" borderId="26" xfId="0" applyNumberFormat="1" applyFont="1" applyFill="1" applyBorder="1" applyAlignment="1">
      <alignment horizontal="center" vertical="center"/>
    </xf>
    <xf numFmtId="165" fontId="12" fillId="0" borderId="21" xfId="0" applyNumberFormat="1" applyFont="1" applyFill="1" applyBorder="1" applyAlignment="1">
      <alignment horizontal="center" vertical="center"/>
    </xf>
    <xf numFmtId="2" fontId="12" fillId="0" borderId="28" xfId="10" applyNumberFormat="1" applyFont="1" applyFill="1" applyBorder="1" applyAlignment="1">
      <alignment horizontal="right" vertical="center" wrapText="1"/>
    </xf>
    <xf numFmtId="0" fontId="12" fillId="0" borderId="26" xfId="10" applyFont="1" applyFill="1" applyBorder="1" applyAlignment="1">
      <alignment vertical="center" wrapText="1"/>
    </xf>
    <xf numFmtId="17" fontId="12" fillId="0" borderId="27" xfId="0" quotePrefix="1" applyNumberFormat="1" applyFont="1" applyFill="1" applyBorder="1" applyAlignment="1">
      <alignment horizontal="center" vertical="center" wrapText="1"/>
    </xf>
    <xf numFmtId="165" fontId="12" fillId="0" borderId="26" xfId="0" quotePrefix="1" applyNumberFormat="1" applyFont="1" applyFill="1" applyBorder="1" applyAlignment="1">
      <alignment horizontal="center" vertical="center" wrapText="1"/>
    </xf>
    <xf numFmtId="0" fontId="7" fillId="0" borderId="0" xfId="0" applyFont="1" applyFill="1" applyAlignment="1">
      <alignment vertical="center"/>
    </xf>
    <xf numFmtId="166" fontId="12" fillId="0" borderId="28" xfId="0" applyNumberFormat="1" applyFont="1" applyFill="1" applyBorder="1" applyAlignment="1">
      <alignment horizontal="right" vertical="center"/>
    </xf>
    <xf numFmtId="9" fontId="12" fillId="0" borderId="27" xfId="0" applyNumberFormat="1" applyFont="1" applyFill="1" applyBorder="1" applyAlignment="1">
      <alignment horizontal="center" vertical="center"/>
    </xf>
    <xf numFmtId="3" fontId="12" fillId="0" borderId="27" xfId="0" applyNumberFormat="1" applyFont="1" applyFill="1" applyBorder="1" applyAlignment="1">
      <alignment horizontal="center"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53" xfId="0" applyFont="1" applyFill="1" applyBorder="1" applyAlignment="1">
      <alignment vertical="center"/>
    </xf>
    <xf numFmtId="0" fontId="12" fillId="0" borderId="39" xfId="0" applyFont="1" applyFill="1" applyBorder="1" applyAlignment="1">
      <alignment vertical="center"/>
    </xf>
    <xf numFmtId="3" fontId="12" fillId="0" borderId="27" xfId="0" applyNumberFormat="1" applyFont="1" applyFill="1" applyBorder="1" applyAlignment="1">
      <alignment horizontal="left" vertical="center"/>
    </xf>
    <xf numFmtId="0" fontId="23" fillId="0" borderId="40" xfId="0" applyFont="1" applyFill="1" applyBorder="1" applyAlignment="1">
      <alignment horizontal="center" vertical="center"/>
    </xf>
    <xf numFmtId="3" fontId="23" fillId="0" borderId="40" xfId="0" applyNumberFormat="1" applyFont="1" applyFill="1" applyBorder="1" applyAlignment="1">
      <alignment horizontal="center" vertical="center"/>
    </xf>
    <xf numFmtId="3" fontId="23" fillId="0" borderId="27" xfId="0" applyNumberFormat="1" applyFont="1" applyFill="1" applyBorder="1" applyAlignment="1">
      <alignment horizontal="center" vertical="center"/>
    </xf>
    <xf numFmtId="0" fontId="23" fillId="0" borderId="27" xfId="0" applyFont="1" applyFill="1" applyBorder="1" applyAlignment="1">
      <alignment horizontal="center" vertical="center"/>
    </xf>
    <xf numFmtId="0" fontId="23" fillId="0" borderId="53" xfId="0" applyFont="1" applyFill="1" applyBorder="1" applyAlignment="1">
      <alignment horizontal="center" vertical="center"/>
    </xf>
    <xf numFmtId="0" fontId="23" fillId="0" borderId="39" xfId="0" applyFont="1" applyFill="1" applyBorder="1" applyAlignment="1">
      <alignment horizontal="center" vertical="center"/>
    </xf>
    <xf numFmtId="0" fontId="12" fillId="0" borderId="27" xfId="0" applyNumberFormat="1" applyFont="1" applyFill="1" applyBorder="1" applyAlignment="1">
      <alignment vertical="center"/>
    </xf>
    <xf numFmtId="3" fontId="12" fillId="0" borderId="25" xfId="0" applyNumberFormat="1" applyFont="1" applyFill="1" applyBorder="1" applyAlignment="1">
      <alignment vertical="center"/>
    </xf>
    <xf numFmtId="0" fontId="12" fillId="0" borderId="40" xfId="0" applyNumberFormat="1" applyFont="1" applyFill="1" applyBorder="1" applyAlignment="1">
      <alignment vertical="center"/>
    </xf>
    <xf numFmtId="0" fontId="12" fillId="0" borderId="53" xfId="0" applyNumberFormat="1" applyFont="1" applyFill="1" applyBorder="1" applyAlignment="1">
      <alignment vertical="center"/>
    </xf>
    <xf numFmtId="2" fontId="12" fillId="0" borderId="29" xfId="0" applyNumberFormat="1" applyFont="1" applyFill="1" applyBorder="1" applyAlignment="1">
      <alignment vertical="center"/>
    </xf>
    <xf numFmtId="166" fontId="12" fillId="0" borderId="20" xfId="0" applyNumberFormat="1" applyFont="1" applyFill="1" applyBorder="1" applyAlignment="1">
      <alignment vertical="center"/>
    </xf>
    <xf numFmtId="169" fontId="12" fillId="0" borderId="16" xfId="0" applyNumberFormat="1" applyFont="1" applyFill="1" applyBorder="1" applyAlignment="1">
      <alignment vertical="center"/>
    </xf>
    <xf numFmtId="3" fontId="12" fillId="0" borderId="29" xfId="0" applyNumberFormat="1" applyFont="1" applyFill="1" applyBorder="1" applyAlignment="1">
      <alignment vertical="center"/>
    </xf>
    <xf numFmtId="11" fontId="12" fillId="0" borderId="16" xfId="0" applyNumberFormat="1" applyFont="1" applyFill="1" applyBorder="1" applyAlignment="1">
      <alignment vertical="center"/>
    </xf>
    <xf numFmtId="168" fontId="12" fillId="0" borderId="20" xfId="0" applyNumberFormat="1" applyFont="1" applyFill="1" applyBorder="1" applyAlignment="1">
      <alignment vertical="center"/>
    </xf>
    <xf numFmtId="164" fontId="12" fillId="0" borderId="20" xfId="0" applyNumberFormat="1" applyFont="1" applyFill="1" applyBorder="1" applyAlignment="1">
      <alignment vertical="center"/>
    </xf>
    <xf numFmtId="169" fontId="12" fillId="0" borderId="28" xfId="0" applyNumberFormat="1" applyFont="1" applyFill="1" applyBorder="1" applyAlignment="1">
      <alignment vertical="center"/>
    </xf>
    <xf numFmtId="164" fontId="12" fillId="0" borderId="0" xfId="0" applyNumberFormat="1" applyFont="1" applyFill="1" applyBorder="1" applyAlignment="1">
      <alignment vertical="center"/>
    </xf>
    <xf numFmtId="0" fontId="12" fillId="0" borderId="0" xfId="0" applyFont="1" applyFill="1" applyBorder="1" applyAlignment="1">
      <alignment vertical="center"/>
    </xf>
    <xf numFmtId="164" fontId="12" fillId="0" borderId="32" xfId="0" applyNumberFormat="1" applyFont="1" applyFill="1" applyBorder="1" applyAlignment="1">
      <alignment vertical="center"/>
    </xf>
    <xf numFmtId="2" fontId="12" fillId="0" borderId="30" xfId="0" applyNumberFormat="1" applyFont="1" applyFill="1" applyBorder="1" applyAlignment="1">
      <alignment vertical="center"/>
    </xf>
    <xf numFmtId="0" fontId="18" fillId="0" borderId="0" xfId="0" applyFont="1" applyFill="1" applyAlignment="1"/>
    <xf numFmtId="0" fontId="18" fillId="0" borderId="0" xfId="0" applyFont="1"/>
    <xf numFmtId="0" fontId="12" fillId="0" borderId="0" xfId="0" applyFont="1" applyFill="1" applyBorder="1" applyAlignment="1">
      <alignment horizontal="left"/>
    </xf>
    <xf numFmtId="0" fontId="23" fillId="0" borderId="0" xfId="0" applyFont="1" applyFill="1" applyBorder="1"/>
    <xf numFmtId="4" fontId="13" fillId="0" borderId="0" xfId="0" applyNumberFormat="1" applyFont="1" applyFill="1" applyBorder="1" applyAlignment="1"/>
    <xf numFmtId="0" fontId="13" fillId="0" borderId="0" xfId="0" applyFont="1" applyFill="1" applyBorder="1" applyAlignment="1"/>
    <xf numFmtId="0" fontId="12" fillId="0" borderId="0" xfId="7" applyFont="1" applyFill="1"/>
    <xf numFmtId="3" fontId="12" fillId="0" borderId="15" xfId="0" applyNumberFormat="1" applyFont="1" applyFill="1" applyBorder="1" applyAlignment="1">
      <alignment vertical="center"/>
    </xf>
    <xf numFmtId="0" fontId="12" fillId="0" borderId="40" xfId="0" applyFont="1" applyFill="1" applyBorder="1" applyAlignment="1">
      <alignment horizontal="center" vertical="center"/>
    </xf>
    <xf numFmtId="0" fontId="12" fillId="0" borderId="40" xfId="0" applyFont="1" applyFill="1" applyBorder="1" applyAlignment="1">
      <alignment horizontal="center" vertical="center" wrapText="1"/>
    </xf>
    <xf numFmtId="3" fontId="12" fillId="0" borderId="28" xfId="0" applyNumberFormat="1" applyFont="1" applyFill="1" applyBorder="1" applyAlignment="1">
      <alignment horizontal="right" vertical="center"/>
    </xf>
    <xf numFmtId="0" fontId="12" fillId="0" borderId="35" xfId="0" applyFont="1" applyFill="1" applyBorder="1" applyAlignment="1">
      <alignment horizontal="center" vertical="center"/>
    </xf>
    <xf numFmtId="0" fontId="13" fillId="2" borderId="9" xfId="0" applyFont="1" applyFill="1" applyBorder="1" applyAlignment="1">
      <alignment horizontal="center"/>
    </xf>
    <xf numFmtId="0" fontId="12" fillId="0" borderId="14" xfId="0" applyFont="1" applyFill="1" applyBorder="1" applyAlignment="1">
      <alignment vertical="center"/>
    </xf>
    <xf numFmtId="3" fontId="12" fillId="0" borderId="16" xfId="0" applyNumberFormat="1" applyFont="1" applyFill="1" applyBorder="1" applyAlignment="1">
      <alignment vertical="center"/>
    </xf>
    <xf numFmtId="3" fontId="12" fillId="0" borderId="43" xfId="0" applyNumberFormat="1" applyFont="1" applyFill="1" applyBorder="1" applyAlignment="1">
      <alignment vertical="center"/>
    </xf>
    <xf numFmtId="3" fontId="12" fillId="0" borderId="13" xfId="0" applyNumberFormat="1" applyFont="1" applyFill="1" applyBorder="1" applyAlignment="1">
      <alignment vertical="center"/>
    </xf>
    <xf numFmtId="0" fontId="13" fillId="2" borderId="47" xfId="0" applyFont="1" applyFill="1" applyBorder="1" applyAlignment="1">
      <alignment horizontal="center"/>
    </xf>
    <xf numFmtId="165" fontId="12" fillId="0" borderId="40" xfId="0" applyNumberFormat="1" applyFont="1" applyFill="1" applyBorder="1" applyAlignment="1">
      <alignment horizontal="center" vertical="center"/>
    </xf>
    <xf numFmtId="165" fontId="12" fillId="0" borderId="51" xfId="0" applyNumberFormat="1" applyFont="1" applyFill="1" applyBorder="1" applyAlignment="1">
      <alignment horizontal="center" vertical="center"/>
    </xf>
    <xf numFmtId="0" fontId="12" fillId="0" borderId="21" xfId="0" applyFont="1" applyFill="1" applyBorder="1" applyAlignment="1">
      <alignment horizontal="left" vertical="center"/>
    </xf>
    <xf numFmtId="165" fontId="12" fillId="0" borderId="28" xfId="0" applyNumberFormat="1" applyFont="1" applyFill="1" applyBorder="1" applyAlignment="1">
      <alignment horizontal="right" vertical="center"/>
    </xf>
    <xf numFmtId="0" fontId="12" fillId="0" borderId="14" xfId="0" applyFont="1" applyFill="1" applyBorder="1" applyAlignment="1">
      <alignment vertical="center"/>
    </xf>
    <xf numFmtId="0" fontId="12" fillId="0" borderId="23" xfId="0" applyFont="1" applyFill="1" applyBorder="1" applyAlignment="1">
      <alignment vertical="center"/>
    </xf>
    <xf numFmtId="3" fontId="12" fillId="0" borderId="16" xfId="0" applyNumberFormat="1" applyFont="1" applyFill="1" applyBorder="1" applyAlignment="1">
      <alignment vertical="center"/>
    </xf>
    <xf numFmtId="3" fontId="12" fillId="0" borderId="15" xfId="0" applyNumberFormat="1" applyFont="1" applyFill="1" applyBorder="1" applyAlignment="1">
      <alignment vertical="center"/>
    </xf>
    <xf numFmtId="3" fontId="12" fillId="0" borderId="13" xfId="0" applyNumberFormat="1" applyFont="1" applyFill="1" applyBorder="1" applyAlignment="1">
      <alignment vertical="center"/>
    </xf>
    <xf numFmtId="164" fontId="12" fillId="0" borderId="43" xfId="0" applyNumberFormat="1" applyFont="1" applyFill="1" applyBorder="1" applyAlignment="1">
      <alignment vertical="center"/>
    </xf>
    <xf numFmtId="0" fontId="12" fillId="0" borderId="0" xfId="0" applyFont="1" applyFill="1" applyAlignment="1">
      <alignment horizontal="left"/>
    </xf>
    <xf numFmtId="3" fontId="12" fillId="0" borderId="30" xfId="0" applyNumberFormat="1" applyFont="1" applyFill="1" applyBorder="1" applyAlignment="1">
      <alignment horizontal="right" vertical="center"/>
    </xf>
    <xf numFmtId="167" fontId="12" fillId="0" borderId="16" xfId="0" applyNumberFormat="1" applyFont="1" applyFill="1" applyBorder="1" applyAlignment="1">
      <alignment vertical="center"/>
    </xf>
    <xf numFmtId="164" fontId="12" fillId="0" borderId="51" xfId="0" applyNumberFormat="1" applyFont="1" applyFill="1" applyBorder="1" applyAlignment="1">
      <alignment horizontal="center" vertical="center"/>
    </xf>
    <xf numFmtId="0" fontId="13" fillId="0" borderId="57" xfId="0" applyFont="1" applyFill="1" applyBorder="1" applyAlignment="1">
      <alignment horizontal="right"/>
    </xf>
    <xf numFmtId="165" fontId="13" fillId="0" borderId="58" xfId="0" applyNumberFormat="1" applyFont="1" applyFill="1" applyBorder="1" applyAlignment="1">
      <alignment horizontal="center"/>
    </xf>
    <xf numFmtId="165" fontId="13" fillId="0" borderId="59" xfId="0" applyNumberFormat="1" applyFont="1" applyFill="1" applyBorder="1" applyAlignment="1">
      <alignment horizontal="center"/>
    </xf>
    <xf numFmtId="0" fontId="12" fillId="0" borderId="0" xfId="0" applyFont="1" applyFill="1" applyAlignment="1">
      <alignment horizontal="left" wrapText="1"/>
    </xf>
    <xf numFmtId="3" fontId="12" fillId="0" borderId="43" xfId="0" applyNumberFormat="1" applyFont="1" applyFill="1" applyBorder="1" applyAlignment="1">
      <alignment vertical="center"/>
    </xf>
    <xf numFmtId="3" fontId="12" fillId="0" borderId="13" xfId="0" applyNumberFormat="1" applyFont="1" applyFill="1" applyBorder="1" applyAlignment="1">
      <alignment vertical="center"/>
    </xf>
    <xf numFmtId="164" fontId="12" fillId="0" borderId="43" xfId="0" applyNumberFormat="1" applyFont="1" applyFill="1" applyBorder="1" applyAlignment="1">
      <alignment vertical="center"/>
    </xf>
    <xf numFmtId="0" fontId="12" fillId="0" borderId="40" xfId="0" applyFont="1" applyFill="1" applyBorder="1" applyAlignment="1">
      <alignment horizontal="center" vertical="center" wrapText="1"/>
    </xf>
    <xf numFmtId="0" fontId="12" fillId="0" borderId="35" xfId="0" applyFont="1" applyFill="1" applyBorder="1" applyAlignment="1">
      <alignment horizontal="center" vertical="center"/>
    </xf>
    <xf numFmtId="0" fontId="13" fillId="2" borderId="9" xfId="0" applyFont="1" applyFill="1" applyBorder="1" applyAlignment="1">
      <alignment horizontal="center"/>
    </xf>
    <xf numFmtId="0" fontId="13" fillId="2" borderId="47" xfId="0" applyFont="1" applyFill="1" applyBorder="1" applyAlignment="1">
      <alignment horizontal="center"/>
    </xf>
    <xf numFmtId="0" fontId="13" fillId="3" borderId="60" xfId="0" applyFont="1" applyFill="1" applyBorder="1" applyAlignment="1">
      <alignment horizontal="center"/>
    </xf>
    <xf numFmtId="0" fontId="13" fillId="3" borderId="40" xfId="0" applyFont="1" applyFill="1" applyBorder="1" applyAlignment="1">
      <alignment horizontal="center"/>
    </xf>
    <xf numFmtId="0" fontId="13" fillId="3" borderId="53" xfId="0" applyFont="1" applyFill="1" applyBorder="1" applyAlignment="1">
      <alignment horizontal="center"/>
    </xf>
    <xf numFmtId="0" fontId="13" fillId="3" borderId="53" xfId="0" applyFont="1" applyFill="1" applyBorder="1" applyAlignment="1">
      <alignment horizontal="center" vertical="center"/>
    </xf>
    <xf numFmtId="0" fontId="13" fillId="3" borderId="7"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0" xfId="0" applyFont="1" applyFill="1" applyBorder="1" applyAlignment="1">
      <alignment horizontal="center"/>
    </xf>
    <xf numFmtId="0" fontId="13" fillId="3" borderId="11" xfId="0" applyFont="1" applyFill="1" applyBorder="1" applyAlignment="1">
      <alignment horizont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3" fontId="12" fillId="0" borderId="0" xfId="0" applyNumberFormat="1" applyFont="1" applyFill="1" applyBorder="1" applyAlignment="1">
      <alignment vertical="center"/>
    </xf>
    <xf numFmtId="165" fontId="13" fillId="0" borderId="0" xfId="0" applyNumberFormat="1" applyFont="1" applyFill="1" applyBorder="1" applyAlignment="1">
      <alignment horizontal="center"/>
    </xf>
    <xf numFmtId="0" fontId="13" fillId="3" borderId="35" xfId="0" applyFont="1" applyFill="1" applyBorder="1" applyAlignment="1">
      <alignment horizontal="center"/>
    </xf>
    <xf numFmtId="0" fontId="13" fillId="3" borderId="16" xfId="0" applyFont="1" applyFill="1" applyBorder="1" applyAlignment="1">
      <alignment horizontal="center"/>
    </xf>
    <xf numFmtId="0" fontId="13" fillId="3" borderId="15" xfId="0" applyFont="1" applyFill="1" applyBorder="1" applyAlignment="1">
      <alignment horizontal="center"/>
    </xf>
    <xf numFmtId="0" fontId="13" fillId="3" borderId="29" xfId="0" applyFont="1" applyFill="1" applyBorder="1" applyAlignment="1">
      <alignment horizontal="center"/>
    </xf>
    <xf numFmtId="0" fontId="13" fillId="3" borderId="14" xfId="0" applyFont="1" applyFill="1" applyBorder="1" applyAlignment="1">
      <alignment horizontal="center"/>
    </xf>
    <xf numFmtId="0" fontId="13" fillId="3" borderId="56" xfId="0" applyFont="1" applyFill="1" applyBorder="1" applyAlignment="1">
      <alignment horizontal="center"/>
    </xf>
    <xf numFmtId="0" fontId="13" fillId="3" borderId="37" xfId="0" applyFont="1" applyFill="1" applyBorder="1" applyAlignment="1">
      <alignment horizontal="center"/>
    </xf>
    <xf numFmtId="0" fontId="13" fillId="3" borderId="36" xfId="0" applyFont="1" applyFill="1" applyBorder="1" applyAlignment="1">
      <alignment horizontal="center"/>
    </xf>
    <xf numFmtId="0" fontId="12" fillId="0" borderId="0" xfId="0" applyFont="1" applyFill="1" applyBorder="1" applyAlignment="1">
      <alignment horizontal="right" vertical="center"/>
    </xf>
    <xf numFmtId="3" fontId="12" fillId="0" borderId="0" xfId="0" applyNumberFormat="1" applyFont="1" applyFill="1" applyBorder="1" applyAlignment="1">
      <alignment horizontal="center" vertical="center"/>
    </xf>
    <xf numFmtId="0" fontId="12" fillId="0" borderId="43" xfId="0" applyNumberFormat="1" applyFont="1" applyFill="1" applyBorder="1" applyAlignment="1">
      <alignment vertical="center"/>
    </xf>
    <xf numFmtId="0" fontId="12" fillId="0" borderId="13" xfId="0" applyNumberFormat="1" applyFont="1" applyFill="1" applyBorder="1" applyAlignment="1">
      <alignment vertical="center"/>
    </xf>
    <xf numFmtId="0" fontId="12" fillId="0" borderId="25" xfId="0" applyNumberFormat="1" applyFont="1" applyFill="1" applyBorder="1" applyAlignment="1">
      <alignment vertical="center"/>
    </xf>
    <xf numFmtId="2" fontId="12" fillId="0" borderId="43" xfId="0" applyNumberFormat="1" applyFont="1" applyFill="1" applyBorder="1" applyAlignment="1">
      <alignment vertical="center"/>
    </xf>
    <xf numFmtId="0" fontId="13" fillId="3" borderId="61" xfId="0" applyFont="1" applyFill="1" applyBorder="1" applyAlignment="1">
      <alignment horizontal="center"/>
    </xf>
    <xf numFmtId="0" fontId="12" fillId="0" borderId="0" xfId="0" applyFont="1" applyFill="1" applyBorder="1" applyAlignment="1">
      <alignment vertical="center" wrapText="1"/>
    </xf>
    <xf numFmtId="0" fontId="12" fillId="0" borderId="0" xfId="0" applyNumberFormat="1" applyFont="1" applyFill="1" applyBorder="1" applyAlignment="1">
      <alignment horizontal="center" vertical="center"/>
    </xf>
    <xf numFmtId="165" fontId="12" fillId="0" borderId="26" xfId="0" applyNumberFormat="1" applyFont="1" applyFill="1" applyBorder="1" applyAlignment="1">
      <alignment horizontal="center" vertical="center" wrapText="1"/>
    </xf>
    <xf numFmtId="0" fontId="13" fillId="2" borderId="1" xfId="0" applyFont="1" applyFill="1" applyBorder="1" applyAlignment="1">
      <alignment horizontal="center" wrapText="1"/>
    </xf>
    <xf numFmtId="0" fontId="13" fillId="3" borderId="10" xfId="0" applyFont="1" applyFill="1" applyBorder="1" applyAlignment="1">
      <alignment horizontal="center" wrapText="1"/>
    </xf>
    <xf numFmtId="165" fontId="12" fillId="0" borderId="40" xfId="0" applyNumberFormat="1" applyFont="1" applyFill="1" applyBorder="1" applyAlignment="1">
      <alignment horizontal="center" vertical="center" wrapText="1"/>
    </xf>
    <xf numFmtId="165" fontId="13" fillId="0" borderId="0" xfId="0" applyNumberFormat="1" applyFont="1" applyFill="1" applyBorder="1" applyAlignment="1">
      <alignment horizontal="center" wrapText="1"/>
    </xf>
    <xf numFmtId="0" fontId="13" fillId="2" borderId="50" xfId="0" applyFont="1" applyFill="1" applyBorder="1" applyAlignment="1">
      <alignment horizontal="center" wrapText="1"/>
    </xf>
    <xf numFmtId="0" fontId="13" fillId="3" borderId="11" xfId="0" applyFont="1" applyFill="1" applyBorder="1" applyAlignment="1">
      <alignment horizontal="center" wrapText="1"/>
    </xf>
    <xf numFmtId="165" fontId="12" fillId="0" borderId="51" xfId="0" applyNumberFormat="1" applyFont="1" applyFill="1" applyBorder="1" applyAlignment="1">
      <alignment horizontal="center" vertical="center" wrapText="1"/>
    </xf>
    <xf numFmtId="0" fontId="13" fillId="2" borderId="6" xfId="0" applyFont="1" applyFill="1" applyBorder="1" applyAlignment="1">
      <alignment horizontal="center" wrapText="1"/>
    </xf>
    <xf numFmtId="0" fontId="12" fillId="0" borderId="27" xfId="1" applyFont="1" applyFill="1" applyBorder="1" applyAlignment="1">
      <alignment horizontal="center" vertical="center" wrapText="1"/>
    </xf>
    <xf numFmtId="0" fontId="23" fillId="0" borderId="0" xfId="0" applyFont="1"/>
    <xf numFmtId="165" fontId="12" fillId="0" borderId="27" xfId="0" applyNumberFormat="1" applyFont="1" applyFill="1" applyBorder="1" applyAlignment="1">
      <alignment horizontal="center" vertical="center" wrapText="1"/>
    </xf>
    <xf numFmtId="165" fontId="12" fillId="0" borderId="62" xfId="0" applyNumberFormat="1" applyFont="1" applyFill="1" applyBorder="1" applyAlignment="1">
      <alignment horizontal="center" vertical="center" wrapText="1"/>
    </xf>
    <xf numFmtId="165" fontId="12" fillId="0" borderId="39" xfId="0" applyNumberFormat="1" applyFont="1" applyFill="1" applyBorder="1" applyAlignment="1">
      <alignment horizontal="center" vertical="center" wrapText="1"/>
    </xf>
    <xf numFmtId="165" fontId="12" fillId="0" borderId="63" xfId="0" applyNumberFormat="1" applyFont="1" applyFill="1" applyBorder="1" applyAlignment="1">
      <alignment horizontal="center" vertical="center" wrapText="1"/>
    </xf>
    <xf numFmtId="165" fontId="13" fillId="0" borderId="21" xfId="0" applyNumberFormat="1" applyFont="1" applyFill="1" applyBorder="1" applyAlignment="1">
      <alignment horizontal="center" vertical="center" wrapText="1"/>
    </xf>
    <xf numFmtId="165" fontId="12" fillId="0" borderId="62" xfId="0" applyNumberFormat="1" applyFont="1" applyFill="1" applyBorder="1" applyAlignment="1">
      <alignment horizontal="center" vertical="center" wrapText="1"/>
    </xf>
    <xf numFmtId="3" fontId="12" fillId="0" borderId="16" xfId="0" applyNumberFormat="1" applyFont="1" applyFill="1" applyBorder="1" applyAlignment="1">
      <alignment vertical="center"/>
    </xf>
    <xf numFmtId="3" fontId="12" fillId="0" borderId="7" xfId="0" applyNumberFormat="1" applyFont="1" applyFill="1" applyBorder="1" applyAlignment="1">
      <alignment vertical="center"/>
    </xf>
    <xf numFmtId="3" fontId="12" fillId="0" borderId="15" xfId="0" applyNumberFormat="1" applyFont="1" applyFill="1" applyBorder="1" applyAlignment="1">
      <alignment vertical="center"/>
    </xf>
    <xf numFmtId="3" fontId="12" fillId="0" borderId="10" xfId="0" applyNumberFormat="1" applyFont="1" applyFill="1" applyBorder="1" applyAlignment="1">
      <alignment vertical="center"/>
    </xf>
    <xf numFmtId="169" fontId="12" fillId="0" borderId="15" xfId="0" applyNumberFormat="1" applyFont="1" applyFill="1" applyBorder="1" applyAlignment="1">
      <alignment horizontal="center" vertical="center"/>
    </xf>
    <xf numFmtId="169" fontId="12" fillId="0" borderId="21" xfId="0" quotePrefix="1" applyNumberFormat="1" applyFont="1" applyFill="1" applyBorder="1" applyAlignment="1">
      <alignment horizontal="center" vertical="center" wrapText="1"/>
    </xf>
    <xf numFmtId="171" fontId="12" fillId="0" borderId="0" xfId="29" applyNumberFormat="1" applyFont="1" applyFill="1" applyAlignment="1">
      <alignment horizontal="right"/>
    </xf>
    <xf numFmtId="0" fontId="18" fillId="0" borderId="0" xfId="7" applyFont="1" applyFill="1"/>
    <xf numFmtId="0" fontId="1" fillId="0" borderId="0" xfId="10" applyFont="1" applyFill="1"/>
    <xf numFmtId="0" fontId="12" fillId="0" borderId="0" xfId="7" applyFont="1" applyFill="1" applyAlignment="1">
      <alignment horizontal="right"/>
    </xf>
    <xf numFmtId="3" fontId="1" fillId="0" borderId="0" xfId="10" applyNumberFormat="1" applyFont="1" applyFill="1"/>
    <xf numFmtId="3" fontId="12" fillId="0" borderId="0" xfId="7" applyNumberFormat="1" applyFont="1" applyFill="1"/>
    <xf numFmtId="0" fontId="12" fillId="0" borderId="0" xfId="10" applyFont="1" applyFill="1"/>
    <xf numFmtId="0" fontId="1" fillId="0" borderId="0" xfId="10" applyFont="1" applyFill="1" applyAlignment="1">
      <alignment horizontal="left"/>
    </xf>
    <xf numFmtId="0" fontId="12" fillId="0" borderId="0" xfId="10" applyFont="1" applyFill="1" applyBorder="1"/>
    <xf numFmtId="165" fontId="12" fillId="0" borderId="27" xfId="0" applyNumberFormat="1" applyFont="1" applyFill="1" applyBorder="1" applyAlignment="1">
      <alignment horizontal="center" vertical="center" wrapText="1"/>
    </xf>
    <xf numFmtId="165" fontId="12" fillId="0" borderId="27" xfId="0" applyNumberFormat="1" applyFont="1" applyFill="1" applyBorder="1" applyAlignment="1">
      <alignment horizontal="center" vertical="center" wrapText="1"/>
    </xf>
    <xf numFmtId="0" fontId="13" fillId="2" borderId="4" xfId="0" applyFont="1" applyFill="1" applyBorder="1" applyAlignment="1">
      <alignment horizontal="center" vertical="center"/>
    </xf>
    <xf numFmtId="165" fontId="12" fillId="0" borderId="0" xfId="0" applyNumberFormat="1" applyFont="1" applyFill="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vertical="center" wrapText="1"/>
    </xf>
    <xf numFmtId="0" fontId="18" fillId="0" borderId="0" xfId="0" applyFont="1" applyFill="1" applyBorder="1" applyAlignment="1">
      <alignment horizontal="left" vertical="center" wrapText="1"/>
    </xf>
    <xf numFmtId="165" fontId="12" fillId="0" borderId="62" xfId="0" applyNumberFormat="1" applyFont="1" applyFill="1" applyBorder="1" applyAlignment="1">
      <alignment horizontal="center" vertical="center" wrapText="1"/>
    </xf>
    <xf numFmtId="165" fontId="12" fillId="0" borderId="27" xfId="0" applyNumberFormat="1" applyFont="1" applyFill="1" applyBorder="1" applyAlignment="1">
      <alignment horizontal="center" vertical="center" wrapText="1"/>
    </xf>
    <xf numFmtId="0" fontId="13" fillId="0" borderId="0" xfId="0" applyFont="1" applyAlignment="1">
      <alignment horizontal="center"/>
    </xf>
    <xf numFmtId="0" fontId="13" fillId="2" borderId="2"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49" xfId="0" applyFont="1" applyFill="1" applyBorder="1" applyAlignment="1">
      <alignment horizontal="center" vertical="center"/>
    </xf>
    <xf numFmtId="0" fontId="23" fillId="0" borderId="0" xfId="0" applyFont="1" applyAlignment="1">
      <alignment horizontal="left" wrapText="1"/>
    </xf>
    <xf numFmtId="165" fontId="12" fillId="0" borderId="40" xfId="0" applyNumberFormat="1" applyFont="1" applyFill="1" applyBorder="1" applyAlignment="1">
      <alignment horizontal="center" vertical="center"/>
    </xf>
    <xf numFmtId="165" fontId="12" fillId="0" borderId="53" xfId="0" applyNumberFormat="1" applyFont="1" applyFill="1" applyBorder="1" applyAlignment="1">
      <alignment horizontal="center" vertical="center"/>
    </xf>
    <xf numFmtId="165" fontId="12" fillId="0" borderId="25" xfId="0" applyNumberFormat="1" applyFont="1" applyFill="1" applyBorder="1" applyAlignment="1">
      <alignment horizontal="center" vertical="center"/>
    </xf>
    <xf numFmtId="165" fontId="12" fillId="0" borderId="51" xfId="0" applyNumberFormat="1" applyFont="1" applyFill="1" applyBorder="1" applyAlignment="1">
      <alignment horizontal="center" vertical="center"/>
    </xf>
    <xf numFmtId="165" fontId="12" fillId="0" borderId="54" xfId="0" applyNumberFormat="1" applyFont="1" applyFill="1" applyBorder="1" applyAlignment="1">
      <alignment horizontal="center" vertical="center"/>
    </xf>
    <xf numFmtId="165" fontId="12" fillId="0" borderId="52" xfId="0" applyNumberFormat="1" applyFont="1" applyFill="1" applyBorder="1" applyAlignment="1">
      <alignment horizontal="center" vertical="center"/>
    </xf>
    <xf numFmtId="0" fontId="13" fillId="2" borderId="12"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6" xfId="0" applyFont="1" applyFill="1" applyBorder="1" applyAlignment="1">
      <alignment horizontal="center" vertical="center"/>
    </xf>
    <xf numFmtId="0" fontId="12" fillId="0" borderId="40"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40" xfId="0" applyFont="1" applyFill="1" applyBorder="1" applyAlignment="1">
      <alignment horizontal="center" vertical="center" wrapText="1"/>
    </xf>
    <xf numFmtId="0" fontId="12" fillId="0" borderId="25" xfId="0" applyFont="1" applyFill="1" applyBorder="1" applyAlignment="1">
      <alignment horizontal="center" vertical="center" wrapText="1"/>
    </xf>
    <xf numFmtId="3" fontId="12" fillId="0" borderId="28" xfId="0" applyNumberFormat="1" applyFont="1" applyFill="1" applyBorder="1" applyAlignment="1">
      <alignment horizontal="right" vertical="center"/>
    </xf>
    <xf numFmtId="3" fontId="12" fillId="0" borderId="15" xfId="0" applyNumberFormat="1" applyFont="1" applyFill="1" applyBorder="1" applyAlignment="1">
      <alignment horizontal="left" vertical="center"/>
    </xf>
    <xf numFmtId="3" fontId="12" fillId="0" borderId="10" xfId="0" applyNumberFormat="1" applyFont="1" applyFill="1" applyBorder="1" applyAlignment="1">
      <alignment horizontal="left" vertical="center"/>
    </xf>
    <xf numFmtId="3" fontId="12" fillId="0" borderId="13" xfId="0" applyNumberFormat="1" applyFont="1" applyFill="1" applyBorder="1" applyAlignment="1">
      <alignment horizontal="left" vertical="center"/>
    </xf>
    <xf numFmtId="0" fontId="12" fillId="0" borderId="0" xfId="0" applyFont="1" applyFill="1" applyAlignment="1">
      <alignment horizontal="left" vertical="center" wrapText="1"/>
    </xf>
    <xf numFmtId="0" fontId="11" fillId="0" borderId="0" xfId="0" applyFont="1" applyAlignment="1">
      <alignment horizontal="center"/>
    </xf>
    <xf numFmtId="0" fontId="13" fillId="2" borderId="17" xfId="0" applyFont="1" applyFill="1" applyBorder="1" applyAlignment="1">
      <alignment horizontal="center"/>
    </xf>
    <xf numFmtId="0" fontId="13" fillId="2" borderId="49" xfId="0" applyFont="1" applyFill="1" applyBorder="1" applyAlignment="1">
      <alignment horizontal="center"/>
    </xf>
    <xf numFmtId="0" fontId="12" fillId="0" borderId="0" xfId="0" applyFont="1" applyFill="1" applyAlignment="1">
      <alignment vertical="center" wrapText="1"/>
    </xf>
    <xf numFmtId="0" fontId="12" fillId="0" borderId="0" xfId="0" applyFont="1" applyFill="1" applyBorder="1" applyAlignment="1">
      <alignment horizontal="left" vertical="center" wrapText="1"/>
    </xf>
    <xf numFmtId="0" fontId="12" fillId="0" borderId="35" xfId="0" applyFont="1" applyFill="1" applyBorder="1" applyAlignment="1">
      <alignment horizontal="center" vertical="center"/>
    </xf>
    <xf numFmtId="0" fontId="12" fillId="0" borderId="38" xfId="0" applyFont="1" applyFill="1" applyBorder="1" applyAlignment="1">
      <alignment horizontal="center" vertical="center"/>
    </xf>
    <xf numFmtId="166" fontId="12" fillId="0" borderId="16" xfId="0" applyNumberFormat="1" applyFont="1" applyFill="1" applyBorder="1" applyAlignment="1">
      <alignment horizontal="right" vertical="center"/>
    </xf>
    <xf numFmtId="166" fontId="12" fillId="0" borderId="43" xfId="0" applyNumberFormat="1" applyFont="1" applyFill="1" applyBorder="1" applyAlignment="1">
      <alignment horizontal="right" vertical="center"/>
    </xf>
    <xf numFmtId="0" fontId="12" fillId="0" borderId="15" xfId="0" applyFont="1" applyFill="1" applyBorder="1" applyAlignment="1">
      <alignment horizontal="left" vertical="center"/>
    </xf>
    <xf numFmtId="0" fontId="12" fillId="0" borderId="13" xfId="0" applyFont="1" applyFill="1" applyBorder="1" applyAlignment="1">
      <alignment horizontal="left" vertical="center"/>
    </xf>
    <xf numFmtId="166" fontId="13" fillId="2" borderId="4" xfId="4" applyNumberFormat="1" applyFont="1" applyFill="1" applyBorder="1" applyAlignment="1">
      <alignment horizontal="center" wrapText="1"/>
    </xf>
    <xf numFmtId="166" fontId="13" fillId="2" borderId="12" xfId="4" applyNumberFormat="1" applyFont="1" applyFill="1" applyBorder="1" applyAlignment="1">
      <alignment horizontal="center" wrapText="1"/>
    </xf>
    <xf numFmtId="166" fontId="13" fillId="2" borderId="43" xfId="4" applyNumberFormat="1" applyFont="1" applyFill="1" applyBorder="1" applyAlignment="1">
      <alignment horizontal="center" wrapText="1"/>
    </xf>
    <xf numFmtId="166" fontId="13" fillId="2" borderId="13" xfId="4" applyNumberFormat="1" applyFont="1" applyFill="1" applyBorder="1" applyAlignment="1">
      <alignment horizontal="center" wrapText="1"/>
    </xf>
    <xf numFmtId="0" fontId="12" fillId="0" borderId="0" xfId="0" applyFont="1" applyFill="1" applyAlignment="1">
      <alignment horizontal="left" wrapText="1"/>
    </xf>
    <xf numFmtId="0" fontId="12" fillId="0" borderId="21" xfId="0" applyFont="1" applyFill="1" applyBorder="1" applyAlignment="1">
      <alignment horizontal="left" vertical="center"/>
    </xf>
    <xf numFmtId="2" fontId="13" fillId="2" borderId="4" xfId="4" applyNumberFormat="1" applyFont="1" applyFill="1" applyBorder="1" applyAlignment="1">
      <alignment horizontal="center" wrapText="1"/>
    </xf>
    <xf numFmtId="2" fontId="13" fillId="2" borderId="18" xfId="4" applyNumberFormat="1" applyFont="1" applyFill="1" applyBorder="1" applyAlignment="1">
      <alignment horizontal="center" wrapText="1"/>
    </xf>
    <xf numFmtId="2" fontId="13" fillId="2" borderId="43" xfId="4" applyNumberFormat="1" applyFont="1" applyFill="1" applyBorder="1" applyAlignment="1">
      <alignment horizontal="center" wrapText="1"/>
    </xf>
    <xf numFmtId="2" fontId="13" fillId="2" borderId="23" xfId="4" applyNumberFormat="1" applyFont="1" applyFill="1" applyBorder="1" applyAlignment="1">
      <alignment horizontal="center" wrapText="1"/>
    </xf>
    <xf numFmtId="3" fontId="12" fillId="0" borderId="16" xfId="0" applyNumberFormat="1" applyFont="1" applyFill="1" applyBorder="1" applyAlignment="1" applyProtection="1">
      <alignment horizontal="right" vertical="center"/>
      <protection locked="0"/>
    </xf>
    <xf numFmtId="3" fontId="12" fillId="0" borderId="7" xfId="0" applyNumberFormat="1" applyFont="1" applyFill="1" applyBorder="1" applyAlignment="1" applyProtection="1">
      <alignment horizontal="right" vertical="center"/>
      <protection locked="0"/>
    </xf>
    <xf numFmtId="3" fontId="12" fillId="0" borderId="15" xfId="0" applyNumberFormat="1" applyFont="1" applyFill="1" applyBorder="1" applyAlignment="1" applyProtection="1">
      <alignment horizontal="left" vertical="center"/>
      <protection locked="0"/>
    </xf>
    <xf numFmtId="3" fontId="12" fillId="0" borderId="10" xfId="0" applyNumberFormat="1" applyFont="1" applyFill="1" applyBorder="1" applyAlignment="1" applyProtection="1">
      <alignment horizontal="left" vertical="center"/>
      <protection locked="0"/>
    </xf>
    <xf numFmtId="165" fontId="12" fillId="0" borderId="28" xfId="0" applyNumberFormat="1" applyFont="1" applyFill="1" applyBorder="1" applyAlignment="1">
      <alignment horizontal="right" vertical="center"/>
    </xf>
    <xf numFmtId="0" fontId="13" fillId="2" borderId="42"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4" xfId="0" applyFont="1" applyFill="1" applyBorder="1" applyAlignment="1">
      <alignment horizontal="center"/>
    </xf>
    <xf numFmtId="0" fontId="13" fillId="2" borderId="9" xfId="0" applyFont="1" applyFill="1" applyBorder="1" applyAlignment="1">
      <alignment horizontal="center"/>
    </xf>
    <xf numFmtId="0" fontId="13" fillId="2" borderId="45" xfId="0" applyFont="1" applyFill="1" applyBorder="1" applyAlignment="1">
      <alignment horizontal="center"/>
    </xf>
    <xf numFmtId="0" fontId="13" fillId="2" borderId="43" xfId="0" applyFont="1" applyFill="1" applyBorder="1" applyAlignment="1">
      <alignment horizontal="center" vertical="center" wrapText="1"/>
    </xf>
    <xf numFmtId="0" fontId="13" fillId="2" borderId="13" xfId="0" applyFont="1" applyFill="1" applyBorder="1" applyAlignment="1">
      <alignment horizontal="center" vertical="center" wrapText="1"/>
    </xf>
    <xf numFmtId="165" fontId="13" fillId="2" borderId="24" xfId="4" applyNumberFormat="1" applyFont="1" applyFill="1" applyBorder="1" applyAlignment="1">
      <alignment horizontal="center" vertical="center"/>
    </xf>
    <xf numFmtId="165" fontId="13" fillId="2" borderId="17" xfId="4" applyNumberFormat="1" applyFont="1" applyFill="1" applyBorder="1" applyAlignment="1">
      <alignment horizontal="center" vertical="center"/>
    </xf>
    <xf numFmtId="165" fontId="13" fillId="2" borderId="19" xfId="4" applyNumberFormat="1" applyFont="1" applyFill="1" applyBorder="1" applyAlignment="1">
      <alignment horizontal="center"/>
    </xf>
    <xf numFmtId="0" fontId="13" fillId="2" borderId="25" xfId="0" applyFont="1" applyFill="1" applyBorder="1" applyAlignment="1">
      <alignment horizontal="center" vertical="center"/>
    </xf>
    <xf numFmtId="2" fontId="12" fillId="0" borderId="0" xfId="0" applyNumberFormat="1" applyFont="1" applyFill="1" applyBorder="1" applyAlignment="1">
      <alignment horizontal="right" vertical="center"/>
    </xf>
    <xf numFmtId="2" fontId="12" fillId="0" borderId="28" xfId="0" applyNumberFormat="1" applyFont="1" applyFill="1" applyBorder="1" applyAlignment="1">
      <alignment horizontal="right" vertical="center"/>
    </xf>
    <xf numFmtId="3" fontId="12" fillId="0" borderId="26" xfId="0" applyNumberFormat="1" applyFont="1" applyFill="1" applyBorder="1" applyAlignment="1">
      <alignment horizontal="left" vertical="center"/>
    </xf>
    <xf numFmtId="2" fontId="12" fillId="0" borderId="28" xfId="0" applyNumberFormat="1" applyFont="1" applyFill="1" applyBorder="1" applyAlignment="1">
      <alignment horizontal="center" vertical="center" wrapText="1"/>
    </xf>
    <xf numFmtId="2" fontId="12" fillId="0" borderId="26" xfId="0" applyNumberFormat="1" applyFont="1" applyFill="1" applyBorder="1" applyAlignment="1">
      <alignment horizontal="center" vertical="center" wrapText="1"/>
    </xf>
    <xf numFmtId="2" fontId="13" fillId="2" borderId="4" xfId="4" applyNumberFormat="1" applyFont="1" applyFill="1" applyBorder="1" applyAlignment="1">
      <alignment horizontal="center" vertical="center" wrapText="1"/>
    </xf>
    <xf numFmtId="2" fontId="13" fillId="2" borderId="18" xfId="4" applyNumberFormat="1" applyFont="1" applyFill="1" applyBorder="1" applyAlignment="1">
      <alignment horizontal="center" vertical="center" wrapText="1"/>
    </xf>
    <xf numFmtId="2" fontId="13" fillId="2" borderId="43" xfId="4" applyNumberFormat="1" applyFont="1" applyFill="1" applyBorder="1" applyAlignment="1">
      <alignment horizontal="center" vertical="center" wrapText="1"/>
    </xf>
    <xf numFmtId="2" fontId="13" fillId="2" borderId="23" xfId="4" applyNumberFormat="1" applyFont="1" applyFill="1" applyBorder="1" applyAlignment="1">
      <alignment horizontal="center" vertical="center" wrapText="1"/>
    </xf>
    <xf numFmtId="0" fontId="12" fillId="0" borderId="14" xfId="0" applyFont="1" applyFill="1" applyBorder="1" applyAlignment="1">
      <alignment vertical="center"/>
    </xf>
    <xf numFmtId="0" fontId="12" fillId="0" borderId="11" xfId="0" applyFont="1" applyFill="1" applyBorder="1" applyAlignment="1">
      <alignment vertical="center"/>
    </xf>
    <xf numFmtId="0" fontId="12" fillId="0" borderId="23" xfId="0" applyFont="1" applyFill="1" applyBorder="1" applyAlignment="1">
      <alignment vertical="center"/>
    </xf>
    <xf numFmtId="0" fontId="13" fillId="2" borderId="3"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4"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13" xfId="0" applyFont="1" applyFill="1" applyBorder="1" applyAlignment="1">
      <alignment horizontal="center" vertical="center"/>
    </xf>
    <xf numFmtId="165" fontId="13" fillId="2" borderId="19" xfId="4" applyNumberFormat="1" applyFont="1" applyFill="1" applyBorder="1" applyAlignment="1">
      <alignment horizontal="center" vertical="center"/>
    </xf>
    <xf numFmtId="3" fontId="12" fillId="0" borderId="16" xfId="0" applyNumberFormat="1" applyFont="1" applyFill="1" applyBorder="1" applyAlignment="1">
      <alignment vertical="center"/>
    </xf>
    <xf numFmtId="3" fontId="12" fillId="0" borderId="7" xfId="0" applyNumberFormat="1" applyFont="1" applyFill="1" applyBorder="1" applyAlignment="1">
      <alignment vertical="center"/>
    </xf>
    <xf numFmtId="3" fontId="12" fillId="0" borderId="43" xfId="0" applyNumberFormat="1" applyFont="1" applyFill="1" applyBorder="1" applyAlignment="1">
      <alignment vertical="center"/>
    </xf>
    <xf numFmtId="3" fontId="12" fillId="0" borderId="15" xfId="0" applyNumberFormat="1" applyFont="1" applyFill="1" applyBorder="1" applyAlignment="1">
      <alignment vertical="center"/>
    </xf>
    <xf numFmtId="3" fontId="12" fillId="0" borderId="10" xfId="0" applyNumberFormat="1" applyFont="1" applyFill="1" applyBorder="1" applyAlignment="1">
      <alignment vertical="center"/>
    </xf>
    <xf numFmtId="3" fontId="12" fillId="0" borderId="13" xfId="0" applyNumberFormat="1" applyFont="1" applyFill="1" applyBorder="1" applyAlignment="1">
      <alignment vertical="center"/>
    </xf>
    <xf numFmtId="164" fontId="12" fillId="0" borderId="16" xfId="0" applyNumberFormat="1" applyFont="1" applyFill="1" applyBorder="1" applyAlignment="1">
      <alignment vertical="center"/>
    </xf>
    <xf numFmtId="164" fontId="12" fillId="0" borderId="7" xfId="0" applyNumberFormat="1" applyFont="1" applyFill="1" applyBorder="1" applyAlignment="1">
      <alignment vertical="center"/>
    </xf>
    <xf numFmtId="164" fontId="12" fillId="0" borderId="43" xfId="0" applyNumberFormat="1" applyFont="1" applyFill="1" applyBorder="1" applyAlignment="1">
      <alignment vertical="center"/>
    </xf>
    <xf numFmtId="166" fontId="13" fillId="2" borderId="4" xfId="4" applyNumberFormat="1" applyFont="1" applyFill="1" applyBorder="1" applyAlignment="1">
      <alignment horizontal="center" vertical="center" wrapText="1"/>
    </xf>
    <xf numFmtId="166" fontId="13" fillId="2" borderId="12" xfId="4" applyNumberFormat="1" applyFont="1" applyFill="1" applyBorder="1" applyAlignment="1">
      <alignment horizontal="center" vertical="center" wrapText="1"/>
    </xf>
    <xf numFmtId="166" fontId="13" fillId="2" borderId="43" xfId="4" applyNumberFormat="1" applyFont="1" applyFill="1" applyBorder="1" applyAlignment="1">
      <alignment horizontal="center" vertical="center" wrapText="1"/>
    </xf>
    <xf numFmtId="166" fontId="13" fillId="2" borderId="13" xfId="4" applyNumberFormat="1" applyFont="1" applyFill="1" applyBorder="1" applyAlignment="1">
      <alignment horizontal="center" vertical="center" wrapText="1"/>
    </xf>
    <xf numFmtId="0" fontId="13" fillId="2" borderId="47" xfId="0" applyFont="1" applyFill="1" applyBorder="1" applyAlignment="1">
      <alignment horizontal="center"/>
    </xf>
    <xf numFmtId="0" fontId="13" fillId="2" borderId="46" xfId="0" applyFont="1" applyFill="1" applyBorder="1" applyAlignment="1">
      <alignment horizontal="center"/>
    </xf>
    <xf numFmtId="0" fontId="13" fillId="2" borderId="48" xfId="0" applyFont="1" applyFill="1" applyBorder="1" applyAlignment="1">
      <alignment horizontal="center"/>
    </xf>
  </cellXfs>
  <cellStyles count="31">
    <cellStyle name="Comma" xfId="29" builtinId="3"/>
    <cellStyle name="Comma 2" xfId="22"/>
    <cellStyle name="Normal" xfId="0" builtinId="0"/>
    <cellStyle name="Normal 2" xfId="1"/>
    <cellStyle name="Normal 2 2" xfId="2"/>
    <cellStyle name="Normal 2 2 2" xfId="28"/>
    <cellStyle name="Normal 2 3" xfId="8"/>
    <cellStyle name="Normal 2 4" xfId="7"/>
    <cellStyle name="Normal 23" xfId="3"/>
    <cellStyle name="Normal 23 2" xfId="10"/>
    <cellStyle name="Normal 23 2 2" xfId="23"/>
    <cellStyle name="Normal 23 2 3" xfId="17"/>
    <cellStyle name="Normal 23 3" xfId="12"/>
    <cellStyle name="Normal 23 3 2" xfId="19"/>
    <cellStyle name="Normal 23 4" xfId="14"/>
    <cellStyle name="Normal 3" xfId="9"/>
    <cellStyle name="Normal 3 2" xfId="24"/>
    <cellStyle name="Normal 3 3" xfId="25"/>
    <cellStyle name="Normal 4" xfId="6"/>
    <cellStyle name="Normal 4 2" xfId="26"/>
    <cellStyle name="Normal 4 3" xfId="16"/>
    <cellStyle name="Normal 5" xfId="11"/>
    <cellStyle name="Normal 5 2" xfId="18"/>
    <cellStyle name="Normal 6" xfId="13"/>
    <cellStyle name="Normal 6 2" xfId="20"/>
    <cellStyle name="Normal 7" xfId="21"/>
    <cellStyle name="Normal_Sheet2 (2)" xfId="4"/>
    <cellStyle name="Percent" xfId="5" builtinId="5"/>
    <cellStyle name="Percent 2" xfId="27"/>
    <cellStyle name="Percent 3" xfId="15"/>
    <cellStyle name="Percent 5" xfId="3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tabSelected="1" zoomScaleNormal="100" workbookViewId="0">
      <selection activeCell="D10" sqref="D10"/>
    </sheetView>
  </sheetViews>
  <sheetFormatPr defaultColWidth="9.140625" defaultRowHeight="14.25"/>
  <cols>
    <col min="1" max="1" width="7.5703125" style="3" customWidth="1"/>
    <col min="2" max="2" width="22.140625" style="3" customWidth="1"/>
    <col min="3" max="4" width="25.140625" style="47" customWidth="1"/>
    <col min="5" max="5" width="20.85546875" style="47" customWidth="1"/>
    <col min="6" max="16384" width="9.140625" style="3"/>
  </cols>
  <sheetData>
    <row r="1" spans="1:5" ht="15" customHeight="1">
      <c r="A1" s="345" t="s">
        <v>218</v>
      </c>
      <c r="B1" s="345"/>
      <c r="C1" s="345"/>
      <c r="D1" s="345"/>
      <c r="E1" s="345"/>
    </row>
    <row r="2" spans="1:5" ht="15">
      <c r="A2" s="345" t="s">
        <v>76</v>
      </c>
      <c r="B2" s="345"/>
      <c r="C2" s="345"/>
      <c r="D2" s="345"/>
      <c r="E2" s="345"/>
    </row>
    <row r="3" spans="1:5" ht="15" thickBot="1"/>
    <row r="4" spans="1:5" ht="18.75" customHeight="1">
      <c r="A4" s="346" t="s">
        <v>9</v>
      </c>
      <c r="B4" s="347"/>
      <c r="C4" s="348" t="s">
        <v>194</v>
      </c>
      <c r="D4" s="349"/>
      <c r="E4" s="350"/>
    </row>
    <row r="5" spans="1:5" ht="17.25" thickBot="1">
      <c r="A5" s="274" t="s">
        <v>11</v>
      </c>
      <c r="B5" s="273" t="s">
        <v>10</v>
      </c>
      <c r="C5" s="305" t="s">
        <v>128</v>
      </c>
      <c r="D5" s="312" t="s">
        <v>129</v>
      </c>
      <c r="E5" s="309" t="s">
        <v>130</v>
      </c>
    </row>
    <row r="6" spans="1:5" ht="15.75" thickTop="1">
      <c r="A6" s="275"/>
      <c r="B6" s="276"/>
      <c r="C6" s="306"/>
      <c r="D6" s="306" t="s">
        <v>80</v>
      </c>
      <c r="E6" s="310"/>
    </row>
    <row r="7" spans="1:5" s="41" customFormat="1" ht="28.5">
      <c r="A7" s="38">
        <v>3</v>
      </c>
      <c r="B7" s="39" t="s">
        <v>196</v>
      </c>
      <c r="C7" s="304" t="s">
        <v>187</v>
      </c>
      <c r="D7" s="304" t="s">
        <v>187</v>
      </c>
      <c r="E7" s="319" t="s">
        <v>109</v>
      </c>
    </row>
    <row r="8" spans="1:5" s="41" customFormat="1" ht="27.6" customHeight="1">
      <c r="A8" s="272">
        <v>4</v>
      </c>
      <c r="B8" s="271" t="s">
        <v>196</v>
      </c>
      <c r="C8" s="307" t="s">
        <v>188</v>
      </c>
      <c r="D8" s="307" t="s">
        <v>188</v>
      </c>
      <c r="E8" s="311" t="s">
        <v>193</v>
      </c>
    </row>
    <row r="9" spans="1:5" s="41" customFormat="1" ht="58.15" customHeight="1">
      <c r="A9" s="38">
        <v>8</v>
      </c>
      <c r="B9" s="39" t="s">
        <v>197</v>
      </c>
      <c r="C9" s="39" t="s">
        <v>217</v>
      </c>
      <c r="D9" s="39" t="s">
        <v>190</v>
      </c>
      <c r="E9" s="311" t="s">
        <v>193</v>
      </c>
    </row>
    <row r="10" spans="1:5" s="41" customFormat="1" ht="42.75">
      <c r="A10" s="38" t="s">
        <v>31</v>
      </c>
      <c r="B10" s="39" t="s">
        <v>201</v>
      </c>
      <c r="C10" s="337" t="s">
        <v>213</v>
      </c>
      <c r="D10" s="39" t="s">
        <v>214</v>
      </c>
      <c r="E10" s="311" t="s">
        <v>193</v>
      </c>
    </row>
    <row r="11" spans="1:5" s="41" customFormat="1">
      <c r="A11" s="38">
        <v>19</v>
      </c>
      <c r="B11" s="39" t="s">
        <v>198</v>
      </c>
      <c r="C11" s="344" t="s">
        <v>188</v>
      </c>
      <c r="D11" s="344" t="s">
        <v>188</v>
      </c>
      <c r="E11" s="343" t="s">
        <v>109</v>
      </c>
    </row>
    <row r="12" spans="1:5" s="41" customFormat="1">
      <c r="A12" s="38">
        <v>20</v>
      </c>
      <c r="B12" s="39" t="s">
        <v>198</v>
      </c>
      <c r="C12" s="344"/>
      <c r="D12" s="344"/>
      <c r="E12" s="343"/>
    </row>
    <row r="13" spans="1:5" s="41" customFormat="1">
      <c r="A13" s="38">
        <v>21</v>
      </c>
      <c r="B13" s="39" t="s">
        <v>198</v>
      </c>
      <c r="C13" s="344"/>
      <c r="D13" s="344"/>
      <c r="E13" s="343"/>
    </row>
    <row r="14" spans="1:5" s="41" customFormat="1" ht="42.75">
      <c r="A14" s="38">
        <v>27</v>
      </c>
      <c r="B14" s="39" t="s">
        <v>199</v>
      </c>
      <c r="C14" s="313" t="s">
        <v>189</v>
      </c>
      <c r="D14" s="39" t="s">
        <v>191</v>
      </c>
      <c r="E14" s="316" t="s">
        <v>109</v>
      </c>
    </row>
    <row r="15" spans="1:5" s="41" customFormat="1" ht="43.9" customHeight="1">
      <c r="A15" s="38">
        <v>105</v>
      </c>
      <c r="B15" s="39" t="s">
        <v>112</v>
      </c>
      <c r="C15" s="315" t="str">
        <f>'Table 1-5. SO2'!O18</f>
        <v>N/A</v>
      </c>
      <c r="D15" s="39" t="s">
        <v>212</v>
      </c>
      <c r="E15" s="316" t="str">
        <f>'Table 1-5. SO2'!Q18</f>
        <v>N/A</v>
      </c>
    </row>
    <row r="16" spans="1:5" s="41" customFormat="1" ht="28.5">
      <c r="A16" s="38">
        <v>107</v>
      </c>
      <c r="B16" s="39" t="s">
        <v>83</v>
      </c>
      <c r="C16" s="315" t="str">
        <f>'Table 1-5. SO2'!O19</f>
        <v>N/A</v>
      </c>
      <c r="D16" s="39" t="s">
        <v>212</v>
      </c>
      <c r="E16" s="316" t="str">
        <f>'Table 1-5. SO2'!Q19</f>
        <v>N/A</v>
      </c>
    </row>
    <row r="17" spans="1:5" s="41" customFormat="1">
      <c r="A17" s="38">
        <v>109</v>
      </c>
      <c r="B17" s="39" t="s">
        <v>84</v>
      </c>
      <c r="C17" s="315" t="str">
        <f>'Table 1-5. SO2'!O20</f>
        <v>N/A</v>
      </c>
      <c r="D17" s="39" t="s">
        <v>212</v>
      </c>
      <c r="E17" s="316" t="str">
        <f>'Table 1-5. SO2'!Q20</f>
        <v>N/A</v>
      </c>
    </row>
    <row r="18" spans="1:5" s="41" customFormat="1" ht="28.5">
      <c r="A18" s="38">
        <v>110</v>
      </c>
      <c r="B18" s="39" t="s">
        <v>85</v>
      </c>
      <c r="C18" s="315" t="str">
        <f>'Table 1-5. SO2'!O21</f>
        <v>N/A</v>
      </c>
      <c r="D18" s="39" t="s">
        <v>212</v>
      </c>
      <c r="E18" s="316" t="str">
        <f>'Table 1-5. SO2'!Q21</f>
        <v>N/A</v>
      </c>
    </row>
    <row r="19" spans="1:5" s="41" customFormat="1" ht="13.9" customHeight="1">
      <c r="A19" s="38">
        <v>111</v>
      </c>
      <c r="B19" s="39" t="s">
        <v>52</v>
      </c>
      <c r="C19" s="315" t="str">
        <f>'Table 1-5. SO2'!O22</f>
        <v>N/A</v>
      </c>
      <c r="D19" s="336" t="s">
        <v>142</v>
      </c>
      <c r="E19" s="316" t="str">
        <f>'Table 1-5. SO2'!Q22</f>
        <v>N/A</v>
      </c>
    </row>
    <row r="20" spans="1:5" s="41" customFormat="1" ht="28.15" customHeight="1">
      <c r="A20" s="38">
        <v>113</v>
      </c>
      <c r="B20" s="39" t="s">
        <v>195</v>
      </c>
      <c r="C20" s="315" t="s">
        <v>186</v>
      </c>
      <c r="D20" s="336" t="s">
        <v>192</v>
      </c>
      <c r="E20" s="320" t="s">
        <v>200</v>
      </c>
    </row>
    <row r="21" spans="1:5" s="41" customFormat="1" ht="28.5">
      <c r="A21" s="272">
        <v>114</v>
      </c>
      <c r="B21" s="39" t="s">
        <v>113</v>
      </c>
      <c r="C21" s="315" t="str">
        <f>'Table 1-5. SO2'!O24</f>
        <v>N/A</v>
      </c>
      <c r="D21" s="39" t="s">
        <v>212</v>
      </c>
      <c r="E21" s="316" t="str">
        <f>'Table 1-5. SO2'!Q24</f>
        <v>N/A</v>
      </c>
    </row>
    <row r="22" spans="1:5" s="41" customFormat="1" ht="28.5">
      <c r="A22" s="38">
        <v>128</v>
      </c>
      <c r="B22" s="39" t="s">
        <v>134</v>
      </c>
      <c r="C22" s="315" t="str">
        <f>'Table 1-5. SO2'!O25</f>
        <v>N/A</v>
      </c>
      <c r="D22" s="39" t="s">
        <v>212</v>
      </c>
      <c r="E22" s="316" t="str">
        <f>'Table 1-5. SO2'!Q25</f>
        <v>N/A</v>
      </c>
    </row>
    <row r="23" spans="1:5" s="41" customFormat="1" ht="28.5">
      <c r="A23" s="38">
        <v>129</v>
      </c>
      <c r="B23" s="39" t="s">
        <v>135</v>
      </c>
      <c r="C23" s="315" t="str">
        <f>'Table 1-5. SO2'!O26</f>
        <v>N/A</v>
      </c>
      <c r="D23" s="39" t="s">
        <v>212</v>
      </c>
      <c r="E23" s="316" t="str">
        <f>'Table 1-5. SO2'!Q26</f>
        <v>N/A</v>
      </c>
    </row>
    <row r="24" spans="1:5" s="41" customFormat="1" ht="29.25" thickBot="1">
      <c r="A24" s="105">
        <v>130</v>
      </c>
      <c r="B24" s="111" t="s">
        <v>136</v>
      </c>
      <c r="C24" s="317" t="str">
        <f>'Table 1-5. SO2'!O27</f>
        <v>N/A</v>
      </c>
      <c r="D24" s="111" t="s">
        <v>212</v>
      </c>
      <c r="E24" s="318" t="str">
        <f>'Table 1-5. SO2'!Q27</f>
        <v>N/A</v>
      </c>
    </row>
    <row r="25" spans="1:5" s="41" customFormat="1">
      <c r="A25" s="283"/>
      <c r="B25" s="284"/>
      <c r="C25" s="339"/>
      <c r="D25" s="284"/>
      <c r="E25" s="339"/>
    </row>
    <row r="26" spans="1:5" s="49" customFormat="1" ht="15">
      <c r="A26" s="234" t="s">
        <v>5</v>
      </c>
      <c r="B26" s="11"/>
      <c r="C26" s="308"/>
      <c r="D26" s="308"/>
      <c r="E26" s="308"/>
    </row>
    <row r="27" spans="1:5" s="49" customFormat="1" ht="33" customHeight="1">
      <c r="A27" s="342" t="s">
        <v>207</v>
      </c>
      <c r="B27" s="342"/>
      <c r="C27" s="342"/>
      <c r="D27" s="342"/>
      <c r="E27" s="342"/>
    </row>
    <row r="28" spans="1:5" ht="16.5">
      <c r="A28" s="233" t="s">
        <v>80</v>
      </c>
    </row>
    <row r="29" spans="1:5" ht="16.5">
      <c r="A29" s="233" t="s">
        <v>80</v>
      </c>
    </row>
    <row r="30" spans="1:5">
      <c r="A30" s="314"/>
    </row>
    <row r="31" spans="1:5">
      <c r="A31" s="314"/>
    </row>
  </sheetData>
  <mergeCells count="8">
    <mergeCell ref="A27:E27"/>
    <mergeCell ref="E11:E13"/>
    <mergeCell ref="C11:C13"/>
    <mergeCell ref="D11:D13"/>
    <mergeCell ref="A1:E1"/>
    <mergeCell ref="A2:E2"/>
    <mergeCell ref="A4:B4"/>
    <mergeCell ref="C4:E4"/>
  </mergeCells>
  <printOptions horizontalCentered="1"/>
  <pageMargins left="0.7" right="0.7" top="0.75" bottom="0.75" header="0.5" footer="0.5"/>
  <pageSetup scale="90" orientation="portrait" horizontalDpi="4294967294" r:id="rId1"/>
  <headerFooter alignWithMargins="0">
    <oddFooter>&amp;LUAF
PM&amp;Y2.5&amp;Y Serious NAA BACT Analysis&amp;CPage ii&amp;RJanuary 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zoomScaleNormal="100" zoomScalePageLayoutView="81" workbookViewId="0">
      <selection activeCell="D10" sqref="D10"/>
    </sheetView>
  </sheetViews>
  <sheetFormatPr defaultColWidth="9.140625" defaultRowHeight="12.75"/>
  <cols>
    <col min="1" max="1" width="7.5703125" style="1" customWidth="1"/>
    <col min="2" max="2" width="37.7109375" style="1" customWidth="1"/>
    <col min="3" max="3" width="21.5703125" style="1" customWidth="1"/>
    <col min="4" max="4" width="10" style="1" bestFit="1" customWidth="1"/>
    <col min="5" max="5" width="12.28515625" style="1" bestFit="1" customWidth="1"/>
    <col min="6" max="6" width="18.28515625" style="1" customWidth="1"/>
    <col min="7" max="7" width="9.28515625" style="1" bestFit="1" customWidth="1"/>
    <col min="8" max="10" width="12.28515625" style="1" customWidth="1"/>
    <col min="11" max="11" width="9.5703125" style="1" bestFit="1" customWidth="1"/>
    <col min="12" max="12" width="9.42578125" style="1" bestFit="1" customWidth="1"/>
    <col min="13" max="13" width="9.28515625" style="1" bestFit="1" customWidth="1"/>
    <col min="14" max="16384" width="9.140625" style="1"/>
  </cols>
  <sheetData>
    <row r="1" spans="1:16" ht="15" customHeight="1">
      <c r="A1" s="374" t="s">
        <v>154</v>
      </c>
      <c r="B1" s="374"/>
      <c r="C1" s="374"/>
      <c r="D1" s="374"/>
      <c r="E1" s="374"/>
      <c r="F1" s="374"/>
      <c r="G1" s="374"/>
      <c r="H1" s="374"/>
      <c r="I1" s="374"/>
      <c r="J1" s="374"/>
      <c r="K1" s="374"/>
      <c r="L1" s="374"/>
      <c r="M1" s="374"/>
    </row>
    <row r="2" spans="1:16" ht="15.75">
      <c r="A2" s="374" t="s">
        <v>76</v>
      </c>
      <c r="B2" s="374"/>
      <c r="C2" s="374"/>
      <c r="D2" s="374"/>
      <c r="E2" s="374"/>
      <c r="F2" s="374"/>
      <c r="G2" s="374"/>
      <c r="H2" s="374"/>
      <c r="I2" s="374"/>
      <c r="J2" s="374"/>
      <c r="K2" s="374"/>
      <c r="L2" s="374"/>
      <c r="M2" s="374"/>
    </row>
    <row r="3" spans="1:16" ht="13.5" thickBot="1">
      <c r="A3" s="4"/>
      <c r="B3" s="4"/>
      <c r="C3" s="4"/>
      <c r="D3" s="4"/>
      <c r="E3" s="4"/>
      <c r="F3" s="4"/>
      <c r="G3" s="4"/>
      <c r="H3" s="4"/>
      <c r="I3" s="4"/>
      <c r="J3" s="4"/>
    </row>
    <row r="4" spans="1:16" ht="18.75" customHeight="1">
      <c r="A4" s="346" t="s">
        <v>9</v>
      </c>
      <c r="B4" s="347"/>
      <c r="C4" s="347"/>
      <c r="D4" s="358"/>
      <c r="E4" s="338" t="s">
        <v>23</v>
      </c>
      <c r="F4" s="363" t="s">
        <v>67</v>
      </c>
      <c r="G4" s="359" t="s">
        <v>69</v>
      </c>
      <c r="H4" s="360"/>
      <c r="I4" s="359" t="s">
        <v>81</v>
      </c>
      <c r="J4" s="360"/>
      <c r="K4" s="375" t="s">
        <v>127</v>
      </c>
      <c r="L4" s="375"/>
      <c r="M4" s="376"/>
    </row>
    <row r="5" spans="1:16" ht="17.25" thickBot="1">
      <c r="A5" s="249" t="s">
        <v>11</v>
      </c>
      <c r="B5" s="244" t="s">
        <v>10</v>
      </c>
      <c r="C5" s="244" t="s">
        <v>12</v>
      </c>
      <c r="D5" s="244" t="s">
        <v>27</v>
      </c>
      <c r="E5" s="10" t="s">
        <v>24</v>
      </c>
      <c r="F5" s="364"/>
      <c r="G5" s="361"/>
      <c r="H5" s="362"/>
      <c r="I5" s="361"/>
      <c r="J5" s="362"/>
      <c r="K5" s="118" t="s">
        <v>128</v>
      </c>
      <c r="L5" s="10" t="s">
        <v>129</v>
      </c>
      <c r="M5" s="119" t="s">
        <v>130</v>
      </c>
    </row>
    <row r="6" spans="1:16" ht="15.75" thickTop="1">
      <c r="A6" s="275"/>
      <c r="B6" s="276"/>
      <c r="C6" s="276"/>
      <c r="D6" s="276"/>
      <c r="E6" s="277"/>
      <c r="F6" s="278"/>
      <c r="G6" s="279"/>
      <c r="H6" s="280"/>
      <c r="I6" s="279"/>
      <c r="J6" s="280"/>
      <c r="K6" s="281"/>
      <c r="L6" s="281"/>
      <c r="M6" s="282"/>
    </row>
    <row r="7" spans="1:16" s="13" customFormat="1" ht="16.5">
      <c r="A7" s="38">
        <v>3</v>
      </c>
      <c r="B7" s="39" t="s">
        <v>25</v>
      </c>
      <c r="C7" s="39" t="s">
        <v>26</v>
      </c>
      <c r="D7" s="24" t="s">
        <v>28</v>
      </c>
      <c r="E7" s="24">
        <v>1970</v>
      </c>
      <c r="F7" s="39" t="s">
        <v>79</v>
      </c>
      <c r="G7" s="86">
        <v>180.9</v>
      </c>
      <c r="H7" s="26" t="s">
        <v>6</v>
      </c>
      <c r="I7" s="14">
        <v>8760</v>
      </c>
      <c r="J7" s="26" t="s">
        <v>51</v>
      </c>
      <c r="K7" s="195">
        <f>'Table 1-3. NOx'!O8</f>
        <v>138.80443795620437</v>
      </c>
      <c r="L7" s="195">
        <f>'Table 1-4. PM2.5'!O8</f>
        <v>12.318893868613136</v>
      </c>
      <c r="M7" s="196">
        <f>'Table 1-5. SO2'!Q9</f>
        <v>410.62979562043796</v>
      </c>
      <c r="N7" s="16"/>
      <c r="O7" s="16"/>
      <c r="P7" s="16"/>
    </row>
    <row r="8" spans="1:16" s="13" customFormat="1" ht="27.6" customHeight="1">
      <c r="A8" s="379">
        <v>4</v>
      </c>
      <c r="B8" s="367" t="s">
        <v>25</v>
      </c>
      <c r="C8" s="367" t="s">
        <v>26</v>
      </c>
      <c r="D8" s="365" t="s">
        <v>28</v>
      </c>
      <c r="E8" s="365">
        <v>1987</v>
      </c>
      <c r="F8" s="367" t="s">
        <v>78</v>
      </c>
      <c r="G8" s="381">
        <v>180.9</v>
      </c>
      <c r="H8" s="383" t="s">
        <v>47</v>
      </c>
      <c r="I8" s="14">
        <f>G8*8760*0.1</f>
        <v>158468.40000000002</v>
      </c>
      <c r="J8" s="26" t="s">
        <v>90</v>
      </c>
      <c r="K8" s="250">
        <f>'Table 1-3. NOx'!O9</f>
        <v>13.880443795620439</v>
      </c>
      <c r="L8" s="250">
        <f>'Table 1-4. PM2.5'!O9</f>
        <v>1.2318893868613139</v>
      </c>
      <c r="M8" s="251">
        <f>'Table 1-5. SO2'!Q10</f>
        <v>40</v>
      </c>
      <c r="N8" s="16"/>
      <c r="O8" s="16"/>
      <c r="P8" s="16"/>
    </row>
    <row r="9" spans="1:16" s="13" customFormat="1" ht="16.5">
      <c r="A9" s="380"/>
      <c r="B9" s="368"/>
      <c r="C9" s="368"/>
      <c r="D9" s="366"/>
      <c r="E9" s="366"/>
      <c r="F9" s="368"/>
      <c r="G9" s="382"/>
      <c r="H9" s="384"/>
      <c r="I9" s="14">
        <v>8760</v>
      </c>
      <c r="J9" s="26" t="s">
        <v>104</v>
      </c>
      <c r="K9" s="250">
        <f>'Table 1-3. NOx'!O10</f>
        <v>11.092787999999997</v>
      </c>
      <c r="L9" s="250">
        <f>'Table 1-4. PM2.5'!O10</f>
        <v>0.60217991999999976</v>
      </c>
      <c r="M9" s="263">
        <f>'Table 1-5. SO2'!Q11</f>
        <v>4.7540519999999989E-2</v>
      </c>
      <c r="N9" s="16"/>
      <c r="O9" s="16"/>
      <c r="P9" s="16"/>
    </row>
    <row r="10" spans="1:16" s="13" customFormat="1" ht="34.9" customHeight="1">
      <c r="A10" s="38">
        <v>8</v>
      </c>
      <c r="B10" s="39" t="s">
        <v>66</v>
      </c>
      <c r="C10" s="39" t="s">
        <v>29</v>
      </c>
      <c r="D10" s="24" t="s">
        <v>30</v>
      </c>
      <c r="E10" s="24">
        <v>1999</v>
      </c>
      <c r="F10" s="24" t="s">
        <v>60</v>
      </c>
      <c r="G10" s="14">
        <v>13266</v>
      </c>
      <c r="H10" s="26" t="s">
        <v>7</v>
      </c>
      <c r="I10" s="14">
        <v>8760</v>
      </c>
      <c r="J10" s="26" t="s">
        <v>51</v>
      </c>
      <c r="K10" s="250">
        <f>'Table 1-3. NOx'!O11</f>
        <v>40</v>
      </c>
      <c r="L10" s="250">
        <f>'Table 1-4. PM2.5'!O11</f>
        <v>0.95971978984238193</v>
      </c>
      <c r="M10" s="251">
        <f>'Table 1-5. SO2'!Q12</f>
        <v>40</v>
      </c>
      <c r="N10" s="16"/>
      <c r="O10" s="16"/>
      <c r="P10" s="16"/>
    </row>
    <row r="11" spans="1:16" s="13" customFormat="1" ht="30.75">
      <c r="A11" s="38" t="s">
        <v>31</v>
      </c>
      <c r="B11" s="39" t="s">
        <v>210</v>
      </c>
      <c r="C11" s="39" t="s">
        <v>32</v>
      </c>
      <c r="D11" s="24" t="s">
        <v>33</v>
      </c>
      <c r="E11" s="24">
        <v>2006</v>
      </c>
      <c r="F11" s="39" t="s">
        <v>204</v>
      </c>
      <c r="G11" s="14">
        <f>2000/24</f>
        <v>83.333333333333329</v>
      </c>
      <c r="H11" s="26" t="s">
        <v>133</v>
      </c>
      <c r="I11" s="14">
        <v>109</v>
      </c>
      <c r="J11" s="26" t="s">
        <v>121</v>
      </c>
      <c r="K11" s="195">
        <f>'Table 1-3. NOx'!O12</f>
        <v>0.19402</v>
      </c>
      <c r="L11" s="195">
        <f>'Table 1-4. PM2.5'!O12</f>
        <v>0.25451499999999999</v>
      </c>
      <c r="M11" s="196">
        <f>'Table 1-5. SO2'!Q13</f>
        <v>0.118265</v>
      </c>
      <c r="N11" s="16"/>
      <c r="O11" s="16"/>
      <c r="P11" s="16"/>
    </row>
    <row r="12" spans="1:16" s="13" customFormat="1" ht="16.5">
      <c r="A12" s="38">
        <v>19</v>
      </c>
      <c r="B12" s="39" t="s">
        <v>159</v>
      </c>
      <c r="C12" s="39" t="s">
        <v>34</v>
      </c>
      <c r="D12" s="24" t="s">
        <v>33</v>
      </c>
      <c r="E12" s="24">
        <v>2004</v>
      </c>
      <c r="F12" s="24" t="s">
        <v>132</v>
      </c>
      <c r="G12" s="197">
        <v>6.1333333333333329</v>
      </c>
      <c r="H12" s="198" t="s">
        <v>131</v>
      </c>
      <c r="I12" s="369">
        <f>6550*3</f>
        <v>19650</v>
      </c>
      <c r="J12" s="370" t="s">
        <v>107</v>
      </c>
      <c r="K12" s="352">
        <f>'Table 1-3. NOx'!O13</f>
        <v>8.7970802919708024</v>
      </c>
      <c r="L12" s="352">
        <f>'Table 1-4. PM2.5'!O13</f>
        <v>0.93688905109489018</v>
      </c>
      <c r="M12" s="355">
        <f>'Table 1-5. SO2'!Q14</f>
        <v>9.3688905109489032E-2</v>
      </c>
      <c r="N12" s="16"/>
      <c r="O12" s="16"/>
      <c r="P12" s="16"/>
    </row>
    <row r="13" spans="1:16" s="13" customFormat="1" ht="16.5">
      <c r="A13" s="38">
        <v>20</v>
      </c>
      <c r="B13" s="39" t="s">
        <v>160</v>
      </c>
      <c r="C13" s="39" t="s">
        <v>34</v>
      </c>
      <c r="D13" s="24" t="s">
        <v>33</v>
      </c>
      <c r="E13" s="24">
        <v>2004</v>
      </c>
      <c r="F13" s="24" t="s">
        <v>132</v>
      </c>
      <c r="G13" s="197">
        <v>6.1333333333333329</v>
      </c>
      <c r="H13" s="198" t="s">
        <v>131</v>
      </c>
      <c r="I13" s="369"/>
      <c r="J13" s="371"/>
      <c r="K13" s="353"/>
      <c r="L13" s="353"/>
      <c r="M13" s="356"/>
      <c r="N13" s="16"/>
      <c r="O13" s="16"/>
      <c r="P13" s="16"/>
    </row>
    <row r="14" spans="1:16" s="13" customFormat="1" ht="16.5">
      <c r="A14" s="38">
        <v>21</v>
      </c>
      <c r="B14" s="39" t="s">
        <v>161</v>
      </c>
      <c r="C14" s="39" t="s">
        <v>34</v>
      </c>
      <c r="D14" s="24" t="s">
        <v>33</v>
      </c>
      <c r="E14" s="24">
        <v>2004</v>
      </c>
      <c r="F14" s="24" t="s">
        <v>132</v>
      </c>
      <c r="G14" s="197">
        <v>6.1333333333333329</v>
      </c>
      <c r="H14" s="198" t="s">
        <v>131</v>
      </c>
      <c r="I14" s="369"/>
      <c r="J14" s="372"/>
      <c r="K14" s="354"/>
      <c r="L14" s="354"/>
      <c r="M14" s="357"/>
      <c r="N14" s="16"/>
      <c r="O14" s="16"/>
      <c r="P14" s="16"/>
    </row>
    <row r="15" spans="1:16" s="201" customFormat="1" ht="28.5">
      <c r="A15" s="38">
        <v>27</v>
      </c>
      <c r="B15" s="39" t="s">
        <v>62</v>
      </c>
      <c r="C15" s="39" t="s">
        <v>118</v>
      </c>
      <c r="D15" s="24" t="s">
        <v>35</v>
      </c>
      <c r="E15" s="199" t="s">
        <v>125</v>
      </c>
      <c r="F15" s="39" t="s">
        <v>109</v>
      </c>
      <c r="G15" s="14">
        <v>500</v>
      </c>
      <c r="H15" s="26" t="s">
        <v>7</v>
      </c>
      <c r="I15" s="246">
        <v>4380</v>
      </c>
      <c r="J15" s="90" t="s">
        <v>168</v>
      </c>
      <c r="K15" s="200">
        <f>'Table 1-3. NOx'!O16</f>
        <v>7.7088000000000001</v>
      </c>
      <c r="L15" s="200">
        <f>'Table 1-4. PM2.5'!O16</f>
        <v>0.26280000000000003</v>
      </c>
      <c r="M15" s="326">
        <f>'Table 1-5. SO2'!Q17</f>
        <v>1.1917116788321169E-2</v>
      </c>
      <c r="N15" s="41"/>
      <c r="O15" s="41"/>
      <c r="P15" s="41"/>
    </row>
    <row r="16" spans="1:16" s="201" customFormat="1" ht="14.25">
      <c r="A16" s="38">
        <v>105</v>
      </c>
      <c r="B16" s="39" t="s">
        <v>112</v>
      </c>
      <c r="C16" s="39" t="s">
        <v>63</v>
      </c>
      <c r="D16" s="24" t="s">
        <v>63</v>
      </c>
      <c r="E16" s="24" t="s">
        <v>63</v>
      </c>
      <c r="F16" s="24" t="s">
        <v>4</v>
      </c>
      <c r="G16" s="14">
        <v>1200</v>
      </c>
      <c r="H16" s="26" t="s">
        <v>50</v>
      </c>
      <c r="I16" s="14">
        <v>8760</v>
      </c>
      <c r="J16" s="26" t="s">
        <v>51</v>
      </c>
      <c r="K16" s="157" t="str">
        <f>'Table 1-3. NOx'!O17</f>
        <v>N/A</v>
      </c>
      <c r="L16" s="157">
        <f>'Table 1-4. PM2.5'!O17</f>
        <v>0.13515428571428573</v>
      </c>
      <c r="M16" s="158" t="str">
        <f>'Table 1-5. SO2'!Q18</f>
        <v>N/A</v>
      </c>
      <c r="N16" s="41"/>
      <c r="O16" s="41"/>
      <c r="P16" s="41"/>
    </row>
    <row r="17" spans="1:16" s="201" customFormat="1" ht="14.25">
      <c r="A17" s="38">
        <v>107</v>
      </c>
      <c r="B17" s="39" t="s">
        <v>83</v>
      </c>
      <c r="C17" s="39" t="s">
        <v>63</v>
      </c>
      <c r="D17" s="24" t="s">
        <v>63</v>
      </c>
      <c r="E17" s="24" t="s">
        <v>63</v>
      </c>
      <c r="F17" s="24" t="s">
        <v>4</v>
      </c>
      <c r="G17" s="14">
        <v>1600</v>
      </c>
      <c r="H17" s="26" t="s">
        <v>50</v>
      </c>
      <c r="I17" s="14">
        <v>8760</v>
      </c>
      <c r="J17" s="26" t="s">
        <v>51</v>
      </c>
      <c r="K17" s="157" t="str">
        <f>'Table 1-3. NOx'!O18</f>
        <v>N/A</v>
      </c>
      <c r="L17" s="157">
        <f>'Table 1-4. PM2.5'!O18</f>
        <v>0.1802057142857143</v>
      </c>
      <c r="M17" s="158" t="str">
        <f>'Table 1-5. SO2'!Q19</f>
        <v>N/A</v>
      </c>
      <c r="N17" s="41"/>
      <c r="O17" s="41"/>
      <c r="P17" s="41"/>
    </row>
    <row r="18" spans="1:16" s="201" customFormat="1" ht="14.25">
      <c r="A18" s="38">
        <v>109</v>
      </c>
      <c r="B18" s="39" t="s">
        <v>84</v>
      </c>
      <c r="C18" s="39" t="s">
        <v>63</v>
      </c>
      <c r="D18" s="24" t="s">
        <v>63</v>
      </c>
      <c r="E18" s="24" t="s">
        <v>63</v>
      </c>
      <c r="F18" s="24" t="s">
        <v>4</v>
      </c>
      <c r="G18" s="14">
        <v>1000</v>
      </c>
      <c r="H18" s="26" t="s">
        <v>50</v>
      </c>
      <c r="I18" s="14">
        <v>8760</v>
      </c>
      <c r="J18" s="26" t="s">
        <v>51</v>
      </c>
      <c r="K18" s="157" t="str">
        <f>'Table 1-3. NOx'!O19</f>
        <v>N/A</v>
      </c>
      <c r="L18" s="157">
        <f>'Table 1-4. PM2.5'!O19</f>
        <v>0.11262857142857144</v>
      </c>
      <c r="M18" s="158" t="str">
        <f>'Table 1-5. SO2'!Q20</f>
        <v>N/A</v>
      </c>
      <c r="N18" s="41"/>
      <c r="O18" s="41"/>
      <c r="P18" s="41"/>
    </row>
    <row r="19" spans="1:16" s="201" customFormat="1" ht="14.25">
      <c r="A19" s="38">
        <v>110</v>
      </c>
      <c r="B19" s="39" t="s">
        <v>85</v>
      </c>
      <c r="C19" s="39" t="s">
        <v>63</v>
      </c>
      <c r="D19" s="24" t="s">
        <v>63</v>
      </c>
      <c r="E19" s="24" t="s">
        <v>63</v>
      </c>
      <c r="F19" s="24" t="s">
        <v>4</v>
      </c>
      <c r="G19" s="14">
        <v>2000</v>
      </c>
      <c r="H19" s="26" t="s">
        <v>50</v>
      </c>
      <c r="I19" s="14">
        <v>8760</v>
      </c>
      <c r="J19" s="26" t="s">
        <v>51</v>
      </c>
      <c r="K19" s="157" t="str">
        <f>'Table 1-3. NOx'!O20</f>
        <v>N/A</v>
      </c>
      <c r="L19" s="157">
        <f>'Table 1-4. PM2.5'!O20</f>
        <v>0.22525714285714288</v>
      </c>
      <c r="M19" s="158" t="str">
        <f>'Table 1-5. SO2'!Q21</f>
        <v>N/A</v>
      </c>
      <c r="N19" s="41"/>
      <c r="O19" s="41"/>
      <c r="P19" s="41"/>
    </row>
    <row r="20" spans="1:16" s="201" customFormat="1" ht="13.9" customHeight="1">
      <c r="A20" s="38">
        <v>111</v>
      </c>
      <c r="B20" s="39" t="s">
        <v>52</v>
      </c>
      <c r="C20" s="39" t="s">
        <v>63</v>
      </c>
      <c r="D20" s="24" t="s">
        <v>63</v>
      </c>
      <c r="E20" s="24" t="s">
        <v>63</v>
      </c>
      <c r="F20" s="24" t="s">
        <v>4</v>
      </c>
      <c r="G20" s="202" t="s">
        <v>4</v>
      </c>
      <c r="H20" s="26" t="s">
        <v>80</v>
      </c>
      <c r="I20" s="14">
        <v>26280</v>
      </c>
      <c r="J20" s="26" t="s">
        <v>3</v>
      </c>
      <c r="K20" s="157" t="str">
        <f>'Table 1-3. NOx'!O21</f>
        <v>N/A</v>
      </c>
      <c r="L20" s="325">
        <f>'Table 1-4. PM2.5'!O21</f>
        <v>7.230633631973482E-4</v>
      </c>
      <c r="M20" s="158" t="str">
        <f>'Table 1-5. SO2'!Q22</f>
        <v>N/A</v>
      </c>
      <c r="N20" s="41"/>
      <c r="O20" s="41"/>
      <c r="P20" s="41"/>
    </row>
    <row r="21" spans="1:16" s="201" customFormat="1" ht="28.15" customHeight="1">
      <c r="A21" s="38">
        <v>113</v>
      </c>
      <c r="B21" s="39" t="s">
        <v>111</v>
      </c>
      <c r="C21" s="39" t="s">
        <v>209</v>
      </c>
      <c r="D21" s="24" t="s">
        <v>63</v>
      </c>
      <c r="E21" s="24" t="s">
        <v>63</v>
      </c>
      <c r="F21" s="39" t="s">
        <v>82</v>
      </c>
      <c r="G21" s="202">
        <v>295.60000000000002</v>
      </c>
      <c r="H21" s="26" t="s">
        <v>6</v>
      </c>
      <c r="I21" s="14">
        <v>8760</v>
      </c>
      <c r="J21" s="26" t="s">
        <v>51</v>
      </c>
      <c r="K21" s="157">
        <f>'Table 1-3. NOx'!O22</f>
        <v>258.94560000000001</v>
      </c>
      <c r="L21" s="157">
        <f>'Table 1-4. PM2.5'!O22</f>
        <v>15.536736000000001</v>
      </c>
      <c r="M21" s="158">
        <f>'Table 1-5. SO2'!Q23</f>
        <v>258.94560000000001</v>
      </c>
      <c r="N21" s="41"/>
      <c r="O21" s="41"/>
      <c r="P21" s="41"/>
    </row>
    <row r="22" spans="1:16" s="201" customFormat="1" ht="28.5">
      <c r="A22" s="243">
        <v>114</v>
      </c>
      <c r="B22" s="241" t="s">
        <v>113</v>
      </c>
      <c r="C22" s="241" t="s">
        <v>63</v>
      </c>
      <c r="D22" s="240" t="s">
        <v>63</v>
      </c>
      <c r="E22" s="240" t="s">
        <v>63</v>
      </c>
      <c r="F22" s="240" t="s">
        <v>4</v>
      </c>
      <c r="G22" s="246">
        <v>5</v>
      </c>
      <c r="H22" s="90" t="s">
        <v>50</v>
      </c>
      <c r="I22" s="246">
        <v>8760</v>
      </c>
      <c r="J22" s="90" t="s">
        <v>51</v>
      </c>
      <c r="K22" s="157" t="str">
        <f>'Table 1-3. NOx'!O23</f>
        <v>N/A</v>
      </c>
      <c r="L22" s="325">
        <f>'Table 1-4. PM2.5'!O23</f>
        <v>9.3857142857142854E-3</v>
      </c>
      <c r="M22" s="158" t="str">
        <f>'Table 1-5. SO2'!Q24</f>
        <v>N/A</v>
      </c>
      <c r="N22" s="41"/>
      <c r="O22" s="41"/>
      <c r="P22" s="41"/>
    </row>
    <row r="23" spans="1:16" s="201" customFormat="1" ht="14.25">
      <c r="A23" s="38">
        <v>128</v>
      </c>
      <c r="B23" s="39" t="s">
        <v>134</v>
      </c>
      <c r="C23" s="39" t="s">
        <v>63</v>
      </c>
      <c r="D23" s="24" t="s">
        <v>63</v>
      </c>
      <c r="E23" s="24" t="s">
        <v>63</v>
      </c>
      <c r="F23" s="24" t="s">
        <v>4</v>
      </c>
      <c r="G23" s="242">
        <v>1650</v>
      </c>
      <c r="H23" s="26" t="s">
        <v>50</v>
      </c>
      <c r="I23" s="14">
        <v>8760</v>
      </c>
      <c r="J23" s="26" t="s">
        <v>51</v>
      </c>
      <c r="K23" s="157" t="str">
        <f>'Table 1-3. NOx'!O24</f>
        <v>N/A</v>
      </c>
      <c r="L23" s="157">
        <f>'Table 1-4. PM2.5'!O24</f>
        <v>0.18583714285714284</v>
      </c>
      <c r="M23" s="158" t="str">
        <f>'Table 1-5. SO2'!Q25</f>
        <v>N/A</v>
      </c>
      <c r="N23" s="41"/>
      <c r="O23" s="41"/>
      <c r="P23" s="41"/>
    </row>
    <row r="24" spans="1:16" s="201" customFormat="1" ht="14.25">
      <c r="A24" s="38">
        <v>129</v>
      </c>
      <c r="B24" s="39" t="s">
        <v>135</v>
      </c>
      <c r="C24" s="39" t="s">
        <v>63</v>
      </c>
      <c r="D24" s="24" t="s">
        <v>63</v>
      </c>
      <c r="E24" s="24" t="s">
        <v>63</v>
      </c>
      <c r="F24" s="39" t="s">
        <v>4</v>
      </c>
      <c r="G24" s="242">
        <v>1650</v>
      </c>
      <c r="H24" s="26" t="s">
        <v>50</v>
      </c>
      <c r="I24" s="14">
        <v>8760</v>
      </c>
      <c r="J24" s="26" t="s">
        <v>51</v>
      </c>
      <c r="K24" s="157" t="str">
        <f>'Table 1-3. NOx'!O25</f>
        <v>N/A</v>
      </c>
      <c r="L24" s="157">
        <f>'Table 1-4. PM2.5'!O25</f>
        <v>0.18583714285714284</v>
      </c>
      <c r="M24" s="158" t="str">
        <f>'Table 1-5. SO2'!Q26</f>
        <v>N/A</v>
      </c>
      <c r="N24" s="41"/>
      <c r="O24" s="41"/>
      <c r="P24" s="41"/>
    </row>
    <row r="25" spans="1:16" s="201" customFormat="1" ht="15" thickBot="1">
      <c r="A25" s="105">
        <v>130</v>
      </c>
      <c r="B25" s="111" t="s">
        <v>136</v>
      </c>
      <c r="C25" s="111" t="s">
        <v>63</v>
      </c>
      <c r="D25" s="106" t="s">
        <v>63</v>
      </c>
      <c r="E25" s="106" t="s">
        <v>63</v>
      </c>
      <c r="F25" s="106" t="s">
        <v>4</v>
      </c>
      <c r="G25" s="261">
        <v>1650</v>
      </c>
      <c r="H25" s="108" t="s">
        <v>50</v>
      </c>
      <c r="I25" s="109">
        <v>8760</v>
      </c>
      <c r="J25" s="90" t="s">
        <v>51</v>
      </c>
      <c r="K25" s="157" t="str">
        <f>'Table 1-3. NOx'!O26</f>
        <v>N/A</v>
      </c>
      <c r="L25" s="157">
        <f>'Table 1-4. PM2.5'!O26</f>
        <v>0.18583714285714284</v>
      </c>
      <c r="M25" s="158" t="str">
        <f>'Table 1-5. SO2'!Q27</f>
        <v>N/A</v>
      </c>
      <c r="N25" s="41"/>
      <c r="O25" s="41"/>
      <c r="P25" s="41"/>
    </row>
    <row r="26" spans="1:16" s="12" customFormat="1" ht="18" thickBot="1">
      <c r="A26" s="234"/>
      <c r="B26" s="11"/>
      <c r="C26" s="11"/>
      <c r="D26" s="11"/>
      <c r="E26" s="235"/>
      <c r="F26" s="11"/>
      <c r="G26" s="11"/>
      <c r="H26" s="11"/>
      <c r="I26" s="11"/>
      <c r="J26" s="264" t="s">
        <v>157</v>
      </c>
      <c r="K26" s="265">
        <f>K7+SUM(K10:K25)</f>
        <v>454.44993824817521</v>
      </c>
      <c r="L26" s="265">
        <f>SUM(L7:L25)</f>
        <v>33.324488936917781</v>
      </c>
      <c r="M26" s="266">
        <f>M7+SUM(M10:M25)</f>
        <v>709.79926664233585</v>
      </c>
      <c r="N26" s="15"/>
      <c r="O26" s="15"/>
      <c r="P26" s="15"/>
    </row>
    <row r="27" spans="1:16" s="12" customFormat="1" ht="15">
      <c r="A27" s="234" t="s">
        <v>5</v>
      </c>
      <c r="B27" s="11"/>
      <c r="C27" s="11"/>
      <c r="D27" s="11"/>
      <c r="E27" s="235"/>
      <c r="F27" s="11"/>
      <c r="G27" s="11"/>
      <c r="H27" s="11"/>
      <c r="I27" s="11"/>
      <c r="J27" s="42"/>
      <c r="K27" s="286"/>
      <c r="L27" s="286"/>
      <c r="M27" s="286"/>
      <c r="N27" s="15"/>
      <c r="O27" s="15"/>
      <c r="P27" s="15"/>
    </row>
    <row r="28" spans="1:16" s="12" customFormat="1" ht="33" customHeight="1">
      <c r="A28" s="342" t="s">
        <v>162</v>
      </c>
      <c r="B28" s="342"/>
      <c r="C28" s="342"/>
      <c r="D28" s="342"/>
      <c r="E28" s="342"/>
      <c r="F28" s="342"/>
      <c r="G28" s="342"/>
      <c r="H28" s="342"/>
      <c r="I28" s="48"/>
      <c r="J28" s="48"/>
      <c r="L28" s="71"/>
      <c r="M28" s="15"/>
      <c r="N28" s="15"/>
      <c r="O28" s="15"/>
      <c r="P28" s="15"/>
    </row>
    <row r="29" spans="1:16" s="12" customFormat="1" ht="15.95" customHeight="1">
      <c r="A29" s="373" t="s">
        <v>156</v>
      </c>
      <c r="B29" s="373"/>
      <c r="C29" s="373"/>
      <c r="D29" s="373"/>
      <c r="E29" s="373"/>
      <c r="F29" s="373"/>
      <c r="G29" s="373"/>
      <c r="H29" s="373"/>
      <c r="I29" s="373"/>
      <c r="J29" s="373"/>
      <c r="K29" s="373"/>
      <c r="L29" s="373"/>
      <c r="M29" s="373"/>
      <c r="N29" s="15"/>
      <c r="O29" s="15"/>
      <c r="P29" s="15"/>
    </row>
    <row r="30" spans="1:16" s="12" customFormat="1" ht="36" customHeight="1">
      <c r="A30" s="378" t="s">
        <v>143</v>
      </c>
      <c r="B30" s="378"/>
      <c r="C30" s="378"/>
      <c r="D30" s="378"/>
      <c r="E30" s="378"/>
      <c r="F30" s="378"/>
      <c r="G30" s="378"/>
      <c r="H30" s="378"/>
      <c r="I30" s="28"/>
      <c r="J30" s="28"/>
      <c r="L30" s="71"/>
      <c r="M30" s="15"/>
      <c r="N30" s="15"/>
      <c r="O30" s="15"/>
      <c r="P30" s="15"/>
    </row>
    <row r="31" spans="1:16" s="12" customFormat="1" ht="20.45" customHeight="1">
      <c r="A31" s="41" t="s">
        <v>163</v>
      </c>
      <c r="B31" s="193"/>
      <c r="C31" s="193"/>
      <c r="D31" s="193"/>
      <c r="E31" s="193"/>
      <c r="F31" s="193"/>
      <c r="G31" s="193"/>
      <c r="H31" s="193"/>
      <c r="I31" s="121"/>
      <c r="J31" s="121"/>
      <c r="L31" s="71"/>
      <c r="M31" s="15"/>
      <c r="N31" s="15"/>
      <c r="O31" s="15"/>
      <c r="P31" s="15"/>
    </row>
    <row r="32" spans="1:16" s="12" customFormat="1" ht="30" customHeight="1">
      <c r="A32" s="377" t="s">
        <v>164</v>
      </c>
      <c r="B32" s="377"/>
      <c r="C32" s="377"/>
      <c r="D32" s="377"/>
      <c r="E32" s="377"/>
      <c r="F32" s="377"/>
      <c r="G32" s="377"/>
      <c r="H32" s="377"/>
      <c r="I32" s="57"/>
      <c r="J32" s="57"/>
      <c r="L32" s="71"/>
      <c r="M32" s="15"/>
      <c r="N32" s="15"/>
      <c r="O32" s="15"/>
      <c r="P32" s="15"/>
    </row>
    <row r="33" spans="1:16" s="12" customFormat="1" ht="18.600000000000001" customHeight="1">
      <c r="A33" s="41" t="s">
        <v>165</v>
      </c>
      <c r="B33" s="194"/>
      <c r="C33" s="194"/>
      <c r="D33" s="194"/>
      <c r="E33" s="194"/>
      <c r="F33" s="194"/>
      <c r="G33" s="194"/>
      <c r="H33" s="194"/>
      <c r="I33" s="57"/>
      <c r="J33" s="57"/>
      <c r="L33" s="71"/>
      <c r="M33" s="15"/>
      <c r="N33" s="15"/>
      <c r="O33" s="15"/>
      <c r="P33" s="15"/>
    </row>
    <row r="34" spans="1:16" s="12" customFormat="1" ht="18.600000000000001" customHeight="1">
      <c r="A34" s="41" t="s">
        <v>166</v>
      </c>
      <c r="B34" s="194"/>
      <c r="C34" s="194"/>
      <c r="D34" s="194"/>
      <c r="E34" s="194"/>
      <c r="F34" s="194"/>
      <c r="G34" s="194"/>
      <c r="H34" s="194"/>
      <c r="I34" s="57"/>
      <c r="J34" s="57"/>
      <c r="L34" s="71"/>
      <c r="M34" s="15"/>
      <c r="N34" s="15"/>
      <c r="O34" s="15"/>
      <c r="P34" s="15"/>
    </row>
    <row r="35" spans="1:16" s="12" customFormat="1" ht="41.25" customHeight="1">
      <c r="A35" s="342" t="s">
        <v>208</v>
      </c>
      <c r="B35" s="342"/>
      <c r="C35" s="342"/>
      <c r="D35" s="342"/>
      <c r="E35" s="342"/>
      <c r="F35" s="342"/>
      <c r="G35" s="342"/>
      <c r="H35" s="342"/>
      <c r="I35" s="48"/>
      <c r="J35" s="48"/>
      <c r="L35" s="71"/>
      <c r="M35" s="15"/>
      <c r="N35" s="15"/>
      <c r="O35" s="15"/>
      <c r="P35" s="15"/>
    </row>
    <row r="36" spans="1:16" s="12" customFormat="1" ht="18.600000000000001" customHeight="1">
      <c r="A36" s="233" t="s">
        <v>174</v>
      </c>
      <c r="B36" s="1"/>
      <c r="C36" s="192"/>
      <c r="D36" s="192"/>
      <c r="E36" s="192"/>
      <c r="F36" s="192"/>
      <c r="G36" s="192"/>
      <c r="H36" s="192"/>
      <c r="I36" s="48"/>
      <c r="J36" s="48"/>
      <c r="L36" s="71"/>
      <c r="M36" s="15"/>
      <c r="N36" s="15"/>
      <c r="O36" s="15"/>
      <c r="P36" s="15"/>
    </row>
    <row r="37" spans="1:16" s="12" customFormat="1" ht="23.45" customHeight="1">
      <c r="A37" s="41" t="s">
        <v>211</v>
      </c>
      <c r="B37" s="192"/>
      <c r="C37" s="192"/>
      <c r="D37" s="192"/>
      <c r="E37" s="192"/>
      <c r="F37" s="192"/>
      <c r="G37" s="192"/>
      <c r="H37" s="192"/>
      <c r="I37" s="48"/>
      <c r="J37" s="48"/>
      <c r="L37" s="71"/>
      <c r="M37" s="15"/>
      <c r="N37" s="15"/>
      <c r="O37" s="15"/>
      <c r="P37" s="15"/>
    </row>
    <row r="38" spans="1:16" s="12" customFormat="1" ht="35.1" customHeight="1">
      <c r="A38" s="373" t="s">
        <v>167</v>
      </c>
      <c r="B38" s="373"/>
      <c r="C38" s="373"/>
      <c r="D38" s="373"/>
      <c r="E38" s="373"/>
      <c r="F38" s="373"/>
      <c r="G38" s="373"/>
      <c r="H38" s="373"/>
      <c r="I38" s="48"/>
      <c r="J38" s="48"/>
      <c r="L38" s="71"/>
      <c r="M38" s="15"/>
      <c r="N38" s="15"/>
      <c r="O38" s="15"/>
      <c r="P38" s="15"/>
    </row>
    <row r="39" spans="1:16" s="12" customFormat="1" ht="15" customHeight="1">
      <c r="A39" s="377"/>
      <c r="B39" s="377"/>
      <c r="C39" s="377"/>
      <c r="D39" s="377"/>
      <c r="E39" s="377"/>
      <c r="F39" s="377"/>
      <c r="G39" s="377"/>
      <c r="H39" s="377"/>
      <c r="K39" s="15"/>
      <c r="L39" s="15"/>
      <c r="M39" s="15"/>
      <c r="N39" s="15"/>
      <c r="O39" s="15"/>
      <c r="P39" s="15"/>
    </row>
    <row r="40" spans="1:16" s="12" customFormat="1" ht="16.149999999999999" customHeight="1">
      <c r="A40" s="72" t="s">
        <v>80</v>
      </c>
      <c r="K40" s="15"/>
      <c r="L40" s="15"/>
      <c r="M40" s="15"/>
      <c r="N40" s="15"/>
      <c r="O40" s="15"/>
      <c r="P40" s="15"/>
    </row>
    <row r="41" spans="1:16" ht="32.450000000000003" customHeight="1">
      <c r="A41" s="351" t="s">
        <v>80</v>
      </c>
      <c r="B41" s="351"/>
      <c r="C41" s="351"/>
      <c r="D41" s="351"/>
      <c r="E41" s="351"/>
      <c r="F41" s="351"/>
      <c r="G41" s="351"/>
      <c r="H41" s="351"/>
      <c r="I41" s="351"/>
      <c r="J41" s="351"/>
      <c r="K41" s="351"/>
      <c r="L41" s="351"/>
      <c r="M41" s="351"/>
      <c r="N41" s="17"/>
      <c r="O41" s="17"/>
      <c r="P41" s="17"/>
    </row>
    <row r="43" spans="1:16" ht="16.5">
      <c r="A43" s="233" t="s">
        <v>80</v>
      </c>
    </row>
    <row r="44" spans="1:16" ht="16.5">
      <c r="A44" s="233" t="s">
        <v>80</v>
      </c>
    </row>
    <row r="45" spans="1:16">
      <c r="A45" s="59"/>
    </row>
    <row r="46" spans="1:16">
      <c r="A46" s="59"/>
    </row>
  </sheetData>
  <mergeCells count="28">
    <mergeCell ref="A1:M1"/>
    <mergeCell ref="A2:M2"/>
    <mergeCell ref="I4:J5"/>
    <mergeCell ref="K4:M4"/>
    <mergeCell ref="A39:H39"/>
    <mergeCell ref="A35:H35"/>
    <mergeCell ref="A32:H32"/>
    <mergeCell ref="A28:H28"/>
    <mergeCell ref="A30:H30"/>
    <mergeCell ref="A8:A9"/>
    <mergeCell ref="G8:G9"/>
    <mergeCell ref="H8:H9"/>
    <mergeCell ref="B8:B9"/>
    <mergeCell ref="C8:C9"/>
    <mergeCell ref="D8:D9"/>
    <mergeCell ref="A38:H38"/>
    <mergeCell ref="A41:M41"/>
    <mergeCell ref="L12:L14"/>
    <mergeCell ref="M12:M14"/>
    <mergeCell ref="A4:D4"/>
    <mergeCell ref="G4:H5"/>
    <mergeCell ref="F4:F5"/>
    <mergeCell ref="E8:E9"/>
    <mergeCell ref="F8:F9"/>
    <mergeCell ref="I12:I14"/>
    <mergeCell ref="J12:J14"/>
    <mergeCell ref="K12:K14"/>
    <mergeCell ref="A29:M29"/>
  </mergeCells>
  <phoneticPr fontId="10" type="noConversion"/>
  <printOptions horizontalCentered="1"/>
  <pageMargins left="0.7" right="0.7" top="0.75" bottom="0.75" header="0.5" footer="0.5"/>
  <pageSetup scale="55" orientation="landscape" r:id="rId1"/>
  <headerFooter alignWithMargins="0">
    <oddFooter>&amp;LUAF
PM&amp;Y2.5&amp;Y Serious NAA BACT Analysis&amp;CPage 3&amp;RJanuary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X100"/>
  <sheetViews>
    <sheetView zoomScale="75" zoomScaleNormal="75" zoomScalePageLayoutView="85" workbookViewId="0">
      <selection activeCell="D10" sqref="D10"/>
    </sheetView>
  </sheetViews>
  <sheetFormatPr defaultColWidth="9.140625" defaultRowHeight="14.25"/>
  <cols>
    <col min="1" max="1" width="8.28515625" style="3" customWidth="1"/>
    <col min="2" max="2" width="46.85546875" style="3" customWidth="1"/>
    <col min="3" max="3" width="17.85546875" style="3" customWidth="1"/>
    <col min="4" max="4" width="28.140625" style="3" customWidth="1"/>
    <col min="5" max="5" width="9.42578125" style="3" customWidth="1"/>
    <col min="6" max="6" width="11.140625" style="3" customWidth="1"/>
    <col min="7" max="7" width="10.85546875" style="3" customWidth="1"/>
    <col min="8" max="8" width="15.42578125" style="3" customWidth="1"/>
    <col min="9" max="9" width="11.140625" style="6" customWidth="1"/>
    <col min="10" max="10" width="11.85546875" style="3" customWidth="1"/>
    <col min="11" max="11" width="17" style="3" customWidth="1"/>
    <col min="12" max="12" width="13.140625" style="3" customWidth="1"/>
    <col min="13" max="13" width="8.140625" style="3" customWidth="1"/>
    <col min="14" max="14" width="9.42578125" style="3" customWidth="1"/>
    <col min="15" max="15" width="8.85546875" style="6" customWidth="1"/>
    <col min="16" max="16" width="9.85546875" style="3" customWidth="1"/>
    <col min="17" max="17" width="9.140625" style="3"/>
    <col min="18" max="18" width="9.28515625" style="3" bestFit="1" customWidth="1"/>
    <col min="19" max="19" width="10" style="3" bestFit="1" customWidth="1"/>
    <col min="20" max="20" width="9.140625" style="3"/>
    <col min="21" max="21" width="10" style="3" bestFit="1" customWidth="1"/>
    <col min="22" max="16384" width="9.140625" style="3"/>
  </cols>
  <sheetData>
    <row r="1" spans="1:24" ht="16.5">
      <c r="A1" s="9" t="s">
        <v>151</v>
      </c>
      <c r="B1" s="2"/>
      <c r="C1" s="2"/>
      <c r="D1" s="2"/>
      <c r="E1" s="2"/>
      <c r="F1" s="2"/>
      <c r="G1" s="2"/>
      <c r="H1" s="2"/>
      <c r="I1" s="8"/>
      <c r="J1" s="2"/>
      <c r="K1" s="2"/>
      <c r="L1" s="2"/>
      <c r="M1" s="2"/>
      <c r="N1" s="2"/>
      <c r="O1" s="8"/>
      <c r="P1" s="2"/>
    </row>
    <row r="2" spans="1:24" ht="15">
      <c r="A2" s="9" t="s">
        <v>76</v>
      </c>
      <c r="B2" s="2"/>
      <c r="C2" s="2"/>
      <c r="D2" s="2"/>
      <c r="E2" s="2"/>
      <c r="F2" s="2"/>
      <c r="G2" s="2"/>
      <c r="H2" s="2"/>
      <c r="I2" s="8"/>
      <c r="J2" s="2"/>
      <c r="K2" s="2"/>
      <c r="L2" s="2"/>
      <c r="M2" s="2"/>
      <c r="N2" s="2"/>
      <c r="O2" s="8"/>
      <c r="P2" s="2"/>
    </row>
    <row r="3" spans="1:24" ht="15" thickBot="1"/>
    <row r="4" spans="1:24" ht="18.75" customHeight="1">
      <c r="A4" s="400" t="s">
        <v>9</v>
      </c>
      <c r="B4" s="401"/>
      <c r="C4" s="363" t="s">
        <v>67</v>
      </c>
      <c r="D4" s="407" t="s">
        <v>68</v>
      </c>
      <c r="E4" s="408"/>
      <c r="F4" s="409"/>
      <c r="G4" s="359" t="s">
        <v>69</v>
      </c>
      <c r="H4" s="360"/>
      <c r="I4" s="385" t="s">
        <v>70</v>
      </c>
      <c r="J4" s="386"/>
      <c r="K4" s="78" t="s">
        <v>89</v>
      </c>
      <c r="L4" s="185" t="s">
        <v>88</v>
      </c>
      <c r="M4" s="359" t="s">
        <v>92</v>
      </c>
      <c r="N4" s="360"/>
      <c r="O4" s="391" t="s">
        <v>71</v>
      </c>
      <c r="P4" s="392"/>
    </row>
    <row r="5" spans="1:24" s="150" customFormat="1" ht="20.45" customHeight="1">
      <c r="A5" s="151" t="s">
        <v>11</v>
      </c>
      <c r="B5" s="156" t="s">
        <v>10</v>
      </c>
      <c r="C5" s="410"/>
      <c r="D5" s="153" t="s">
        <v>1</v>
      </c>
      <c r="E5" s="154" t="s">
        <v>2</v>
      </c>
      <c r="F5" s="154"/>
      <c r="G5" s="405"/>
      <c r="H5" s="406"/>
      <c r="I5" s="387"/>
      <c r="J5" s="388"/>
      <c r="K5" s="33" t="s">
        <v>88</v>
      </c>
      <c r="L5" s="186" t="s">
        <v>86</v>
      </c>
      <c r="M5" s="405" t="s">
        <v>96</v>
      </c>
      <c r="N5" s="406"/>
      <c r="O5" s="393"/>
      <c r="P5" s="394"/>
    </row>
    <row r="6" spans="1:24" ht="15.75" thickBot="1">
      <c r="A6" s="402" t="s">
        <v>19</v>
      </c>
      <c r="B6" s="403"/>
      <c r="C6" s="403"/>
      <c r="D6" s="403"/>
      <c r="E6" s="403"/>
      <c r="F6" s="403"/>
      <c r="G6" s="403"/>
      <c r="H6" s="403"/>
      <c r="I6" s="403"/>
      <c r="J6" s="403"/>
      <c r="K6" s="403"/>
      <c r="L6" s="403"/>
      <c r="M6" s="403"/>
      <c r="N6" s="403"/>
      <c r="O6" s="403"/>
      <c r="P6" s="404"/>
    </row>
    <row r="7" spans="1:24" ht="15.75" thickTop="1">
      <c r="A7" s="287"/>
      <c r="B7" s="276"/>
      <c r="C7" s="276"/>
      <c r="D7" s="276"/>
      <c r="E7" s="288"/>
      <c r="F7" s="289"/>
      <c r="G7" s="288"/>
      <c r="H7" s="289"/>
      <c r="I7" s="288"/>
      <c r="J7" s="289"/>
      <c r="K7" s="290"/>
      <c r="L7" s="292"/>
      <c r="M7" s="293"/>
      <c r="N7" s="294"/>
      <c r="O7" s="288"/>
      <c r="P7" s="291"/>
    </row>
    <row r="8" spans="1:24" s="49" customFormat="1" ht="45" customHeight="1">
      <c r="A8" s="38">
        <f>'Table 1-2. Sig EUI PTE'!A7</f>
        <v>3</v>
      </c>
      <c r="B8" s="24" t="str">
        <f>'Table 1-2. Sig EUI PTE'!B7</f>
        <v>Dual-Fired Boiler</v>
      </c>
      <c r="C8" s="24" t="s">
        <v>0</v>
      </c>
      <c r="D8" s="24" t="s">
        <v>38</v>
      </c>
      <c r="E8" s="25">
        <v>24</v>
      </c>
      <c r="F8" s="26" t="s">
        <v>15</v>
      </c>
      <c r="G8" s="86">
        <f>'Table 1-2. Sig EUI PTE'!G7</f>
        <v>180.9</v>
      </c>
      <c r="H8" s="26" t="str">
        <f>'Table 1-2. Sig EUI PTE'!H7</f>
        <v>MMBtu/hr</v>
      </c>
      <c r="I8" s="14">
        <f>'Table 1-2. Sig EUI PTE'!I7</f>
        <v>8760</v>
      </c>
      <c r="J8" s="21" t="str">
        <f>'Table 1-2. Sig EUI PTE'!J7</f>
        <v>hr/yr</v>
      </c>
      <c r="K8" s="70" t="s">
        <v>119</v>
      </c>
      <c r="L8" s="217"/>
      <c r="M8" s="270">
        <f>E8/1000/$E$31</f>
        <v>0.1751824817518248</v>
      </c>
      <c r="N8" s="269" t="s">
        <v>59</v>
      </c>
      <c r="O8" s="253">
        <f>G8*I8*M8/2000</f>
        <v>138.80443795620437</v>
      </c>
      <c r="P8" s="80" t="s">
        <v>106</v>
      </c>
      <c r="Q8" s="37"/>
      <c r="R8" s="18"/>
      <c r="S8" s="18"/>
      <c r="T8" s="18"/>
      <c r="U8" s="18"/>
      <c r="V8" s="18"/>
      <c r="W8" s="18"/>
      <c r="X8" s="18"/>
    </row>
    <row r="9" spans="1:24" s="49" customFormat="1" ht="94.9" customHeight="1">
      <c r="A9" s="38">
        <f>'Table 1-2. Sig EUI PTE'!A8</f>
        <v>4</v>
      </c>
      <c r="B9" s="24" t="str">
        <f>'Table 1-2. Sig EUI PTE'!B7</f>
        <v>Dual-Fired Boiler</v>
      </c>
      <c r="C9" s="24" t="s">
        <v>0</v>
      </c>
      <c r="D9" s="24" t="s">
        <v>38</v>
      </c>
      <c r="E9" s="25">
        <v>24</v>
      </c>
      <c r="F9" s="26" t="s">
        <v>15</v>
      </c>
      <c r="G9" s="86">
        <f>'Table 1-2. Sig EUI PTE'!G8</f>
        <v>180.9</v>
      </c>
      <c r="H9" s="26" t="str">
        <f>H8</f>
        <v>MMBtu/hr</v>
      </c>
      <c r="I9" s="14">
        <f>'Table 1-2. Sig EUI PTE'!I8</f>
        <v>158468.40000000002</v>
      </c>
      <c r="J9" s="257" t="s">
        <v>137</v>
      </c>
      <c r="K9" s="70" t="s">
        <v>147</v>
      </c>
      <c r="L9" s="203">
        <v>0.9</v>
      </c>
      <c r="M9" s="259">
        <f>E9/1000/$E$31</f>
        <v>0.1751824817518248</v>
      </c>
      <c r="N9" s="258" t="s">
        <v>59</v>
      </c>
      <c r="O9" s="253">
        <f>I9*M9/2000</f>
        <v>13.880443795620439</v>
      </c>
      <c r="P9" s="254" t="s">
        <v>148</v>
      </c>
      <c r="Q9" s="37"/>
      <c r="R9" s="18"/>
      <c r="S9" s="18"/>
      <c r="T9" s="18"/>
      <c r="U9" s="18"/>
      <c r="V9" s="18"/>
      <c r="W9" s="18"/>
      <c r="X9" s="18"/>
    </row>
    <row r="10" spans="1:24" s="49" customFormat="1" ht="76.900000000000006" customHeight="1">
      <c r="A10" s="38">
        <f>A9</f>
        <v>4</v>
      </c>
      <c r="B10" s="24" t="str">
        <f>B9</f>
        <v>Dual-Fired Boiler</v>
      </c>
      <c r="C10" s="24" t="s">
        <v>20</v>
      </c>
      <c r="D10" s="24" t="s">
        <v>49</v>
      </c>
      <c r="E10" s="25">
        <v>140</v>
      </c>
      <c r="F10" s="26" t="s">
        <v>21</v>
      </c>
      <c r="G10" s="86">
        <f>'Table 1-2. Sig EUI PTE'!G8</f>
        <v>180.9</v>
      </c>
      <c r="H10" s="26" t="str">
        <f>H9</f>
        <v>MMBtu/hr</v>
      </c>
      <c r="I10" s="14">
        <f>'Table 1-2. Sig EUI PTE'!I9</f>
        <v>8760</v>
      </c>
      <c r="J10" s="239" t="s">
        <v>51</v>
      </c>
      <c r="K10" s="70" t="s">
        <v>146</v>
      </c>
      <c r="L10" s="203">
        <v>0.9</v>
      </c>
      <c r="M10" s="60">
        <f>E10</f>
        <v>140</v>
      </c>
      <c r="N10" s="36" t="s">
        <v>21</v>
      </c>
      <c r="O10" s="92">
        <f>G10/$E$32*I10*M10/2000*(1-L10)</f>
        <v>11.092787999999997</v>
      </c>
      <c r="P10" s="254" t="s">
        <v>148</v>
      </c>
      <c r="Q10" s="37"/>
      <c r="R10" s="18"/>
      <c r="S10" s="18"/>
      <c r="T10" s="18"/>
      <c r="U10" s="18"/>
      <c r="V10" s="18"/>
      <c r="W10" s="18"/>
      <c r="X10" s="18"/>
    </row>
    <row r="11" spans="1:24" s="49" customFormat="1" ht="91.15" customHeight="1">
      <c r="A11" s="38">
        <f>'Table 1-2. Sig EUI PTE'!A10</f>
        <v>8</v>
      </c>
      <c r="B11" s="24" t="str">
        <f>'Table 1-2. Sig EUI PTE'!B10</f>
        <v>Peaking/Backup Generator (DEG) Engine</v>
      </c>
      <c r="C11" s="24" t="s">
        <v>0</v>
      </c>
      <c r="D11" s="24" t="s">
        <v>77</v>
      </c>
      <c r="E11" s="25">
        <v>0.57099999999999995</v>
      </c>
      <c r="F11" s="26" t="s">
        <v>8</v>
      </c>
      <c r="G11" s="14">
        <f>'Table 1-2. Sig EUI PTE'!G10</f>
        <v>13266</v>
      </c>
      <c r="H11" s="26" t="str">
        <f>'Table 1-2. Sig EUI PTE'!H10</f>
        <v>hp</v>
      </c>
      <c r="I11" s="14">
        <f>O11*2000/E11</f>
        <v>140105.07880910684</v>
      </c>
      <c r="J11" s="21" t="s">
        <v>149</v>
      </c>
      <c r="K11" s="70" t="s">
        <v>215</v>
      </c>
      <c r="L11" s="203" t="s">
        <v>80</v>
      </c>
      <c r="M11" s="146">
        <f>E11*$E$30/G11</f>
        <v>1.9541233227800391E-2</v>
      </c>
      <c r="N11" s="91" t="s">
        <v>94</v>
      </c>
      <c r="O11" s="92">
        <v>40</v>
      </c>
      <c r="P11" s="254" t="s">
        <v>61</v>
      </c>
      <c r="Q11" s="37"/>
      <c r="R11" s="18"/>
      <c r="S11" s="18"/>
      <c r="T11" s="18"/>
      <c r="U11" s="18"/>
      <c r="V11" s="18"/>
      <c r="W11" s="18"/>
      <c r="X11" s="18"/>
    </row>
    <row r="12" spans="1:24" s="41" customFormat="1" ht="57">
      <c r="A12" s="38" t="str">
        <f>'Table 1-2. Sig EUI PTE'!A11</f>
        <v>9A</v>
      </c>
      <c r="B12" s="24" t="str">
        <f>'Table 1-2. Sig EUI PTE'!B11</f>
        <v>BiRD - Medical/Pathological Waste Incinerator</v>
      </c>
      <c r="C12" s="39" t="s">
        <v>202</v>
      </c>
      <c r="D12" s="24" t="s">
        <v>56</v>
      </c>
      <c r="E12" s="25">
        <v>3.56</v>
      </c>
      <c r="F12" s="26" t="s">
        <v>36</v>
      </c>
      <c r="G12" s="14">
        <f>'Table 1-2. Sig EUI PTE'!G11</f>
        <v>83.333333333333329</v>
      </c>
      <c r="H12" s="26" t="s">
        <v>13</v>
      </c>
      <c r="I12" s="83">
        <f>'Table 1-2. Sig EUI PTE'!I11</f>
        <v>109</v>
      </c>
      <c r="J12" s="239" t="s">
        <v>122</v>
      </c>
      <c r="K12" s="70" t="s">
        <v>126</v>
      </c>
      <c r="L12" s="93"/>
      <c r="M12" s="50">
        <f>E12</f>
        <v>3.56</v>
      </c>
      <c r="N12" s="34" t="s">
        <v>36</v>
      </c>
      <c r="O12" s="19">
        <f>E12*I12/2000</f>
        <v>0.19402</v>
      </c>
      <c r="P12" s="81" t="s">
        <v>3</v>
      </c>
      <c r="Q12" s="18"/>
      <c r="R12" s="40"/>
    </row>
    <row r="13" spans="1:24" s="49" customFormat="1" ht="16.5" customHeight="1">
      <c r="A13" s="38">
        <f>'Table 1-2. Sig EUI PTE'!A12</f>
        <v>19</v>
      </c>
      <c r="B13" s="24" t="str">
        <f>'Table 1-2. Sig EUI PTE'!B12</f>
        <v>BiRD  RM 100U3 Boiler No. 1</v>
      </c>
      <c r="C13" s="24" t="s">
        <v>132</v>
      </c>
      <c r="D13" s="24" t="s">
        <v>38</v>
      </c>
      <c r="E13" s="87">
        <v>20</v>
      </c>
      <c r="F13" s="26" t="s">
        <v>15</v>
      </c>
      <c r="G13" s="63">
        <f>'Table 1-2. Sig EUI PTE'!G12</f>
        <v>6.1333333333333329</v>
      </c>
      <c r="H13" s="88" t="s">
        <v>6</v>
      </c>
      <c r="I13" s="395">
        <f>'Table 1-2. Sig EUI PTE'!I12</f>
        <v>19650</v>
      </c>
      <c r="J13" s="397" t="s">
        <v>105</v>
      </c>
      <c r="K13" s="35" t="s">
        <v>4</v>
      </c>
      <c r="L13" s="204"/>
      <c r="M13" s="144">
        <f>E13/1000*$E$31*$E$30</f>
        <v>1.2439600000000002</v>
      </c>
      <c r="N13" s="51" t="s">
        <v>93</v>
      </c>
      <c r="O13" s="399">
        <f>G13/$E$31*E13/1000*I13/2000</f>
        <v>8.7970802919708024</v>
      </c>
      <c r="P13" s="390" t="s">
        <v>3</v>
      </c>
      <c r="Q13" s="37"/>
      <c r="R13" s="37"/>
      <c r="S13" s="37"/>
      <c r="T13" s="37"/>
      <c r="U13" s="37"/>
      <c r="V13" s="37"/>
      <c r="W13" s="37"/>
      <c r="X13" s="37"/>
    </row>
    <row r="14" spans="1:24" s="49" customFormat="1" ht="16.5">
      <c r="A14" s="38">
        <f>'Table 1-2. Sig EUI PTE'!A13</f>
        <v>20</v>
      </c>
      <c r="B14" s="24" t="str">
        <f>'Table 1-2. Sig EUI PTE'!B13</f>
        <v>BiRD  RM 100U3 Boiler No. 2</v>
      </c>
      <c r="C14" s="24" t="s">
        <v>132</v>
      </c>
      <c r="D14" s="24" t="s">
        <v>38</v>
      </c>
      <c r="E14" s="87">
        <v>20</v>
      </c>
      <c r="F14" s="26" t="s">
        <v>15</v>
      </c>
      <c r="G14" s="63">
        <f>'Table 1-2. Sig EUI PTE'!G13</f>
        <v>6.1333333333333329</v>
      </c>
      <c r="H14" s="88" t="s">
        <v>6</v>
      </c>
      <c r="I14" s="396"/>
      <c r="J14" s="398"/>
      <c r="K14" s="35" t="s">
        <v>4</v>
      </c>
      <c r="L14" s="204"/>
      <c r="M14" s="144">
        <f>E14/1000*$E$31*$E$30</f>
        <v>1.2439600000000002</v>
      </c>
      <c r="N14" s="51" t="s">
        <v>93</v>
      </c>
      <c r="O14" s="399"/>
      <c r="P14" s="390"/>
      <c r="Q14" s="37"/>
      <c r="R14" s="37"/>
      <c r="S14" s="37"/>
      <c r="T14" s="37"/>
      <c r="U14" s="37"/>
      <c r="V14" s="37"/>
      <c r="W14" s="37"/>
      <c r="X14" s="37"/>
    </row>
    <row r="15" spans="1:24" s="49" customFormat="1" ht="16.5">
      <c r="A15" s="38">
        <f>'Table 1-2. Sig EUI PTE'!A14</f>
        <v>21</v>
      </c>
      <c r="B15" s="24" t="str">
        <f>'Table 1-2. Sig EUI PTE'!B14</f>
        <v>BiRD  RM 100U3 Boiler No. 3</v>
      </c>
      <c r="C15" s="24" t="s">
        <v>132</v>
      </c>
      <c r="D15" s="24" t="s">
        <v>38</v>
      </c>
      <c r="E15" s="87">
        <v>20</v>
      </c>
      <c r="F15" s="26" t="s">
        <v>15</v>
      </c>
      <c r="G15" s="63">
        <f>'Table 1-2. Sig EUI PTE'!G14</f>
        <v>6.1333333333333329</v>
      </c>
      <c r="H15" s="88" t="s">
        <v>6</v>
      </c>
      <c r="I15" s="396"/>
      <c r="J15" s="398"/>
      <c r="K15" s="35" t="s">
        <v>4</v>
      </c>
      <c r="L15" s="204"/>
      <c r="M15" s="144">
        <f>E15/1000*$E$31*$E$30</f>
        <v>1.2439600000000002</v>
      </c>
      <c r="N15" s="51" t="s">
        <v>93</v>
      </c>
      <c r="O15" s="399"/>
      <c r="P15" s="390"/>
      <c r="Q15" s="37"/>
      <c r="R15" s="37"/>
      <c r="S15" s="37"/>
      <c r="T15" s="37"/>
      <c r="U15" s="37"/>
      <c r="V15" s="37"/>
      <c r="W15" s="37"/>
      <c r="X15" s="37"/>
    </row>
    <row r="16" spans="1:24" s="49" customFormat="1" ht="47.45" customHeight="1">
      <c r="A16" s="38">
        <f>'Table 1-2. Sig EUI PTE'!A15</f>
        <v>27</v>
      </c>
      <c r="B16" s="39" t="str">
        <f>'Table 1-2. Sig EUI PTE'!B15</f>
        <v>Alaska Center for Energy and Power Generator Engine</v>
      </c>
      <c r="C16" s="24" t="str">
        <f>'Table 1-2. Sig EUI PTE'!F15</f>
        <v>ULSD</v>
      </c>
      <c r="D16" s="77" t="s">
        <v>22</v>
      </c>
      <c r="E16" s="89">
        <v>3.52</v>
      </c>
      <c r="F16" s="90" t="s">
        <v>13</v>
      </c>
      <c r="G16" s="14">
        <f>'Table 1-2. Sig EUI PTE'!G15</f>
        <v>500</v>
      </c>
      <c r="H16" s="88" t="str">
        <f>'Table 1-2. Sig EUI PTE'!H15</f>
        <v>hp</v>
      </c>
      <c r="I16" s="14">
        <f>'Table 1-2. Sig EUI PTE'!I15</f>
        <v>4380</v>
      </c>
      <c r="J16" s="21" t="s">
        <v>107</v>
      </c>
      <c r="K16" s="70" t="s">
        <v>117</v>
      </c>
      <c r="L16" s="205"/>
      <c r="M16" s="145">
        <f>E16*$E$30/G16</f>
        <v>3.1961599999999999</v>
      </c>
      <c r="N16" s="91" t="s">
        <v>94</v>
      </c>
      <c r="O16" s="92">
        <f>E16*I16/2000</f>
        <v>7.7088000000000001</v>
      </c>
      <c r="P16" s="82" t="s">
        <v>3</v>
      </c>
    </row>
    <row r="17" spans="1:16" s="49" customFormat="1">
      <c r="A17" s="38">
        <f>'Table 1-2. Sig EUI PTE'!A16</f>
        <v>105</v>
      </c>
      <c r="B17" s="24" t="str">
        <f>'Table 1-2. Sig EUI PTE'!B16</f>
        <v>Limestone Handling System</v>
      </c>
      <c r="C17" s="24" t="str">
        <f>'Table 1-2. Sig EUI PTE'!F16</f>
        <v>N/A</v>
      </c>
      <c r="D17" s="77" t="s">
        <v>80</v>
      </c>
      <c r="E17" s="84" t="s">
        <v>4</v>
      </c>
      <c r="F17" s="90"/>
      <c r="G17" s="14">
        <f>'Table 1-2. Sig EUI PTE'!G16</f>
        <v>1200</v>
      </c>
      <c r="H17" s="26" t="str">
        <f>'Table 1-2. Sig EUI PTE'!H16</f>
        <v>acfm</v>
      </c>
      <c r="I17" s="321">
        <f>'Table 1-2. Sig EUI PTE'!I16</f>
        <v>8760</v>
      </c>
      <c r="J17" s="323" t="str">
        <f>'Table 1-2. Sig EUI PTE'!J16</f>
        <v>hr/yr</v>
      </c>
      <c r="K17" s="35" t="s">
        <v>4</v>
      </c>
      <c r="L17" s="205"/>
      <c r="M17" s="25"/>
      <c r="N17" s="26"/>
      <c r="O17" s="35" t="s">
        <v>4</v>
      </c>
      <c r="P17" s="82"/>
    </row>
    <row r="18" spans="1:16" s="49" customFormat="1">
      <c r="A18" s="38">
        <f>'Table 1-2. Sig EUI PTE'!A17</f>
        <v>107</v>
      </c>
      <c r="B18" s="24" t="str">
        <f>'Table 1-2. Sig EUI PTE'!B17</f>
        <v>Sand Handling System</v>
      </c>
      <c r="C18" s="24" t="str">
        <f>'Table 1-2. Sig EUI PTE'!F17</f>
        <v>N/A</v>
      </c>
      <c r="D18" s="77" t="s">
        <v>80</v>
      </c>
      <c r="E18" s="84" t="s">
        <v>4</v>
      </c>
      <c r="F18" s="90"/>
      <c r="G18" s="14">
        <f>'Table 1-2. Sig EUI PTE'!G17</f>
        <v>1600</v>
      </c>
      <c r="H18" s="26" t="str">
        <f>'Table 1-2. Sig EUI PTE'!H17</f>
        <v>acfm</v>
      </c>
      <c r="I18" s="321">
        <f>'Table 1-2. Sig EUI PTE'!I17</f>
        <v>8760</v>
      </c>
      <c r="J18" s="323" t="str">
        <f>'Table 1-2. Sig EUI PTE'!J17</f>
        <v>hr/yr</v>
      </c>
      <c r="K18" s="35" t="s">
        <v>4</v>
      </c>
      <c r="L18" s="205"/>
      <c r="M18" s="25"/>
      <c r="N18" s="26"/>
      <c r="O18" s="35" t="s">
        <v>4</v>
      </c>
      <c r="P18" s="82"/>
    </row>
    <row r="19" spans="1:16" s="49" customFormat="1">
      <c r="A19" s="38">
        <f>'Table 1-2. Sig EUI PTE'!A18</f>
        <v>109</v>
      </c>
      <c r="B19" s="24" t="str">
        <f>'Table 1-2. Sig EUI PTE'!B18</f>
        <v>Ash Handling System</v>
      </c>
      <c r="C19" s="24" t="str">
        <f>'Table 1-2. Sig EUI PTE'!F18</f>
        <v>N/A</v>
      </c>
      <c r="D19" s="77" t="s">
        <v>80</v>
      </c>
      <c r="E19" s="84" t="s">
        <v>4</v>
      </c>
      <c r="F19" s="90"/>
      <c r="G19" s="14">
        <f>'Table 1-2. Sig EUI PTE'!G18</f>
        <v>1000</v>
      </c>
      <c r="H19" s="21" t="str">
        <f>'Table 1-2. Sig EUI PTE'!H18</f>
        <v>acfm</v>
      </c>
      <c r="I19" s="321">
        <f>'Table 1-2. Sig EUI PTE'!I18</f>
        <v>8760</v>
      </c>
      <c r="J19" s="323" t="str">
        <f>'Table 1-2. Sig EUI PTE'!J18</f>
        <v>hr/yr</v>
      </c>
      <c r="K19" s="35" t="s">
        <v>4</v>
      </c>
      <c r="L19" s="205"/>
      <c r="M19" s="25"/>
      <c r="N19" s="26"/>
      <c r="O19" s="35" t="s">
        <v>4</v>
      </c>
      <c r="P19" s="82"/>
    </row>
    <row r="20" spans="1:16" s="49" customFormat="1">
      <c r="A20" s="38">
        <f>'Table 1-2. Sig EUI PTE'!A19</f>
        <v>110</v>
      </c>
      <c r="B20" s="24" t="str">
        <f>'Table 1-2. Sig EUI PTE'!B19</f>
        <v>Ash Handling System Vacuum</v>
      </c>
      <c r="C20" s="24" t="str">
        <f>'Table 1-2. Sig EUI PTE'!F19</f>
        <v>N/A</v>
      </c>
      <c r="D20" s="77" t="s">
        <v>80</v>
      </c>
      <c r="E20" s="84" t="s">
        <v>4</v>
      </c>
      <c r="F20" s="90"/>
      <c r="G20" s="14">
        <f>'Table 1-2. Sig EUI PTE'!G19</f>
        <v>2000</v>
      </c>
      <c r="H20" s="26" t="str">
        <f>'Table 1-2. Sig EUI PTE'!H19</f>
        <v>acfm</v>
      </c>
      <c r="I20" s="321">
        <f>'Table 1-2. Sig EUI PTE'!I19</f>
        <v>8760</v>
      </c>
      <c r="J20" s="323" t="str">
        <f>'Table 1-2. Sig EUI PTE'!J19</f>
        <v>hr/yr</v>
      </c>
      <c r="K20" s="35" t="s">
        <v>4</v>
      </c>
      <c r="L20" s="205"/>
      <c r="M20" s="25"/>
      <c r="N20" s="26"/>
      <c r="O20" s="35" t="s">
        <v>4</v>
      </c>
      <c r="P20" s="82"/>
    </row>
    <row r="21" spans="1:16" s="49" customFormat="1">
      <c r="A21" s="38">
        <f>'Table 1-2. Sig EUI PTE'!A20</f>
        <v>111</v>
      </c>
      <c r="B21" s="24" t="str">
        <f>'Table 1-2. Sig EUI PTE'!B20</f>
        <v>Ash Loadout to Truck</v>
      </c>
      <c r="C21" s="24" t="str">
        <f>'Table 1-2. Sig EUI PTE'!F20</f>
        <v>N/A</v>
      </c>
      <c r="D21" s="77" t="s">
        <v>80</v>
      </c>
      <c r="E21" s="84" t="s">
        <v>4</v>
      </c>
      <c r="F21" s="26" t="s">
        <v>80</v>
      </c>
      <c r="G21" s="85" t="str">
        <f>'Table 1-2. Sig EUI PTE'!G20</f>
        <v>N/A</v>
      </c>
      <c r="H21" s="26" t="str">
        <f>'Table 1-2. Sig EUI PTE'!H20</f>
        <v xml:space="preserve"> </v>
      </c>
      <c r="I21" s="321">
        <f>'Table 1-2. Sig EUI PTE'!I20</f>
        <v>26280</v>
      </c>
      <c r="J21" s="323" t="str">
        <f>'Table 1-2. Sig EUI PTE'!J20</f>
        <v>tpy</v>
      </c>
      <c r="K21" s="35" t="s">
        <v>4</v>
      </c>
      <c r="L21" s="205"/>
      <c r="M21" s="25"/>
      <c r="N21" s="26"/>
      <c r="O21" s="35" t="s">
        <v>4</v>
      </c>
      <c r="P21" s="81" t="s">
        <v>80</v>
      </c>
    </row>
    <row r="22" spans="1:16" s="49" customFormat="1" ht="42.75">
      <c r="A22" s="38">
        <f>'Table 1-2. Sig EUI PTE'!A21</f>
        <v>113</v>
      </c>
      <c r="B22" s="24" t="str">
        <f>'Table 1-2. Sig EUI PTE'!B21</f>
        <v>Replacement Dual-fired CFB Boiler</v>
      </c>
      <c r="C22" s="39" t="str">
        <f>'Table 1-2. Sig EUI PTE'!F21</f>
        <v>Coal/Woody Biomass</v>
      </c>
      <c r="D22" s="39" t="s">
        <v>114</v>
      </c>
      <c r="E22" s="27">
        <v>0.2</v>
      </c>
      <c r="F22" s="66" t="s">
        <v>87</v>
      </c>
      <c r="G22" s="85">
        <f>'Table 1-2. Sig EUI PTE'!G21</f>
        <v>295.60000000000002</v>
      </c>
      <c r="H22" s="26" t="str">
        <f>'Table 1-2. Sig EUI PTE'!H21</f>
        <v>MMBtu/hr</v>
      </c>
      <c r="I22" s="14">
        <f>'Table 1-2. Sig EUI PTE'!I21</f>
        <v>8760</v>
      </c>
      <c r="J22" s="21" t="str">
        <f>'Table 1-2. Sig EUI PTE'!J21</f>
        <v>hr/yr</v>
      </c>
      <c r="K22" s="35" t="s">
        <v>4</v>
      </c>
      <c r="L22" s="206"/>
      <c r="M22" s="27">
        <f>E22</f>
        <v>0.2</v>
      </c>
      <c r="N22" s="66" t="str">
        <f>F22</f>
        <v>lb/MMBtu heat input</v>
      </c>
      <c r="O22" s="79">
        <f>E22*G22*I22/2000</f>
        <v>258.94560000000001</v>
      </c>
      <c r="P22" s="80" t="s">
        <v>3</v>
      </c>
    </row>
    <row r="23" spans="1:16" s="49" customFormat="1">
      <c r="A23" s="38">
        <f>'Table 1-2. Sig EUI PTE'!A22</f>
        <v>114</v>
      </c>
      <c r="B23" s="24" t="str">
        <f>'Table 1-2. Sig EUI PTE'!B22</f>
        <v>Dry Sorbent Handling Vent Filter Exhaust</v>
      </c>
      <c r="C23" s="24" t="str">
        <f>'Table 1-2. Sig EUI PTE'!F22</f>
        <v>N/A</v>
      </c>
      <c r="D23" s="24" t="s">
        <v>80</v>
      </c>
      <c r="E23" s="166" t="s">
        <v>4</v>
      </c>
      <c r="F23" s="26"/>
      <c r="G23" s="14">
        <f>'Table 1-2. Sig EUI PTE'!G22</f>
        <v>5</v>
      </c>
      <c r="H23" s="26" t="str">
        <f>'Table 1-2. Sig EUI PTE'!H22</f>
        <v>acfm</v>
      </c>
      <c r="I23" s="14">
        <f>'Table 1-2. Sig EUI PTE'!I22</f>
        <v>8760</v>
      </c>
      <c r="J23" s="21" t="str">
        <f>'Table 1-2. Sig EUI PTE'!J22</f>
        <v>hr/yr</v>
      </c>
      <c r="K23" s="35" t="s">
        <v>4</v>
      </c>
      <c r="L23" s="206"/>
      <c r="M23" s="25"/>
      <c r="N23" s="26"/>
      <c r="O23" s="35" t="s">
        <v>4</v>
      </c>
      <c r="P23" s="138"/>
    </row>
    <row r="24" spans="1:16" s="49" customFormat="1">
      <c r="A24" s="132">
        <f>'Table 1-2. Sig EUI PTE'!A23</f>
        <v>128</v>
      </c>
      <c r="B24" s="134" t="str">
        <f>'Table 1-2. Sig EUI PTE'!B23</f>
        <v>Coal Silo No. 1 with bin vent</v>
      </c>
      <c r="C24" s="134" t="str">
        <f>'Table 1-2. Sig EUI PTE'!F23</f>
        <v>N/A</v>
      </c>
      <c r="D24" s="159" t="s">
        <v>80</v>
      </c>
      <c r="E24" s="160" t="s">
        <v>4</v>
      </c>
      <c r="F24" s="161" t="s">
        <v>80</v>
      </c>
      <c r="G24" s="162">
        <f>'Table 1-2. Sig EUI PTE'!G23</f>
        <v>1650</v>
      </c>
      <c r="H24" s="161" t="str">
        <f>'Table 1-2. Sig EUI PTE'!H23</f>
        <v>acfm</v>
      </c>
      <c r="I24" s="322">
        <f>'Table 1-2. Sig EUI PTE'!I23</f>
        <v>8760</v>
      </c>
      <c r="J24" s="324" t="str">
        <f>'Table 1-2. Sig EUI PTE'!J23</f>
        <v>hr/yr</v>
      </c>
      <c r="K24" s="163" t="s">
        <v>4</v>
      </c>
      <c r="L24" s="207"/>
      <c r="M24" s="165"/>
      <c r="N24" s="161"/>
      <c r="O24" s="163" t="s">
        <v>4</v>
      </c>
      <c r="P24" s="142" t="s">
        <v>80</v>
      </c>
    </row>
    <row r="25" spans="1:16" s="49" customFormat="1">
      <c r="A25" s="38">
        <f>'Table 1-2. Sig EUI PTE'!A24</f>
        <v>129</v>
      </c>
      <c r="B25" s="24" t="str">
        <f>'Table 1-2. Sig EUI PTE'!B24</f>
        <v>Coal Silo No. 2 with bin vent</v>
      </c>
      <c r="C25" s="24" t="str">
        <f>'Table 1-2. Sig EUI PTE'!F24</f>
        <v>N/A</v>
      </c>
      <c r="D25" s="39" t="s">
        <v>80</v>
      </c>
      <c r="E25" s="137" t="s">
        <v>4</v>
      </c>
      <c r="F25" s="66" t="s">
        <v>80</v>
      </c>
      <c r="G25" s="135">
        <f>'Table 1-2. Sig EUI PTE'!G24</f>
        <v>1650</v>
      </c>
      <c r="H25" s="26" t="str">
        <f>'Table 1-2. Sig EUI PTE'!H24</f>
        <v>acfm</v>
      </c>
      <c r="I25" s="14">
        <f>'Table 1-2. Sig EUI PTE'!I24</f>
        <v>8760</v>
      </c>
      <c r="J25" s="21" t="str">
        <f>'Table 1-2. Sig EUI PTE'!J24</f>
        <v>hr/yr</v>
      </c>
      <c r="K25" s="35" t="s">
        <v>4</v>
      </c>
      <c r="L25" s="206"/>
      <c r="M25" s="27" t="s">
        <v>80</v>
      </c>
      <c r="N25" s="26" t="str">
        <f>F25</f>
        <v xml:space="preserve"> </v>
      </c>
      <c r="O25" s="35" t="s">
        <v>4</v>
      </c>
      <c r="P25" s="139" t="s">
        <v>80</v>
      </c>
    </row>
    <row r="26" spans="1:16" s="49" customFormat="1" ht="15" thickBot="1">
      <c r="A26" s="105">
        <f>'Table 1-2. Sig EUI PTE'!A25</f>
        <v>130</v>
      </c>
      <c r="B26" s="106" t="str">
        <f>'Table 1-2. Sig EUI PTE'!B25</f>
        <v>Coal Silo No. 3 with bin vent</v>
      </c>
      <c r="C26" s="106" t="str">
        <f>'Table 1-2. Sig EUI PTE'!F25</f>
        <v>N/A</v>
      </c>
      <c r="D26" s="106" t="s">
        <v>80</v>
      </c>
      <c r="E26" s="107" t="s">
        <v>4</v>
      </c>
      <c r="F26" s="108"/>
      <c r="G26" s="109">
        <f>'Table 1-2. Sig EUI PTE'!G25</f>
        <v>1650</v>
      </c>
      <c r="H26" s="108" t="str">
        <f>'Table 1-2. Sig EUI PTE'!H25</f>
        <v>acfm</v>
      </c>
      <c r="I26" s="109">
        <f>'Table 1-2. Sig EUI PTE'!I25</f>
        <v>8760</v>
      </c>
      <c r="J26" s="114" t="str">
        <f>'Table 1-2. Sig EUI PTE'!J25</f>
        <v>hr/yr</v>
      </c>
      <c r="K26" s="61" t="s">
        <v>4</v>
      </c>
      <c r="L26" s="208"/>
      <c r="M26" s="110"/>
      <c r="N26" s="108"/>
      <c r="O26" s="61" t="s">
        <v>4</v>
      </c>
      <c r="P26" s="129"/>
    </row>
    <row r="27" spans="1:16" s="49" customFormat="1">
      <c r="A27" s="283"/>
      <c r="B27" s="283"/>
      <c r="C27" s="283"/>
      <c r="D27" s="283"/>
      <c r="E27" s="295"/>
      <c r="F27" s="229"/>
      <c r="G27" s="285"/>
      <c r="H27" s="229"/>
      <c r="I27" s="285"/>
      <c r="J27" s="285"/>
      <c r="K27" s="296"/>
      <c r="L27" s="229"/>
      <c r="M27" s="229"/>
      <c r="N27" s="229"/>
      <c r="O27" s="296"/>
      <c r="P27" s="229"/>
    </row>
    <row r="28" spans="1:16" s="29" customFormat="1">
      <c r="A28" s="49" t="s">
        <v>5</v>
      </c>
      <c r="D28" s="43"/>
      <c r="M28" s="31"/>
      <c r="N28" s="31"/>
    </row>
    <row r="29" spans="1:16" s="29" customFormat="1" ht="16.5">
      <c r="A29" s="49" t="s">
        <v>138</v>
      </c>
      <c r="D29" s="43"/>
      <c r="M29" s="31"/>
      <c r="N29" s="31"/>
    </row>
    <row r="30" spans="1:16" s="29" customFormat="1" ht="16.5">
      <c r="A30" s="29" t="s">
        <v>48</v>
      </c>
      <c r="D30" s="44" t="s">
        <v>139</v>
      </c>
      <c r="E30" s="45">
        <v>454</v>
      </c>
      <c r="F30" s="49" t="s">
        <v>64</v>
      </c>
      <c r="M30" s="31"/>
      <c r="N30" s="31"/>
    </row>
    <row r="31" spans="1:16" s="29" customFormat="1">
      <c r="D31" s="44" t="s">
        <v>16</v>
      </c>
      <c r="E31" s="46">
        <v>0.13700000000000001</v>
      </c>
      <c r="F31" s="49" t="s">
        <v>37</v>
      </c>
      <c r="M31" s="31"/>
      <c r="N31" s="31"/>
    </row>
    <row r="32" spans="1:16" s="29" customFormat="1">
      <c r="D32" s="44" t="s">
        <v>40</v>
      </c>
      <c r="E32" s="43">
        <v>1000</v>
      </c>
      <c r="F32" s="49" t="s">
        <v>18</v>
      </c>
      <c r="M32" s="31"/>
      <c r="N32" s="31"/>
    </row>
    <row r="33" spans="1:18" s="49" customFormat="1" ht="18.75">
      <c r="A33" s="49" t="s">
        <v>169</v>
      </c>
      <c r="D33" s="44"/>
      <c r="E33" s="43"/>
    </row>
    <row r="34" spans="1:18" s="49" customFormat="1" ht="30.6" customHeight="1">
      <c r="A34" s="389" t="s">
        <v>170</v>
      </c>
      <c r="B34" s="389"/>
      <c r="C34" s="389"/>
      <c r="D34" s="389"/>
      <c r="E34" s="389"/>
      <c r="F34" s="389"/>
      <c r="G34" s="389"/>
      <c r="H34" s="389"/>
      <c r="I34" s="389"/>
      <c r="J34" s="389"/>
      <c r="K34" s="389"/>
      <c r="L34" s="389"/>
      <c r="M34" s="389"/>
      <c r="N34" s="389"/>
      <c r="O34" s="389"/>
      <c r="P34" s="389"/>
      <c r="Q34" s="267"/>
      <c r="R34" s="267"/>
    </row>
    <row r="35" spans="1:18" s="49" customFormat="1">
      <c r="A35" s="389" t="s">
        <v>216</v>
      </c>
      <c r="B35" s="389"/>
      <c r="C35" s="389"/>
      <c r="D35" s="389"/>
      <c r="E35" s="389"/>
      <c r="F35" s="389"/>
      <c r="G35" s="389"/>
      <c r="H35" s="389"/>
      <c r="I35" s="389"/>
      <c r="J35" s="389"/>
      <c r="K35" s="389"/>
      <c r="L35" s="389"/>
      <c r="M35" s="389"/>
      <c r="N35" s="389"/>
      <c r="O35" s="389"/>
      <c r="P35" s="389"/>
      <c r="Q35" s="267"/>
      <c r="R35" s="267"/>
    </row>
    <row r="36" spans="1:18" s="49" customFormat="1" ht="16.5">
      <c r="A36" s="49" t="s">
        <v>140</v>
      </c>
      <c r="B36" s="117"/>
      <c r="D36" s="44"/>
      <c r="E36" s="43"/>
    </row>
    <row r="37" spans="1:18" s="49" customFormat="1" ht="16.5">
      <c r="A37" s="64" t="s">
        <v>171</v>
      </c>
      <c r="B37" s="117"/>
      <c r="D37" s="44"/>
      <c r="E37" s="43"/>
    </row>
    <row r="38" spans="1:18" s="49" customFormat="1" ht="15" customHeight="1">
      <c r="A38" s="389" t="s">
        <v>172</v>
      </c>
      <c r="B38" s="389"/>
      <c r="C38" s="389"/>
      <c r="D38" s="389"/>
      <c r="E38" s="389"/>
      <c r="F38" s="389"/>
      <c r="G38" s="389"/>
      <c r="H38" s="389"/>
      <c r="I38" s="389"/>
      <c r="J38" s="389"/>
      <c r="K38" s="389"/>
      <c r="L38" s="389"/>
      <c r="M38" s="389"/>
      <c r="N38" s="389"/>
      <c r="O38" s="389"/>
      <c r="P38" s="389"/>
    </row>
    <row r="39" spans="1:18" s="49" customFormat="1" ht="16.5">
      <c r="A39" s="49" t="s">
        <v>173</v>
      </c>
      <c r="D39" s="44"/>
      <c r="E39" s="43"/>
    </row>
    <row r="40" spans="1:18" s="29" customFormat="1" ht="16.5">
      <c r="A40" s="64" t="s">
        <v>80</v>
      </c>
      <c r="M40" s="31"/>
      <c r="N40" s="31"/>
    </row>
    <row r="41" spans="1:18" s="29" customFormat="1" ht="16.5">
      <c r="A41" s="64" t="s">
        <v>80</v>
      </c>
      <c r="D41" s="7"/>
      <c r="M41" s="31"/>
      <c r="N41" s="31"/>
    </row>
    <row r="42" spans="1:18">
      <c r="D42" s="4"/>
    </row>
    <row r="43" spans="1:18">
      <c r="D43" s="4"/>
    </row>
    <row r="44" spans="1:18">
      <c r="D44" s="4"/>
    </row>
    <row r="45" spans="1:18">
      <c r="D45" s="4"/>
    </row>
    <row r="46" spans="1:18">
      <c r="D46" s="4"/>
    </row>
    <row r="47" spans="1:18">
      <c r="D47" s="4"/>
    </row>
    <row r="48" spans="1:18">
      <c r="D48" s="4"/>
    </row>
    <row r="49" spans="4:4">
      <c r="D49" s="4"/>
    </row>
    <row r="50" spans="4:4">
      <c r="D50" s="4"/>
    </row>
    <row r="51" spans="4:4">
      <c r="D51" s="4"/>
    </row>
    <row r="52" spans="4:4">
      <c r="D52" s="4"/>
    </row>
    <row r="53" spans="4:4">
      <c r="D53" s="4"/>
    </row>
    <row r="54" spans="4:4">
      <c r="D54" s="4"/>
    </row>
    <row r="55" spans="4:4">
      <c r="D55" s="4"/>
    </row>
    <row r="56" spans="4:4">
      <c r="D56" s="4"/>
    </row>
    <row r="57" spans="4:4">
      <c r="D57" s="4"/>
    </row>
    <row r="58" spans="4:4">
      <c r="D58" s="4"/>
    </row>
    <row r="59" spans="4:4">
      <c r="D59" s="4"/>
    </row>
    <row r="60" spans="4:4">
      <c r="D60" s="4"/>
    </row>
    <row r="61" spans="4:4">
      <c r="D61" s="4"/>
    </row>
    <row r="62" spans="4:4">
      <c r="D62" s="4"/>
    </row>
    <row r="63" spans="4:4">
      <c r="D63" s="4"/>
    </row>
    <row r="64" spans="4:4">
      <c r="D64" s="4"/>
    </row>
    <row r="65" spans="4:4">
      <c r="D65" s="4"/>
    </row>
    <row r="66" spans="4:4">
      <c r="D66" s="4"/>
    </row>
    <row r="67" spans="4:4">
      <c r="D67" s="4"/>
    </row>
    <row r="68" spans="4:4">
      <c r="D68" s="4"/>
    </row>
    <row r="69" spans="4:4">
      <c r="D69" s="4"/>
    </row>
    <row r="70" spans="4:4">
      <c r="D70" s="4"/>
    </row>
    <row r="71" spans="4:4">
      <c r="D71" s="4"/>
    </row>
    <row r="72" spans="4:4">
      <c r="D72" s="4"/>
    </row>
    <row r="73" spans="4:4">
      <c r="D73" s="4"/>
    </row>
    <row r="74" spans="4:4">
      <c r="D74" s="4"/>
    </row>
    <row r="75" spans="4:4">
      <c r="D75" s="4"/>
    </row>
    <row r="76" spans="4:4">
      <c r="D76" s="4"/>
    </row>
    <row r="77" spans="4:4">
      <c r="D77" s="4"/>
    </row>
    <row r="78" spans="4:4">
      <c r="D78" s="4"/>
    </row>
    <row r="79" spans="4:4">
      <c r="D79" s="4"/>
    </row>
    <row r="80" spans="4:4">
      <c r="D80" s="4"/>
    </row>
    <row r="81" spans="4:4">
      <c r="D81" s="4"/>
    </row>
    <row r="82" spans="4:4">
      <c r="D82" s="4"/>
    </row>
    <row r="83" spans="4:4">
      <c r="D83" s="4"/>
    </row>
    <row r="84" spans="4:4">
      <c r="D84" s="4"/>
    </row>
    <row r="85" spans="4:4">
      <c r="D85" s="4"/>
    </row>
    <row r="86" spans="4:4">
      <c r="D86" s="4"/>
    </row>
    <row r="87" spans="4:4">
      <c r="D87" s="4"/>
    </row>
    <row r="88" spans="4:4">
      <c r="D88" s="4"/>
    </row>
    <row r="89" spans="4:4">
      <c r="D89" s="4"/>
    </row>
    <row r="90" spans="4:4">
      <c r="D90" s="4"/>
    </row>
    <row r="91" spans="4:4">
      <c r="D91" s="4"/>
    </row>
    <row r="92" spans="4:4">
      <c r="D92" s="4"/>
    </row>
    <row r="93" spans="4:4">
      <c r="D93" s="4"/>
    </row>
    <row r="94" spans="4:4">
      <c r="D94" s="4"/>
    </row>
    <row r="95" spans="4:4">
      <c r="D95" s="4"/>
    </row>
    <row r="96" spans="4:4">
      <c r="D96" s="4"/>
    </row>
    <row r="97" spans="4:4">
      <c r="D97" s="4"/>
    </row>
    <row r="98" spans="4:4">
      <c r="D98" s="4"/>
    </row>
    <row r="99" spans="4:4">
      <c r="D99" s="4"/>
    </row>
    <row r="100" spans="4:4">
      <c r="D100" s="4"/>
    </row>
  </sheetData>
  <mergeCells count="16">
    <mergeCell ref="I4:J5"/>
    <mergeCell ref="A34:P34"/>
    <mergeCell ref="A35:P35"/>
    <mergeCell ref="A38:P38"/>
    <mergeCell ref="P13:P15"/>
    <mergeCell ref="O4:P5"/>
    <mergeCell ref="I13:I15"/>
    <mergeCell ref="J13:J15"/>
    <mergeCell ref="O13:O15"/>
    <mergeCell ref="A4:B4"/>
    <mergeCell ref="A6:P6"/>
    <mergeCell ref="M4:N4"/>
    <mergeCell ref="M5:N5"/>
    <mergeCell ref="D4:F4"/>
    <mergeCell ref="C4:C5"/>
    <mergeCell ref="G4:H5"/>
  </mergeCells>
  <phoneticPr fontId="0" type="noConversion"/>
  <printOptions horizontalCentered="1"/>
  <pageMargins left="0.7" right="0.7" top="0.75" bottom="0.75" header="0.5" footer="0.5"/>
  <pageSetup scale="50" orientation="landscape" r:id="rId1"/>
  <headerFooter alignWithMargins="0">
    <oddFooter>&amp;LUAF
PM&amp;Y2.5&amp;Y Serious NAA BACT Analysis&amp;CPage 4&amp;RJanuary 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9"/>
  <sheetViews>
    <sheetView zoomScale="75" zoomScaleNormal="75" zoomScalePageLayoutView="85" workbookViewId="0">
      <selection activeCell="D10" sqref="D10"/>
    </sheetView>
  </sheetViews>
  <sheetFormatPr defaultColWidth="9.140625" defaultRowHeight="14.25"/>
  <cols>
    <col min="1" max="1" width="9.140625" style="3"/>
    <col min="2" max="2" width="52.28515625" style="3" customWidth="1"/>
    <col min="3" max="3" width="19.140625" style="3" customWidth="1"/>
    <col min="4" max="4" width="30" style="3" bestFit="1" customWidth="1"/>
    <col min="5" max="5" width="10.85546875" style="3" customWidth="1"/>
    <col min="6" max="6" width="12.28515625" style="3" customWidth="1"/>
    <col min="7" max="7" width="10.85546875" style="3" customWidth="1"/>
    <col min="8" max="8" width="14.85546875" style="3" customWidth="1"/>
    <col min="9" max="9" width="11.7109375" style="3" customWidth="1"/>
    <col min="10" max="10" width="14.7109375" style="3" customWidth="1"/>
    <col min="11" max="11" width="19.5703125" style="3" customWidth="1"/>
    <col min="12" max="12" width="13" style="3" customWidth="1"/>
    <col min="13" max="14" width="11.85546875" style="3" customWidth="1"/>
    <col min="15" max="15" width="12.5703125" style="6" customWidth="1"/>
    <col min="16" max="16" width="9.85546875" style="3" customWidth="1"/>
    <col min="17" max="17" width="10" style="3" bestFit="1" customWidth="1"/>
    <col min="18" max="18" width="14.5703125" style="3" customWidth="1"/>
    <col min="19" max="19" width="10" style="3" bestFit="1" customWidth="1"/>
    <col min="20" max="20" width="9.140625" style="3"/>
    <col min="21" max="21" width="10" style="3" bestFit="1" customWidth="1"/>
    <col min="22" max="16384" width="9.140625" style="3"/>
  </cols>
  <sheetData>
    <row r="1" spans="1:24" ht="16.5">
      <c r="A1" s="9" t="s">
        <v>153</v>
      </c>
      <c r="B1" s="2"/>
      <c r="C1" s="2"/>
      <c r="D1" s="2"/>
      <c r="E1" s="2"/>
      <c r="F1" s="2"/>
      <c r="G1" s="2"/>
      <c r="H1" s="2"/>
      <c r="I1" s="2"/>
      <c r="J1" s="2"/>
      <c r="K1" s="2"/>
      <c r="L1" s="2"/>
      <c r="M1" s="2"/>
      <c r="N1" s="2"/>
      <c r="O1" s="8"/>
      <c r="P1" s="2"/>
    </row>
    <row r="2" spans="1:24" ht="15">
      <c r="A2" s="9" t="s">
        <v>76</v>
      </c>
      <c r="B2" s="2"/>
      <c r="C2" s="2"/>
      <c r="D2" s="2"/>
      <c r="E2" s="2"/>
      <c r="F2" s="2"/>
      <c r="G2" s="2"/>
      <c r="H2" s="2"/>
      <c r="I2" s="2"/>
      <c r="J2" s="2"/>
      <c r="K2" s="2"/>
      <c r="L2" s="2"/>
      <c r="M2" s="2"/>
      <c r="N2" s="2"/>
      <c r="O2" s="8"/>
      <c r="P2" s="2"/>
    </row>
    <row r="3" spans="1:24" ht="15" thickBot="1"/>
    <row r="4" spans="1:24" ht="18.75" customHeight="1">
      <c r="A4" s="400" t="s">
        <v>9</v>
      </c>
      <c r="B4" s="401"/>
      <c r="C4" s="363" t="s">
        <v>67</v>
      </c>
      <c r="D4" s="407" t="s">
        <v>72</v>
      </c>
      <c r="E4" s="408"/>
      <c r="F4" s="409"/>
      <c r="G4" s="359" t="s">
        <v>69</v>
      </c>
      <c r="H4" s="360"/>
      <c r="I4" s="385" t="s">
        <v>70</v>
      </c>
      <c r="J4" s="386"/>
      <c r="K4" s="78" t="s">
        <v>89</v>
      </c>
      <c r="L4" s="185" t="s">
        <v>88</v>
      </c>
      <c r="M4" s="359" t="s">
        <v>92</v>
      </c>
      <c r="N4" s="360"/>
      <c r="O4" s="391" t="s">
        <v>73</v>
      </c>
      <c r="P4" s="392"/>
    </row>
    <row r="5" spans="1:24" s="150" customFormat="1" ht="18.600000000000001" customHeight="1">
      <c r="A5" s="151" t="s">
        <v>11</v>
      </c>
      <c r="B5" s="156" t="s">
        <v>10</v>
      </c>
      <c r="C5" s="410"/>
      <c r="D5" s="153" t="s">
        <v>1</v>
      </c>
      <c r="E5" s="154" t="s">
        <v>2</v>
      </c>
      <c r="F5" s="154"/>
      <c r="G5" s="405"/>
      <c r="H5" s="406"/>
      <c r="I5" s="387"/>
      <c r="J5" s="388"/>
      <c r="K5" s="33" t="s">
        <v>88</v>
      </c>
      <c r="L5" s="186" t="s">
        <v>86</v>
      </c>
      <c r="M5" s="405" t="s">
        <v>97</v>
      </c>
      <c r="N5" s="406"/>
      <c r="O5" s="393"/>
      <c r="P5" s="394"/>
    </row>
    <row r="6" spans="1:24" ht="15.75" thickBot="1">
      <c r="A6" s="402" t="s">
        <v>19</v>
      </c>
      <c r="B6" s="403"/>
      <c r="C6" s="403"/>
      <c r="D6" s="403"/>
      <c r="E6" s="403"/>
      <c r="F6" s="403"/>
      <c r="G6" s="403"/>
      <c r="H6" s="403"/>
      <c r="I6" s="403"/>
      <c r="J6" s="403"/>
      <c r="K6" s="403"/>
      <c r="L6" s="403"/>
      <c r="M6" s="403"/>
      <c r="N6" s="403"/>
      <c r="O6" s="403"/>
      <c r="P6" s="404"/>
    </row>
    <row r="7" spans="1:24" ht="15.75" thickTop="1">
      <c r="A7" s="287"/>
      <c r="B7" s="276"/>
      <c r="C7" s="276"/>
      <c r="D7" s="276"/>
      <c r="E7" s="288"/>
      <c r="F7" s="289"/>
      <c r="G7" s="288"/>
      <c r="H7" s="289"/>
      <c r="I7" s="288"/>
      <c r="J7" s="289"/>
      <c r="K7" s="290"/>
      <c r="L7" s="292"/>
      <c r="M7" s="293"/>
      <c r="N7" s="294"/>
      <c r="O7" s="288"/>
      <c r="P7" s="291"/>
    </row>
    <row r="8" spans="1:24" s="41" customFormat="1" ht="15" customHeight="1">
      <c r="A8" s="38">
        <f>'Table 1-3. NOx'!A8</f>
        <v>3</v>
      </c>
      <c r="B8" s="24" t="str">
        <f>'Table 1-3. NOx'!B8</f>
        <v>Dual-Fired Boiler</v>
      </c>
      <c r="C8" s="24" t="str">
        <f>'Table 1-3. NOx'!C8</f>
        <v>Diesel</v>
      </c>
      <c r="D8" s="24" t="s">
        <v>65</v>
      </c>
      <c r="E8" s="25">
        <f>0.83+1.3</f>
        <v>2.13</v>
      </c>
      <c r="F8" s="26" t="s">
        <v>15</v>
      </c>
      <c r="G8" s="86">
        <f>'Table 1-3. NOx'!G8</f>
        <v>180.9</v>
      </c>
      <c r="H8" s="26" t="str">
        <f>'Table 1-3. NOx'!H8</f>
        <v>MMBtu/hr</v>
      </c>
      <c r="I8" s="14">
        <f>'Table 1-3. NOx'!I8</f>
        <v>8760</v>
      </c>
      <c r="J8" s="21" t="s">
        <v>51</v>
      </c>
      <c r="K8" s="35" t="s">
        <v>4</v>
      </c>
      <c r="L8" s="217"/>
      <c r="M8" s="270">
        <f>E8/1000/$E$31</f>
        <v>1.5547445255474451E-2</v>
      </c>
      <c r="N8" s="269" t="s">
        <v>59</v>
      </c>
      <c r="O8" s="253">
        <f>G8*I8*M8/2000</f>
        <v>12.318893868613136</v>
      </c>
      <c r="P8" s="252" t="s">
        <v>106</v>
      </c>
      <c r="Q8" s="37"/>
      <c r="R8" s="18"/>
      <c r="S8" s="18"/>
      <c r="T8" s="18"/>
      <c r="U8" s="18"/>
      <c r="V8" s="18"/>
      <c r="W8" s="18"/>
      <c r="X8" s="18"/>
    </row>
    <row r="9" spans="1:24" s="41" customFormat="1" ht="85.5">
      <c r="A9" s="38">
        <f>'Table 1-3. NOx'!A9</f>
        <v>4</v>
      </c>
      <c r="B9" s="24" t="str">
        <f>'Table 1-3. NOx'!B9</f>
        <v>Dual-Fired Boiler</v>
      </c>
      <c r="C9" s="24" t="str">
        <f>'Table 1-3. NOx'!C9</f>
        <v>Diesel</v>
      </c>
      <c r="D9" s="24" t="s">
        <v>65</v>
      </c>
      <c r="E9" s="25">
        <f>0.83+1.3</f>
        <v>2.13</v>
      </c>
      <c r="F9" s="26" t="s">
        <v>15</v>
      </c>
      <c r="G9" s="86">
        <f>'Table 1-3. NOx'!G9</f>
        <v>180.9</v>
      </c>
      <c r="H9" s="26" t="str">
        <f>'Table 1-3. NOx'!H9</f>
        <v>MMBtu/hr</v>
      </c>
      <c r="I9" s="256">
        <f>'Table 1-2. Sig EUI PTE'!I8:J8</f>
        <v>158468.40000000002</v>
      </c>
      <c r="J9" s="257" t="s">
        <v>137</v>
      </c>
      <c r="K9" s="70" t="str">
        <f>'Table 1-3. NOx'!K9</f>
        <v>Standard Combustor when firing Diesel
+
10 Percent Capacity Factor</v>
      </c>
      <c r="L9" s="203">
        <f>'Table 1-3. NOx'!L9</f>
        <v>0.9</v>
      </c>
      <c r="M9" s="259">
        <f>E9/1000/$E$31</f>
        <v>1.5547445255474451E-2</v>
      </c>
      <c r="N9" s="258" t="s">
        <v>59</v>
      </c>
      <c r="O9" s="92">
        <f>I9*M9/2000</f>
        <v>1.2318893868613139</v>
      </c>
      <c r="P9" s="245" t="s">
        <v>148</v>
      </c>
      <c r="Q9" s="411" t="s">
        <v>80</v>
      </c>
      <c r="R9" s="18"/>
      <c r="S9" s="18"/>
      <c r="T9" s="18"/>
      <c r="U9" s="18"/>
      <c r="V9" s="18"/>
      <c r="W9" s="18"/>
      <c r="X9" s="18"/>
    </row>
    <row r="10" spans="1:24" s="41" customFormat="1" ht="57">
      <c r="A10" s="38">
        <f>'Table 1-3. NOx'!A10</f>
        <v>4</v>
      </c>
      <c r="B10" s="24" t="str">
        <f>'Table 1-3. NOx'!B10</f>
        <v>Dual-Fired Boiler</v>
      </c>
      <c r="C10" s="24" t="str">
        <f>'Table 1-3. NOx'!C10</f>
        <v>Natural Gas</v>
      </c>
      <c r="D10" s="24" t="s">
        <v>41</v>
      </c>
      <c r="E10" s="25">
        <v>7.6</v>
      </c>
      <c r="F10" s="26" t="s">
        <v>21</v>
      </c>
      <c r="G10" s="86">
        <f>'Table 1-3. NOx'!G10</f>
        <v>180.9</v>
      </c>
      <c r="H10" s="88" t="str">
        <f>'Table 1-3. NOx'!H10</f>
        <v>MMBtu/hr</v>
      </c>
      <c r="I10" s="256">
        <f>'Table 1-3. NOx'!I10</f>
        <v>8760</v>
      </c>
      <c r="J10" s="257" t="str">
        <f>'Table 1-3. NOx'!J10</f>
        <v>hr/yr</v>
      </c>
      <c r="K10" s="70" t="str">
        <f>'Table 1-3. NOx'!K10</f>
        <v>Low NOx Burners
+
10 Percent Capacity Factor</v>
      </c>
      <c r="L10" s="203">
        <f>'Table 1-3. NOx'!L10</f>
        <v>0.9</v>
      </c>
      <c r="M10" s="19">
        <f t="shared" ref="M10:N12" si="0">E10</f>
        <v>7.6</v>
      </c>
      <c r="N10" s="21" t="str">
        <f t="shared" si="0"/>
        <v>lb/MMscf</v>
      </c>
      <c r="O10" s="92">
        <f>G10*I10/E33*M10*(1-L10)/2000</f>
        <v>0.60217991999999976</v>
      </c>
      <c r="P10" s="254" t="s">
        <v>148</v>
      </c>
      <c r="Q10" s="411"/>
      <c r="R10" s="18"/>
      <c r="S10" s="18"/>
      <c r="T10" s="18"/>
      <c r="U10" s="18"/>
      <c r="V10" s="18"/>
      <c r="W10" s="18"/>
      <c r="X10" s="18"/>
    </row>
    <row r="11" spans="1:24" s="41" customFormat="1" ht="28.5">
      <c r="A11" s="38">
        <f>'Table 1-3. NOx'!A11</f>
        <v>8</v>
      </c>
      <c r="B11" s="24" t="str">
        <f>'Table 1-3. NOx'!B11</f>
        <v>Peaking/Backup Generator (DEG) Engine</v>
      </c>
      <c r="C11" s="24" t="str">
        <f>'Table 1-3. NOx'!C11</f>
        <v>Diesel</v>
      </c>
      <c r="D11" s="24" t="s">
        <v>39</v>
      </c>
      <c r="E11" s="19">
        <v>0.1</v>
      </c>
      <c r="F11" s="26" t="s">
        <v>59</v>
      </c>
      <c r="G11" s="14">
        <f>'Table 1-3. NOx'!G11</f>
        <v>13266</v>
      </c>
      <c r="H11" s="88" t="str">
        <f>'Table 1-3. NOx'!H11</f>
        <v>hp</v>
      </c>
      <c r="I11" s="14">
        <f>'Table 1-3. NOx'!I11</f>
        <v>140105.07880910684</v>
      </c>
      <c r="J11" s="21" t="s">
        <v>158</v>
      </c>
      <c r="K11" s="70" t="s">
        <v>124</v>
      </c>
      <c r="L11" s="93"/>
      <c r="M11" s="50">
        <f t="shared" si="0"/>
        <v>0.1</v>
      </c>
      <c r="N11" s="34" t="str">
        <f t="shared" si="0"/>
        <v>lb/MMBtu</v>
      </c>
      <c r="O11" s="92">
        <f>I11*E31*M11/2000</f>
        <v>0.95971978984238193</v>
      </c>
      <c r="P11" s="254" t="s">
        <v>61</v>
      </c>
      <c r="Q11" s="411"/>
      <c r="R11" s="18"/>
      <c r="S11" s="18"/>
      <c r="T11" s="18"/>
      <c r="U11" s="18"/>
      <c r="V11" s="18"/>
      <c r="W11" s="18"/>
      <c r="X11" s="18"/>
    </row>
    <row r="12" spans="1:24" s="41" customFormat="1" ht="53.45" customHeight="1">
      <c r="A12" s="38" t="str">
        <f>'Table 1-3. NOx'!A12</f>
        <v>9A</v>
      </c>
      <c r="B12" s="24" t="str">
        <f>'Table 1-3. NOx'!B12</f>
        <v>BiRD - Medical/Pathological Waste Incinerator</v>
      </c>
      <c r="C12" s="39" t="str">
        <f>'Table 1-3. NOx'!C12</f>
        <v>Medical/Pathological Waste</v>
      </c>
      <c r="D12" s="24" t="s">
        <v>57</v>
      </c>
      <c r="E12" s="27">
        <v>4.67</v>
      </c>
      <c r="F12" s="26" t="s">
        <v>36</v>
      </c>
      <c r="G12" s="14">
        <f>'Table 1-3. NOx'!G12</f>
        <v>83.333333333333329</v>
      </c>
      <c r="H12" s="26" t="str">
        <f>'Table 1-3. NOx'!H12</f>
        <v>lb/hr</v>
      </c>
      <c r="I12" s="247">
        <f>'Table 1-3. NOx'!I12</f>
        <v>109</v>
      </c>
      <c r="J12" s="248" t="s">
        <v>122</v>
      </c>
      <c r="K12" s="70" t="s">
        <v>126</v>
      </c>
      <c r="L12" s="93"/>
      <c r="M12" s="50">
        <f t="shared" si="0"/>
        <v>4.67</v>
      </c>
      <c r="N12" s="34" t="str">
        <f t="shared" si="0"/>
        <v>lb/ton</v>
      </c>
      <c r="O12" s="27">
        <f>E12*I12/2000</f>
        <v>0.25451499999999999</v>
      </c>
      <c r="P12" s="180" t="s">
        <v>3</v>
      </c>
      <c r="R12" s="40"/>
    </row>
    <row r="13" spans="1:24" s="41" customFormat="1" ht="16.5" customHeight="1">
      <c r="A13" s="38">
        <f>'Table 1-3. NOx'!A13</f>
        <v>19</v>
      </c>
      <c r="B13" s="24" t="str">
        <f>'Table 1-3. NOx'!B13</f>
        <v>BiRD  RM 100U3 Boiler No. 1</v>
      </c>
      <c r="C13" s="24" t="s">
        <v>132</v>
      </c>
      <c r="D13" s="24" t="s">
        <v>65</v>
      </c>
      <c r="E13" s="25">
        <f t="shared" ref="E13:E15" si="1">0.83+1.3</f>
        <v>2.13</v>
      </c>
      <c r="F13" s="26" t="s">
        <v>15</v>
      </c>
      <c r="G13" s="63">
        <f>'Table 1-3. NOx'!G13</f>
        <v>6.1333333333333329</v>
      </c>
      <c r="H13" s="26" t="str">
        <f>'Table 1-3. NOx'!H13</f>
        <v>MMBtu/hr</v>
      </c>
      <c r="I13" s="369">
        <f>'Table 1-3. NOx'!I13</f>
        <v>19650</v>
      </c>
      <c r="J13" s="413" t="s">
        <v>105</v>
      </c>
      <c r="K13" s="35" t="s">
        <v>4</v>
      </c>
      <c r="L13" s="209"/>
      <c r="M13" s="27">
        <f>E13/$E$31/1000*E$30</f>
        <v>7.0585401459854005</v>
      </c>
      <c r="N13" s="182" t="s">
        <v>93</v>
      </c>
      <c r="O13" s="412">
        <f>G13/$E$31*E13/1000*I13/2000</f>
        <v>0.93688905109489018</v>
      </c>
      <c r="P13" s="390" t="s">
        <v>3</v>
      </c>
      <c r="Q13" s="37"/>
      <c r="R13" s="37"/>
      <c r="S13" s="37"/>
      <c r="T13" s="37"/>
      <c r="U13" s="37"/>
      <c r="V13" s="37"/>
      <c r="W13" s="37"/>
      <c r="X13" s="37"/>
    </row>
    <row r="14" spans="1:24" s="41" customFormat="1" ht="16.5">
      <c r="A14" s="38">
        <f>'Table 1-3. NOx'!A14</f>
        <v>20</v>
      </c>
      <c r="B14" s="24" t="str">
        <f>'Table 1-3. NOx'!B14</f>
        <v>BiRD  RM 100U3 Boiler No. 2</v>
      </c>
      <c r="C14" s="24" t="s">
        <v>132</v>
      </c>
      <c r="D14" s="24" t="s">
        <v>65</v>
      </c>
      <c r="E14" s="25">
        <f t="shared" si="1"/>
        <v>2.13</v>
      </c>
      <c r="F14" s="26" t="s">
        <v>15</v>
      </c>
      <c r="G14" s="63">
        <f>'Table 1-3. NOx'!G14</f>
        <v>6.1333333333333329</v>
      </c>
      <c r="H14" s="26" t="str">
        <f>'Table 1-3. NOx'!H14</f>
        <v>MMBtu/hr</v>
      </c>
      <c r="I14" s="369"/>
      <c r="J14" s="413"/>
      <c r="K14" s="35" t="s">
        <v>4</v>
      </c>
      <c r="L14" s="209"/>
      <c r="M14" s="27">
        <f>E14/$E$31/1000*E$30</f>
        <v>7.0585401459854005</v>
      </c>
      <c r="N14" s="182" t="s">
        <v>93</v>
      </c>
      <c r="O14" s="412"/>
      <c r="P14" s="390"/>
      <c r="Q14" s="37"/>
      <c r="R14" s="37"/>
      <c r="S14" s="37"/>
      <c r="T14" s="37"/>
      <c r="U14" s="37"/>
      <c r="V14" s="37"/>
      <c r="W14" s="37"/>
      <c r="X14" s="37"/>
    </row>
    <row r="15" spans="1:24" s="41" customFormat="1" ht="16.5">
      <c r="A15" s="38">
        <f>'Table 1-3. NOx'!A15</f>
        <v>21</v>
      </c>
      <c r="B15" s="24" t="str">
        <f>'Table 1-3. NOx'!B15</f>
        <v>BiRD  RM 100U3 Boiler No. 3</v>
      </c>
      <c r="C15" s="24" t="s">
        <v>132</v>
      </c>
      <c r="D15" s="24" t="s">
        <v>65</v>
      </c>
      <c r="E15" s="25">
        <f t="shared" si="1"/>
        <v>2.13</v>
      </c>
      <c r="F15" s="26" t="s">
        <v>15</v>
      </c>
      <c r="G15" s="63">
        <f>'Table 1-3. NOx'!G15</f>
        <v>6.1333333333333329</v>
      </c>
      <c r="H15" s="26" t="str">
        <f>'Table 1-3. NOx'!H15</f>
        <v>MMBtu/hr</v>
      </c>
      <c r="I15" s="369"/>
      <c r="J15" s="413"/>
      <c r="K15" s="35" t="s">
        <v>4</v>
      </c>
      <c r="L15" s="209"/>
      <c r="M15" s="27">
        <f>E15/$E$31/1000*E$30</f>
        <v>7.0585401459854005</v>
      </c>
      <c r="N15" s="182" t="s">
        <v>93</v>
      </c>
      <c r="O15" s="412"/>
      <c r="P15" s="390"/>
      <c r="Q15" s="37"/>
      <c r="R15" s="37"/>
      <c r="S15" s="37"/>
      <c r="T15" s="37"/>
      <c r="U15" s="37"/>
      <c r="V15" s="37"/>
      <c r="W15" s="37"/>
      <c r="X15" s="37"/>
    </row>
    <row r="16" spans="1:24" s="41" customFormat="1" ht="16.5">
      <c r="A16" s="38">
        <f>'Table 1-3. NOx'!A16</f>
        <v>27</v>
      </c>
      <c r="B16" s="24" t="str">
        <f>'Table 1-3. NOx'!B16</f>
        <v>Alaska Center for Energy and Power Generator Engine</v>
      </c>
      <c r="C16" s="24" t="str">
        <f>'Table 1-3. NOx'!C16</f>
        <v>ULSD</v>
      </c>
      <c r="D16" s="176" t="s">
        <v>22</v>
      </c>
      <c r="E16" s="100">
        <v>0.12</v>
      </c>
      <c r="F16" s="90" t="s">
        <v>13</v>
      </c>
      <c r="G16" s="14">
        <f>'Table 1-3. NOx'!G16</f>
        <v>500</v>
      </c>
      <c r="H16" s="26" t="str">
        <f>'Table 1-3. NOx'!H16</f>
        <v>hp</v>
      </c>
      <c r="I16" s="14">
        <f>'Table 1-3. NOx'!I16</f>
        <v>4380</v>
      </c>
      <c r="J16" s="90" t="s">
        <v>107</v>
      </c>
      <c r="K16" s="136" t="s">
        <v>123</v>
      </c>
      <c r="L16" s="205"/>
      <c r="M16" s="220">
        <f>E16*E30/G16</f>
        <v>0.10895999999999999</v>
      </c>
      <c r="N16" s="91" t="s">
        <v>94</v>
      </c>
      <c r="O16" s="191">
        <f>E16*I16/2000</f>
        <v>0.26280000000000003</v>
      </c>
      <c r="P16" s="183" t="s">
        <v>3</v>
      </c>
    </row>
    <row r="17" spans="1:16" s="41" customFormat="1">
      <c r="A17" s="38">
        <f>'Table 1-3. NOx'!A17</f>
        <v>105</v>
      </c>
      <c r="B17" s="24" t="str">
        <f>'Table 1-3. NOx'!B17</f>
        <v>Limestone Handling System</v>
      </c>
      <c r="C17" s="24" t="str">
        <f>'Table 1-3. NOx'!C17</f>
        <v>N/A</v>
      </c>
      <c r="D17" s="176" t="s">
        <v>98</v>
      </c>
      <c r="E17" s="140">
        <v>3.0000000000000001E-3</v>
      </c>
      <c r="F17" s="90" t="s">
        <v>99</v>
      </c>
      <c r="G17" s="14">
        <v>1200</v>
      </c>
      <c r="H17" s="26" t="str">
        <f>'Table 1-3. NOx'!H17</f>
        <v>acfm</v>
      </c>
      <c r="I17" s="14">
        <f>'Table 1-2. Sig EUI PTE'!I16</f>
        <v>8760</v>
      </c>
      <c r="J17" s="26" t="str">
        <f>'Table 1-3. NOx'!J18</f>
        <v>hr/yr</v>
      </c>
      <c r="K17" s="136" t="s">
        <v>91</v>
      </c>
      <c r="L17" s="210" t="s">
        <v>80</v>
      </c>
      <c r="M17" s="149">
        <f t="shared" ref="M17:N20" si="2">E17</f>
        <v>3.0000000000000001E-3</v>
      </c>
      <c r="N17" s="91" t="str">
        <f t="shared" si="2"/>
        <v>gr/dcf</v>
      </c>
      <c r="O17" s="100">
        <f>E17*G17*60*I17/$E$32/2000</f>
        <v>0.13515428571428573</v>
      </c>
      <c r="P17" s="183" t="s">
        <v>3</v>
      </c>
    </row>
    <row r="18" spans="1:16" s="41" customFormat="1">
      <c r="A18" s="38">
        <f>'Table 1-3. NOx'!A18</f>
        <v>107</v>
      </c>
      <c r="B18" s="24" t="str">
        <f>'Table 1-3. NOx'!B18</f>
        <v>Sand Handling System</v>
      </c>
      <c r="C18" s="24" t="str">
        <f>'Table 1-3. NOx'!C18</f>
        <v>N/A</v>
      </c>
      <c r="D18" s="176" t="s">
        <v>98</v>
      </c>
      <c r="E18" s="140">
        <v>3.0000000000000001E-3</v>
      </c>
      <c r="F18" s="90" t="s">
        <v>99</v>
      </c>
      <c r="G18" s="14">
        <f>'Table 1-3. NOx'!G18</f>
        <v>1600</v>
      </c>
      <c r="H18" s="26" t="str">
        <f>'Table 1-3. NOx'!H18</f>
        <v>acfm</v>
      </c>
      <c r="I18" s="14">
        <f>'Table 1-2. Sig EUI PTE'!I17</f>
        <v>8760</v>
      </c>
      <c r="J18" s="26" t="str">
        <f>'Table 1-3. NOx'!J19</f>
        <v>hr/yr</v>
      </c>
      <c r="K18" s="136" t="s">
        <v>91</v>
      </c>
      <c r="L18" s="210" t="s">
        <v>80</v>
      </c>
      <c r="M18" s="149">
        <f t="shared" si="2"/>
        <v>3.0000000000000001E-3</v>
      </c>
      <c r="N18" s="91" t="str">
        <f t="shared" si="2"/>
        <v>gr/dcf</v>
      </c>
      <c r="O18" s="100">
        <f>E18*G18*60*I18/$E$32/2000</f>
        <v>0.1802057142857143</v>
      </c>
      <c r="P18" s="183" t="s">
        <v>3</v>
      </c>
    </row>
    <row r="19" spans="1:16" s="41" customFormat="1">
      <c r="A19" s="38">
        <f>'Table 1-3. NOx'!A19</f>
        <v>109</v>
      </c>
      <c r="B19" s="24" t="str">
        <f>'Table 1-3. NOx'!B19</f>
        <v>Ash Handling System</v>
      </c>
      <c r="C19" s="24" t="str">
        <f>'Table 1-3. NOx'!C19</f>
        <v>N/A</v>
      </c>
      <c r="D19" s="176" t="s">
        <v>98</v>
      </c>
      <c r="E19" s="140">
        <v>3.0000000000000001E-3</v>
      </c>
      <c r="F19" s="90" t="s">
        <v>99</v>
      </c>
      <c r="G19" s="14">
        <v>1000</v>
      </c>
      <c r="H19" s="221" t="str">
        <f>'Table 1-3. NOx'!H19</f>
        <v>acfm</v>
      </c>
      <c r="I19" s="187">
        <f>'Table 1-2. Sig EUI PTE'!I18</f>
        <v>8760</v>
      </c>
      <c r="J19" s="189" t="str">
        <f>'Table 1-2. Sig EUI PTE'!J18</f>
        <v>hr/yr</v>
      </c>
      <c r="K19" s="136" t="s">
        <v>91</v>
      </c>
      <c r="L19" s="210" t="s">
        <v>80</v>
      </c>
      <c r="M19" s="149">
        <f t="shared" si="2"/>
        <v>3.0000000000000001E-3</v>
      </c>
      <c r="N19" s="91" t="str">
        <f t="shared" si="2"/>
        <v>gr/dcf</v>
      </c>
      <c r="O19" s="222">
        <f>E19*G19*60*I19/$E$32/2000</f>
        <v>0.11262857142857144</v>
      </c>
      <c r="P19" s="183" t="s">
        <v>3</v>
      </c>
    </row>
    <row r="20" spans="1:16" s="41" customFormat="1">
      <c r="A20" s="38">
        <f>'Table 1-3. NOx'!A20</f>
        <v>110</v>
      </c>
      <c r="B20" s="24" t="str">
        <f>'Table 1-3. NOx'!B20</f>
        <v>Ash Handling System Vacuum</v>
      </c>
      <c r="C20" s="24" t="str">
        <f>'Table 1-3. NOx'!C20</f>
        <v>N/A</v>
      </c>
      <c r="D20" s="176" t="s">
        <v>98</v>
      </c>
      <c r="E20" s="140">
        <v>3.0000000000000001E-3</v>
      </c>
      <c r="F20" s="90" t="s">
        <v>99</v>
      </c>
      <c r="G20" s="14">
        <f>'Table 1-3. NOx'!G20</f>
        <v>2000</v>
      </c>
      <c r="H20" s="88" t="str">
        <f>'Table 1-3. NOx'!H20</f>
        <v>acfm</v>
      </c>
      <c r="I20" s="14">
        <f>'Table 1-2. Sig EUI PTE'!I19</f>
        <v>8760</v>
      </c>
      <c r="J20" s="21" t="str">
        <f>'Table 1-2. Sig EUI PTE'!J19</f>
        <v>hr/yr</v>
      </c>
      <c r="K20" s="136" t="s">
        <v>91</v>
      </c>
      <c r="L20" s="210" t="s">
        <v>80</v>
      </c>
      <c r="M20" s="149">
        <f t="shared" si="2"/>
        <v>3.0000000000000001E-3</v>
      </c>
      <c r="N20" s="91" t="str">
        <f t="shared" si="2"/>
        <v>gr/dcf</v>
      </c>
      <c r="O20" s="100">
        <f>E20*G20*60*I20/$E$32/2000</f>
        <v>0.22525714285714288</v>
      </c>
      <c r="P20" s="183" t="s">
        <v>3</v>
      </c>
    </row>
    <row r="21" spans="1:16" s="41" customFormat="1" ht="16.5">
      <c r="A21" s="38">
        <f>'Table 1-3. NOx'!A21</f>
        <v>111</v>
      </c>
      <c r="B21" s="24" t="str">
        <f>'Table 1-3. NOx'!B21</f>
        <v>Ash Loadout to Truck</v>
      </c>
      <c r="C21" s="24" t="str">
        <f>'Table 1-3. NOx'!C21</f>
        <v>N/A</v>
      </c>
      <c r="D21" s="24" t="s">
        <v>101</v>
      </c>
      <c r="E21" s="98">
        <f>$C$44*(0.0032)*POWER(5.4/5,1.3)/POWER(4.8/2,1.4)</f>
        <v>5.5027653211365925E-5</v>
      </c>
      <c r="F21" s="26" t="s">
        <v>144</v>
      </c>
      <c r="G21" s="178" t="str">
        <f>'Table 1-3. NOx'!G21</f>
        <v>N/A</v>
      </c>
      <c r="H21" s="88" t="str">
        <f>'Table 1-3. NOx'!H21</f>
        <v xml:space="preserve"> </v>
      </c>
      <c r="I21" s="188">
        <f>'Table 1-2. Sig EUI PTE'!I20</f>
        <v>26280</v>
      </c>
      <c r="J21" s="190" t="str">
        <f>'Table 1-2. Sig EUI PTE'!J20</f>
        <v>tpy</v>
      </c>
      <c r="K21" s="74" t="s">
        <v>142</v>
      </c>
      <c r="L21" s="211" t="s">
        <v>80</v>
      </c>
      <c r="M21" s="98">
        <f>$C$44*(0.0032)*POWER(5.4/5,1.3)/POWER(4.8/2,1.4)</f>
        <v>5.5027653211365925E-5</v>
      </c>
      <c r="N21" s="223" t="s">
        <v>36</v>
      </c>
      <c r="O21" s="224">
        <f>E21*I21/2000</f>
        <v>7.230633631973482E-4</v>
      </c>
      <c r="P21" s="183" t="s">
        <v>3</v>
      </c>
    </row>
    <row r="22" spans="1:16" s="41" customFormat="1" ht="28.5">
      <c r="A22" s="38">
        <f>'Table 1-3. NOx'!A22</f>
        <v>113</v>
      </c>
      <c r="B22" s="24" t="str">
        <f>'Table 1-3. NOx'!B22</f>
        <v>Replacement Dual-fired CFB Boiler</v>
      </c>
      <c r="C22" s="39" t="str">
        <f>'Table 1-3. NOx'!C22</f>
        <v>Coal/Woody Biomass</v>
      </c>
      <c r="D22" s="39" t="s">
        <v>22</v>
      </c>
      <c r="E22" s="67">
        <v>1.2E-2</v>
      </c>
      <c r="F22" s="26" t="s">
        <v>59</v>
      </c>
      <c r="G22" s="178">
        <f>'Table 1-3. NOx'!G22</f>
        <v>295.60000000000002</v>
      </c>
      <c r="H22" s="88" t="str">
        <f>'Table 1-3. NOx'!H22</f>
        <v>MMBtu/hr</v>
      </c>
      <c r="I22" s="188">
        <f>'Table 1-2. Sig EUI PTE'!I21</f>
        <v>8760</v>
      </c>
      <c r="J22" s="190" t="str">
        <f>'Table 1-2. Sig EUI PTE'!J21</f>
        <v>hr/yr</v>
      </c>
      <c r="K22" s="73" t="s">
        <v>110</v>
      </c>
      <c r="L22" s="212" t="s">
        <v>80</v>
      </c>
      <c r="M22" s="225">
        <f t="shared" ref="M22:N26" si="3">E22</f>
        <v>1.2E-2</v>
      </c>
      <c r="N22" s="21" t="str">
        <f t="shared" si="3"/>
        <v>lb/MMBtu</v>
      </c>
      <c r="O22" s="19">
        <f>E22*G22*I22/2000</f>
        <v>15.536736000000001</v>
      </c>
      <c r="P22" s="180" t="s">
        <v>3</v>
      </c>
    </row>
    <row r="23" spans="1:16" s="41" customFormat="1">
      <c r="A23" s="38">
        <f>'Table 1-3. NOx'!A23</f>
        <v>114</v>
      </c>
      <c r="B23" s="24" t="str">
        <f>'Table 1-3. NOx'!B23</f>
        <v>Dry Sorbent Handling Vent Filter Exhaust</v>
      </c>
      <c r="C23" s="24" t="str">
        <f>'Table 1-3. NOx'!C23</f>
        <v>N/A</v>
      </c>
      <c r="D23" s="24" t="s">
        <v>116</v>
      </c>
      <c r="E23" s="181">
        <v>0.05</v>
      </c>
      <c r="F23" s="26" t="s">
        <v>99</v>
      </c>
      <c r="G23" s="14">
        <f>'Table 1-3. NOx'!G23</f>
        <v>5</v>
      </c>
      <c r="H23" s="26" t="str">
        <f>'Table 1-3. NOx'!H23</f>
        <v>acfm</v>
      </c>
      <c r="I23" s="14">
        <f>'Table 1-2. Sig EUI PTE'!I22</f>
        <v>8760</v>
      </c>
      <c r="J23" s="26" t="str">
        <f>'Table 1-3. NOx'!J20</f>
        <v>hr/yr</v>
      </c>
      <c r="K23" s="169" t="s">
        <v>91</v>
      </c>
      <c r="L23" s="213" t="s">
        <v>80</v>
      </c>
      <c r="M23" s="226">
        <f t="shared" si="3"/>
        <v>0.05</v>
      </c>
      <c r="N23" s="88" t="str">
        <f t="shared" si="3"/>
        <v>gr/dcf</v>
      </c>
      <c r="O23" s="227">
        <f>E23*G23*60*I23/$E$32/2000</f>
        <v>9.3857142857142854E-3</v>
      </c>
      <c r="P23" s="180" t="s">
        <v>3</v>
      </c>
    </row>
    <row r="24" spans="1:16" s="41" customFormat="1">
      <c r="A24" s="179">
        <f>'Table 1-3. NOx'!A24</f>
        <v>128</v>
      </c>
      <c r="B24" s="177" t="str">
        <f>'Table 1-3. NOx'!B24</f>
        <v>Coal Silo No. 1 with bin vent</v>
      </c>
      <c r="C24" s="177" t="str">
        <f>'Table 1-3. NOx'!C24</f>
        <v>N/A</v>
      </c>
      <c r="D24" s="159" t="s">
        <v>98</v>
      </c>
      <c r="E24" s="167">
        <v>3.0000000000000001E-3</v>
      </c>
      <c r="F24" s="164" t="s">
        <v>99</v>
      </c>
      <c r="G24" s="162">
        <f>'Table 1-3. NOx'!G24</f>
        <v>1650</v>
      </c>
      <c r="H24" s="173" t="str">
        <f>'Table 1-3. NOx'!H24</f>
        <v>acfm</v>
      </c>
      <c r="I24" s="188">
        <f>'Table 1-2. Sig EUI PTE'!I23</f>
        <v>8760</v>
      </c>
      <c r="J24" s="190" t="str">
        <f>'Table 1-2. Sig EUI PTE'!J23</f>
        <v>hr/yr</v>
      </c>
      <c r="K24" s="168" t="s">
        <v>91</v>
      </c>
      <c r="L24" s="214" t="s">
        <v>80</v>
      </c>
      <c r="M24" s="228">
        <f t="shared" si="3"/>
        <v>3.0000000000000001E-3</v>
      </c>
      <c r="N24" s="229" t="str">
        <f t="shared" si="3"/>
        <v>gr/dcf</v>
      </c>
      <c r="O24" s="147">
        <f>E24*G24*60*I24/$E$32/2000</f>
        <v>0.18583714285714284</v>
      </c>
      <c r="P24" s="184" t="s">
        <v>3</v>
      </c>
    </row>
    <row r="25" spans="1:16" s="41" customFormat="1">
      <c r="A25" s="38">
        <f>'Table 1-3. NOx'!A25</f>
        <v>129</v>
      </c>
      <c r="B25" s="24" t="str">
        <f>'Table 1-3. NOx'!B25</f>
        <v>Coal Silo No. 2 with bin vent</v>
      </c>
      <c r="C25" s="39" t="str">
        <f>'Table 1-3. NOx'!C25</f>
        <v>N/A</v>
      </c>
      <c r="D25" s="176" t="s">
        <v>98</v>
      </c>
      <c r="E25" s="140">
        <v>3.0000000000000001E-3</v>
      </c>
      <c r="F25" s="90" t="s">
        <v>99</v>
      </c>
      <c r="G25" s="178">
        <f>'Table 1-3. NOx'!G25</f>
        <v>1650</v>
      </c>
      <c r="H25" s="88" t="str">
        <f>'Table 1-3. NOx'!H25</f>
        <v>acfm</v>
      </c>
      <c r="I25" s="188">
        <f>'Table 1-2. Sig EUI PTE'!I24</f>
        <v>8760</v>
      </c>
      <c r="J25" s="190" t="str">
        <f>'Table 1-2. Sig EUI PTE'!J24</f>
        <v>hr/yr</v>
      </c>
      <c r="K25" s="136" t="s">
        <v>91</v>
      </c>
      <c r="L25" s="210" t="s">
        <v>80</v>
      </c>
      <c r="M25" s="149">
        <f t="shared" si="3"/>
        <v>3.0000000000000001E-3</v>
      </c>
      <c r="N25" s="91" t="str">
        <f t="shared" si="3"/>
        <v>gr/dcf</v>
      </c>
      <c r="O25" s="100">
        <f>E25*G25*60*I25/$E$32/2000</f>
        <v>0.18583714285714284</v>
      </c>
      <c r="P25" s="183" t="s">
        <v>3</v>
      </c>
    </row>
    <row r="26" spans="1:16" s="41" customFormat="1" ht="15" thickBot="1">
      <c r="A26" s="105">
        <f>'Table 1-3. NOx'!A26</f>
        <v>130</v>
      </c>
      <c r="B26" s="106" t="str">
        <f>'Table 1-3. NOx'!B26</f>
        <v>Coal Silo No. 3 with bin vent</v>
      </c>
      <c r="C26" s="106" t="str">
        <f>'Table 1-3. NOx'!C26</f>
        <v>N/A</v>
      </c>
      <c r="D26" s="106" t="s">
        <v>98</v>
      </c>
      <c r="E26" s="170">
        <v>3.0000000000000001E-3</v>
      </c>
      <c r="F26" s="108" t="s">
        <v>99</v>
      </c>
      <c r="G26" s="109">
        <f>'Table 1-3. NOx'!G26</f>
        <v>1650</v>
      </c>
      <c r="H26" s="108" t="str">
        <f>'Table 1-3. NOx'!H26</f>
        <v>acfm</v>
      </c>
      <c r="I26" s="109">
        <f>'Table 1-2. Sig EUI PTE'!I25</f>
        <v>8760</v>
      </c>
      <c r="J26" s="108" t="str">
        <f>'Table 1-3. NOx'!J23</f>
        <v>hr/yr</v>
      </c>
      <c r="K26" s="116" t="s">
        <v>91</v>
      </c>
      <c r="L26" s="215" t="s">
        <v>80</v>
      </c>
      <c r="M26" s="230">
        <f t="shared" si="3"/>
        <v>3.0000000000000001E-3</v>
      </c>
      <c r="N26" s="113" t="str">
        <f t="shared" si="3"/>
        <v>gr/dcf</v>
      </c>
      <c r="O26" s="231">
        <f>E26*G26*60*I26/$E$32/2000</f>
        <v>0.18583714285714284</v>
      </c>
      <c r="P26" s="129" t="s">
        <v>3</v>
      </c>
    </row>
    <row r="27" spans="1:16" s="49" customFormat="1" ht="15">
      <c r="A27" s="23" t="s">
        <v>5</v>
      </c>
      <c r="B27" s="32"/>
      <c r="C27" s="32"/>
      <c r="D27" s="32"/>
      <c r="E27" s="32"/>
      <c r="F27" s="32"/>
      <c r="G27" s="32"/>
      <c r="H27" s="32"/>
      <c r="I27" s="32"/>
      <c r="J27" s="42"/>
      <c r="K27" s="42"/>
      <c r="L27" s="42"/>
      <c r="M27" s="42"/>
      <c r="N27" s="42"/>
      <c r="O27" s="236"/>
      <c r="P27" s="237"/>
    </row>
    <row r="28" spans="1:16" s="49" customFormat="1" ht="16.5" customHeight="1">
      <c r="A28" s="260" t="s">
        <v>138</v>
      </c>
      <c r="B28" s="22"/>
      <c r="C28" s="22"/>
      <c r="D28" s="55"/>
      <c r="E28" s="22"/>
      <c r="F28" s="22"/>
      <c r="G28" s="22"/>
      <c r="H28" s="22"/>
      <c r="I28" s="22"/>
      <c r="J28" s="22"/>
      <c r="K28" s="22"/>
      <c r="L28" s="22"/>
      <c r="M28" s="22"/>
      <c r="N28" s="22"/>
      <c r="O28" s="22"/>
      <c r="P28" s="22"/>
    </row>
    <row r="29" spans="1:16" s="49" customFormat="1" ht="16.5" customHeight="1">
      <c r="A29" s="22" t="s">
        <v>48</v>
      </c>
      <c r="B29" s="22"/>
      <c r="C29" s="22"/>
      <c r="D29" s="55"/>
      <c r="E29" s="22"/>
      <c r="F29" s="22"/>
      <c r="G29" s="22"/>
      <c r="H29" s="22"/>
      <c r="I29" s="22"/>
      <c r="J29" s="22"/>
      <c r="K29" s="22"/>
      <c r="L29" s="22"/>
      <c r="M29" s="22"/>
      <c r="N29" s="22"/>
      <c r="O29" s="22"/>
      <c r="P29" s="22"/>
    </row>
    <row r="30" spans="1:16" s="49" customFormat="1" ht="16.5" customHeight="1">
      <c r="B30" s="22"/>
      <c r="C30" s="22"/>
      <c r="D30" s="44" t="s">
        <v>139</v>
      </c>
      <c r="E30" s="68">
        <v>454</v>
      </c>
      <c r="F30" s="22" t="s">
        <v>64</v>
      </c>
      <c r="G30" s="22"/>
      <c r="H30" s="22"/>
      <c r="I30" s="22"/>
      <c r="J30" s="22"/>
      <c r="K30" s="22"/>
      <c r="L30" s="22"/>
      <c r="M30" s="22"/>
      <c r="N30" s="22"/>
      <c r="O30" s="22"/>
      <c r="P30" s="22"/>
    </row>
    <row r="31" spans="1:16" s="49" customFormat="1" ht="16.5" customHeight="1">
      <c r="A31" s="22"/>
      <c r="B31" s="22"/>
      <c r="C31" s="22"/>
      <c r="D31" s="44" t="s">
        <v>16</v>
      </c>
      <c r="E31" s="56">
        <v>0.13700000000000001</v>
      </c>
      <c r="F31" s="22" t="s">
        <v>37</v>
      </c>
      <c r="G31" s="22"/>
      <c r="H31" s="22"/>
      <c r="I31" s="44" t="s">
        <v>80</v>
      </c>
      <c r="J31" s="69" t="s">
        <v>80</v>
      </c>
      <c r="K31" s="69"/>
      <c r="L31" s="69"/>
      <c r="M31" s="69"/>
      <c r="N31" s="69"/>
      <c r="O31" s="22" t="s">
        <v>80</v>
      </c>
      <c r="P31" s="22"/>
    </row>
    <row r="32" spans="1:16" s="49" customFormat="1" ht="16.5" customHeight="1">
      <c r="A32" s="22"/>
      <c r="B32" s="22"/>
      <c r="C32" s="22"/>
      <c r="D32" s="44" t="s">
        <v>139</v>
      </c>
      <c r="E32" s="55">
        <v>7000</v>
      </c>
      <c r="F32" s="22" t="s">
        <v>100</v>
      </c>
      <c r="G32" s="22"/>
      <c r="H32" s="22"/>
      <c r="I32" s="44"/>
      <c r="J32" s="55"/>
      <c r="K32" s="55"/>
      <c r="L32" s="55"/>
      <c r="M32" s="55"/>
      <c r="N32" s="55"/>
      <c r="O32" s="22"/>
      <c r="P32" s="22"/>
    </row>
    <row r="33" spans="1:16" s="49" customFormat="1" ht="16.5" customHeight="1">
      <c r="A33" s="232" t="s">
        <v>80</v>
      </c>
      <c r="B33" s="22"/>
      <c r="C33" s="22"/>
      <c r="D33" s="44" t="s">
        <v>40</v>
      </c>
      <c r="E33" s="327">
        <v>1000</v>
      </c>
      <c r="F33" s="22" t="s">
        <v>18</v>
      </c>
      <c r="G33" s="22"/>
      <c r="H33" s="22"/>
      <c r="I33" s="44" t="s">
        <v>80</v>
      </c>
      <c r="J33" s="56" t="s">
        <v>80</v>
      </c>
      <c r="K33" s="56"/>
      <c r="L33" s="56"/>
      <c r="M33" s="56"/>
      <c r="N33" s="56"/>
      <c r="O33" s="22" t="s">
        <v>80</v>
      </c>
      <c r="P33" s="22"/>
    </row>
    <row r="34" spans="1:16" s="49" customFormat="1" ht="16.5" customHeight="1">
      <c r="A34" s="232"/>
      <c r="B34" s="22"/>
      <c r="C34" s="22"/>
      <c r="D34" s="44" t="s">
        <v>46</v>
      </c>
      <c r="E34" s="43">
        <v>7000</v>
      </c>
      <c r="F34" s="49" t="s">
        <v>17</v>
      </c>
      <c r="G34" s="22"/>
      <c r="H34" s="22"/>
      <c r="I34" s="44"/>
      <c r="J34" s="56"/>
      <c r="K34" s="56"/>
      <c r="L34" s="56"/>
      <c r="M34" s="56"/>
      <c r="N34" s="56"/>
      <c r="O34" s="22"/>
      <c r="P34" s="22"/>
    </row>
    <row r="35" spans="1:16" s="49" customFormat="1" ht="16.5" customHeight="1">
      <c r="A35" s="49" t="s">
        <v>180</v>
      </c>
      <c r="D35" s="44"/>
      <c r="E35" s="43"/>
      <c r="K35" s="22"/>
      <c r="L35" s="22"/>
      <c r="M35" s="22"/>
      <c r="N35" s="22"/>
      <c r="O35" s="22"/>
      <c r="P35" s="22"/>
    </row>
    <row r="36" spans="1:16" s="49" customFormat="1" ht="16.899999999999999" customHeight="1">
      <c r="A36" s="389" t="s">
        <v>175</v>
      </c>
      <c r="B36" s="389"/>
      <c r="C36" s="389"/>
      <c r="D36" s="389"/>
      <c r="E36" s="389"/>
      <c r="F36" s="389"/>
      <c r="G36" s="389"/>
      <c r="H36" s="389"/>
      <c r="I36" s="389"/>
      <c r="J36" s="389"/>
      <c r="K36" s="389"/>
      <c r="L36" s="389"/>
      <c r="M36" s="389"/>
      <c r="N36" s="389"/>
      <c r="O36" s="389"/>
      <c r="P36" s="389"/>
    </row>
    <row r="37" spans="1:16" s="49" customFormat="1" ht="16.5" customHeight="1">
      <c r="A37" s="389" t="s">
        <v>176</v>
      </c>
      <c r="B37" s="389"/>
      <c r="C37" s="389"/>
      <c r="D37" s="389"/>
      <c r="E37" s="389"/>
      <c r="F37" s="389"/>
      <c r="G37" s="389"/>
      <c r="H37" s="389"/>
      <c r="I37" s="389"/>
      <c r="J37" s="389"/>
      <c r="K37" s="389"/>
      <c r="L37" s="389"/>
      <c r="M37" s="389"/>
      <c r="N37" s="389"/>
      <c r="O37" s="389"/>
      <c r="P37" s="389"/>
    </row>
    <row r="38" spans="1:16" s="49" customFormat="1" ht="16.5" customHeight="1">
      <c r="A38" s="49" t="s">
        <v>140</v>
      </c>
      <c r="B38" s="22"/>
      <c r="C38" s="22"/>
      <c r="D38" s="22"/>
      <c r="E38" s="22"/>
      <c r="F38" s="22"/>
      <c r="G38" s="22"/>
      <c r="H38" s="22"/>
      <c r="I38" s="22"/>
      <c r="J38" s="22"/>
      <c r="K38" s="22"/>
      <c r="L38" s="22"/>
      <c r="M38" s="22"/>
      <c r="N38" s="22"/>
      <c r="O38" s="22"/>
      <c r="P38" s="22"/>
    </row>
    <row r="39" spans="1:16" s="49" customFormat="1" ht="16.5" customHeight="1">
      <c r="A39" s="64" t="s">
        <v>171</v>
      </c>
      <c r="B39" s="22"/>
      <c r="C39" s="22"/>
      <c r="D39" s="22"/>
      <c r="E39" s="22"/>
      <c r="F39" s="22"/>
      <c r="G39" s="22"/>
      <c r="H39" s="22"/>
      <c r="I39" s="22"/>
      <c r="J39" s="22"/>
      <c r="K39" s="22"/>
      <c r="L39" s="22"/>
      <c r="M39" s="22"/>
      <c r="N39" s="22"/>
      <c r="O39" s="22"/>
      <c r="P39" s="22"/>
    </row>
    <row r="40" spans="1:16" s="49" customFormat="1" ht="16.5" customHeight="1">
      <c r="A40" s="64" t="s">
        <v>185</v>
      </c>
      <c r="B40" s="22"/>
      <c r="C40" s="22"/>
      <c r="D40" s="22"/>
      <c r="E40" s="22"/>
      <c r="F40" s="22"/>
      <c r="G40" s="22"/>
      <c r="H40" s="22"/>
      <c r="I40" s="22"/>
      <c r="J40" s="22"/>
      <c r="K40" s="22"/>
      <c r="L40" s="22"/>
      <c r="M40" s="22"/>
      <c r="N40" s="22"/>
      <c r="O40" s="22"/>
      <c r="P40" s="22"/>
    </row>
    <row r="41" spans="1:16" s="49" customFormat="1" ht="16.5" customHeight="1">
      <c r="A41" s="49" t="s">
        <v>173</v>
      </c>
      <c r="B41" s="328"/>
      <c r="C41" s="238"/>
      <c r="D41" s="238"/>
      <c r="E41" s="329"/>
      <c r="F41" s="329"/>
      <c r="G41" s="329"/>
      <c r="H41" s="329"/>
      <c r="I41" s="329"/>
      <c r="J41" s="22"/>
      <c r="K41" s="22"/>
      <c r="L41" s="22"/>
      <c r="M41" s="22"/>
      <c r="N41" s="22"/>
      <c r="O41" s="22"/>
      <c r="P41" s="22"/>
    </row>
    <row r="42" spans="1:16" s="49" customFormat="1" ht="16.5" customHeight="1">
      <c r="A42" s="238" t="s">
        <v>145</v>
      </c>
      <c r="B42" s="328"/>
      <c r="C42" s="238"/>
      <c r="D42" s="238"/>
      <c r="E42" s="329"/>
      <c r="F42" s="329"/>
      <c r="G42" s="329"/>
      <c r="H42" s="329"/>
      <c r="I42" s="329"/>
      <c r="J42" s="22"/>
      <c r="K42" s="22"/>
      <c r="L42" s="22"/>
      <c r="M42" s="22"/>
      <c r="N42" s="22"/>
      <c r="O42" s="22"/>
      <c r="P42" s="22"/>
    </row>
    <row r="43" spans="1:16" s="49" customFormat="1" ht="16.5" customHeight="1">
      <c r="A43" s="328"/>
      <c r="B43" s="238" t="s">
        <v>205</v>
      </c>
      <c r="C43" s="238"/>
      <c r="D43" s="238"/>
      <c r="E43" s="329"/>
      <c r="F43" s="329"/>
      <c r="G43" s="329"/>
      <c r="H43" s="329"/>
      <c r="I43" s="329"/>
      <c r="J43" s="22"/>
      <c r="K43" s="22"/>
      <c r="L43" s="22"/>
      <c r="M43" s="22"/>
      <c r="N43" s="22"/>
      <c r="O43" s="22"/>
      <c r="P43" s="22"/>
    </row>
    <row r="44" spans="1:16" s="49" customFormat="1" ht="16.5" customHeight="1">
      <c r="A44" s="238"/>
      <c r="B44" s="330" t="s">
        <v>206</v>
      </c>
      <c r="C44" s="238">
        <v>5.2999999999999999E-2</v>
      </c>
      <c r="D44" s="238" t="s">
        <v>80</v>
      </c>
      <c r="E44" s="329"/>
      <c r="F44" s="329"/>
      <c r="G44" s="329"/>
      <c r="H44" s="329"/>
      <c r="I44" s="329"/>
      <c r="J44" s="22"/>
      <c r="K44" s="22"/>
      <c r="L44" s="22"/>
      <c r="M44" s="22"/>
      <c r="N44" s="22"/>
      <c r="O44" s="22"/>
      <c r="P44" s="22"/>
    </row>
    <row r="45" spans="1:16" s="49" customFormat="1" ht="16.5" customHeight="1">
      <c r="A45" s="238"/>
      <c r="B45" s="238" t="s">
        <v>53</v>
      </c>
      <c r="C45" s="238"/>
      <c r="D45" s="238"/>
      <c r="E45" s="329"/>
      <c r="F45" s="329"/>
      <c r="G45" s="329"/>
      <c r="H45" s="329"/>
      <c r="I45" s="329"/>
      <c r="J45" s="22"/>
      <c r="K45" s="22"/>
      <c r="L45" s="22"/>
      <c r="M45" s="22"/>
      <c r="N45" s="22"/>
      <c r="O45" s="22"/>
      <c r="P45" s="22"/>
    </row>
    <row r="46" spans="1:16" s="49" customFormat="1" ht="16.5" customHeight="1">
      <c r="A46" s="238"/>
      <c r="B46" s="238" t="s">
        <v>102</v>
      </c>
      <c r="C46" s="238"/>
      <c r="D46" s="238"/>
      <c r="E46" s="329"/>
      <c r="F46" s="329"/>
      <c r="G46" s="329"/>
      <c r="H46" s="329"/>
      <c r="I46" s="329"/>
      <c r="J46" s="22"/>
      <c r="K46" s="22"/>
      <c r="L46" s="22"/>
      <c r="M46" s="22"/>
      <c r="N46" s="22"/>
      <c r="O46" s="22"/>
      <c r="P46" s="22"/>
    </row>
    <row r="47" spans="1:16" s="49" customFormat="1" ht="16.5" customHeight="1">
      <c r="A47" s="238"/>
      <c r="B47" s="238"/>
      <c r="C47" s="238"/>
      <c r="D47" s="238"/>
      <c r="E47" s="329"/>
      <c r="F47" s="329"/>
      <c r="G47" s="329"/>
      <c r="H47" s="331" t="s">
        <v>108</v>
      </c>
      <c r="I47" s="329" t="s">
        <v>80</v>
      </c>
      <c r="J47" s="22"/>
      <c r="K47" s="22"/>
      <c r="L47" s="22"/>
      <c r="M47" s="22"/>
      <c r="N47" s="22"/>
      <c r="O47" s="22"/>
      <c r="P47" s="22"/>
    </row>
    <row r="48" spans="1:16" s="49" customFormat="1" ht="16.5" customHeight="1">
      <c r="A48" s="329"/>
      <c r="B48" s="238" t="s">
        <v>178</v>
      </c>
      <c r="C48" s="238"/>
      <c r="E48" s="332">
        <f>I21</f>
        <v>26280</v>
      </c>
      <c r="F48" s="329" t="s">
        <v>3</v>
      </c>
      <c r="G48" s="329"/>
      <c r="H48" s="329"/>
      <c r="I48" s="329"/>
      <c r="J48" s="22"/>
      <c r="K48" s="22"/>
      <c r="L48" s="22"/>
      <c r="M48" s="22"/>
      <c r="N48" s="22"/>
      <c r="O48" s="22"/>
      <c r="P48" s="22"/>
    </row>
    <row r="49" spans="1:16" s="49" customFormat="1" ht="16.5" customHeight="1">
      <c r="A49" s="238"/>
      <c r="B49" s="333" t="s">
        <v>54</v>
      </c>
      <c r="C49" s="238"/>
      <c r="D49" s="238"/>
      <c r="E49" s="329"/>
      <c r="F49" s="329"/>
      <c r="G49" s="329"/>
      <c r="H49" s="329"/>
      <c r="I49" s="329"/>
      <c r="J49" s="22"/>
      <c r="K49" s="22"/>
      <c r="L49" s="22"/>
      <c r="M49" s="22"/>
      <c r="N49" s="22"/>
      <c r="O49" s="22"/>
      <c r="P49" s="22"/>
    </row>
    <row r="50" spans="1:16" s="49" customFormat="1" ht="16.5" customHeight="1">
      <c r="A50" s="238"/>
      <c r="B50" s="333" t="s">
        <v>103</v>
      </c>
      <c r="C50" s="334"/>
      <c r="D50" s="238"/>
      <c r="E50" s="329"/>
      <c r="F50" s="329"/>
      <c r="G50" s="329"/>
      <c r="H50" s="329"/>
      <c r="I50" s="329"/>
      <c r="J50" s="22"/>
      <c r="K50" s="22"/>
      <c r="L50" s="22"/>
      <c r="M50" s="22"/>
      <c r="N50" s="22"/>
      <c r="O50" s="22"/>
      <c r="P50" s="22"/>
    </row>
    <row r="51" spans="1:16" s="49" customFormat="1" ht="16.5" customHeight="1">
      <c r="A51" s="238"/>
      <c r="B51" s="333" t="s">
        <v>177</v>
      </c>
      <c r="C51" s="334"/>
      <c r="D51" s="238"/>
      <c r="E51" s="329"/>
      <c r="F51" s="329"/>
      <c r="G51" s="329"/>
      <c r="H51" s="329"/>
      <c r="I51" s="329"/>
      <c r="J51" s="22"/>
      <c r="K51" s="22"/>
      <c r="L51" s="22"/>
      <c r="M51" s="22"/>
      <c r="N51" s="22"/>
      <c r="O51" s="22"/>
      <c r="P51" s="22"/>
    </row>
    <row r="52" spans="1:16" s="49" customFormat="1">
      <c r="A52" s="329"/>
      <c r="B52" s="335" t="s">
        <v>55</v>
      </c>
      <c r="C52" s="329"/>
      <c r="D52" s="329"/>
      <c r="E52" s="329"/>
      <c r="F52" s="329"/>
    </row>
    <row r="53" spans="1:16">
      <c r="A53" s="49"/>
      <c r="B53" s="49"/>
      <c r="C53" s="49"/>
      <c r="D53" s="49"/>
      <c r="E53" s="49"/>
      <c r="F53" s="49"/>
      <c r="O53" s="49"/>
    </row>
    <row r="56" spans="1:16" s="31" customFormat="1">
      <c r="A56" s="3"/>
      <c r="B56" s="3"/>
      <c r="C56" s="3"/>
      <c r="D56" s="3"/>
      <c r="E56" s="3"/>
      <c r="F56" s="3"/>
    </row>
    <row r="57" spans="1:16">
      <c r="A57" s="31"/>
      <c r="B57" s="31"/>
      <c r="C57" s="31"/>
      <c r="D57" s="7"/>
      <c r="E57" s="31"/>
      <c r="F57" s="31"/>
    </row>
    <row r="58" spans="1:16">
      <c r="D58" s="4"/>
    </row>
    <row r="70" spans="1:9">
      <c r="G70" s="58"/>
      <c r="H70" s="58"/>
      <c r="I70" s="58"/>
    </row>
    <row r="71" spans="1:9">
      <c r="A71" s="58"/>
      <c r="B71" s="58"/>
      <c r="C71" s="58"/>
      <c r="D71" s="58"/>
      <c r="E71" s="58"/>
      <c r="F71" s="58"/>
    </row>
    <row r="72" spans="1:9">
      <c r="D72" s="4"/>
    </row>
    <row r="73" spans="1:9">
      <c r="D73" s="4"/>
    </row>
    <row r="74" spans="1:9">
      <c r="D74" s="4"/>
    </row>
    <row r="75" spans="1:9">
      <c r="D75" s="4"/>
    </row>
    <row r="76" spans="1:9">
      <c r="D76" s="4"/>
    </row>
    <row r="77" spans="1:9">
      <c r="D77" s="4"/>
    </row>
    <row r="78" spans="1:9">
      <c r="D78" s="4"/>
    </row>
    <row r="79" spans="1:9">
      <c r="D79" s="4"/>
    </row>
    <row r="80" spans="1:9">
      <c r="D80" s="4"/>
    </row>
    <row r="81" spans="4:4">
      <c r="D81" s="4"/>
    </row>
    <row r="82" spans="4:4">
      <c r="D82" s="4"/>
    </row>
    <row r="83" spans="4:4">
      <c r="D83" s="4"/>
    </row>
    <row r="84" spans="4:4">
      <c r="D84" s="4"/>
    </row>
    <row r="85" spans="4:4">
      <c r="D85" s="4"/>
    </row>
    <row r="86" spans="4:4">
      <c r="D86" s="4"/>
    </row>
    <row r="87" spans="4:4">
      <c r="D87" s="4"/>
    </row>
    <row r="88" spans="4:4">
      <c r="D88" s="4"/>
    </row>
    <row r="89" spans="4:4">
      <c r="D89" s="4"/>
    </row>
    <row r="90" spans="4:4">
      <c r="D90" s="4"/>
    </row>
    <row r="91" spans="4:4">
      <c r="D91" s="4"/>
    </row>
    <row r="92" spans="4:4">
      <c r="D92" s="4"/>
    </row>
    <row r="93" spans="4:4">
      <c r="D93" s="4"/>
    </row>
    <row r="94" spans="4:4">
      <c r="D94" s="4"/>
    </row>
    <row r="95" spans="4:4">
      <c r="D95" s="4"/>
    </row>
    <row r="96" spans="4:4">
      <c r="D96" s="4"/>
    </row>
    <row r="97" spans="4:4">
      <c r="D97" s="4"/>
    </row>
    <row r="98" spans="4:4">
      <c r="D98" s="4"/>
    </row>
    <row r="99" spans="4:4">
      <c r="D99" s="4"/>
    </row>
  </sheetData>
  <mergeCells count="16">
    <mergeCell ref="A36:P36"/>
    <mergeCell ref="A37:P37"/>
    <mergeCell ref="Q9:Q11"/>
    <mergeCell ref="O13:O15"/>
    <mergeCell ref="P13:P15"/>
    <mergeCell ref="I13:I15"/>
    <mergeCell ref="J13:J15"/>
    <mergeCell ref="O4:P5"/>
    <mergeCell ref="A6:P6"/>
    <mergeCell ref="A4:B4"/>
    <mergeCell ref="M4:N4"/>
    <mergeCell ref="M5:N5"/>
    <mergeCell ref="C4:C5"/>
    <mergeCell ref="D4:F4"/>
    <mergeCell ref="G4:H5"/>
    <mergeCell ref="I4:J5"/>
  </mergeCells>
  <printOptions horizontalCentered="1"/>
  <pageMargins left="0.7" right="0.7" top="0.75" bottom="0.75" header="0.5" footer="0.5"/>
  <pageSetup scale="46" orientation="landscape" r:id="rId1"/>
  <headerFooter alignWithMargins="0">
    <oddFooter>&amp;LUAF
PM&amp;Y2.5&amp;Y Serious NAA BACT Analysis&amp;CPage 5&amp;RJanuary 2017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4"/>
  <sheetViews>
    <sheetView zoomScale="80" zoomScaleNormal="80" workbookViewId="0">
      <selection activeCell="D10" sqref="D10"/>
    </sheetView>
  </sheetViews>
  <sheetFormatPr defaultColWidth="9.140625" defaultRowHeight="14.25"/>
  <cols>
    <col min="1" max="1" width="9.28515625" style="3" bestFit="1" customWidth="1"/>
    <col min="2" max="2" width="32.85546875" style="30" customWidth="1"/>
    <col min="3" max="3" width="18" style="30" customWidth="1"/>
    <col min="4" max="4" width="10.28515625" style="3" customWidth="1"/>
    <col min="5" max="5" width="12.85546875" style="3" customWidth="1"/>
    <col min="6" max="6" width="21" style="3" customWidth="1"/>
    <col min="7" max="7" width="10.85546875" style="3" customWidth="1"/>
    <col min="8" max="8" width="10.28515625" style="30" customWidth="1"/>
    <col min="9" max="9" width="8.85546875" style="3" customWidth="1"/>
    <col min="10" max="10" width="10.28515625" style="3" customWidth="1"/>
    <col min="11" max="11" width="11.140625" style="6" customWidth="1"/>
    <col min="12" max="12" width="10.7109375" style="3" customWidth="1"/>
    <col min="13" max="13" width="21" style="3" customWidth="1"/>
    <col min="14" max="14" width="13.85546875" style="3" customWidth="1"/>
    <col min="15" max="15" width="10.7109375" style="3" customWidth="1"/>
    <col min="16" max="16" width="9.7109375" style="3" customWidth="1"/>
    <col min="17" max="17" width="11.140625" style="3" bestFit="1" customWidth="1"/>
    <col min="18" max="18" width="9.28515625" style="3" bestFit="1" customWidth="1"/>
    <col min="19" max="19" width="10" style="3" bestFit="1" customWidth="1"/>
    <col min="20" max="20" width="9.140625" style="3"/>
    <col min="21" max="21" width="10" style="3" bestFit="1" customWidth="1"/>
    <col min="22" max="16384" width="9.140625" style="3"/>
  </cols>
  <sheetData>
    <row r="1" spans="1:26" ht="16.5" customHeight="1">
      <c r="A1" s="345" t="s">
        <v>152</v>
      </c>
      <c r="B1" s="345"/>
      <c r="C1" s="345"/>
      <c r="D1" s="345"/>
      <c r="E1" s="345"/>
      <c r="F1" s="345"/>
      <c r="G1" s="345"/>
      <c r="H1" s="345"/>
      <c r="I1" s="345"/>
      <c r="J1" s="345"/>
      <c r="K1" s="345"/>
      <c r="L1" s="345"/>
      <c r="M1" s="345"/>
      <c r="N1" s="345"/>
      <c r="O1" s="345"/>
      <c r="P1" s="345"/>
      <c r="Q1" s="345"/>
      <c r="R1" s="345"/>
    </row>
    <row r="2" spans="1:26" ht="15" customHeight="1">
      <c r="A2" s="345" t="s">
        <v>76</v>
      </c>
      <c r="B2" s="345"/>
      <c r="C2" s="345"/>
      <c r="D2" s="345"/>
      <c r="E2" s="345"/>
      <c r="F2" s="345"/>
      <c r="G2" s="345"/>
      <c r="H2" s="345"/>
      <c r="I2" s="345"/>
      <c r="J2" s="345"/>
      <c r="K2" s="345"/>
      <c r="L2" s="345"/>
      <c r="M2" s="345"/>
      <c r="N2" s="345"/>
      <c r="O2" s="345"/>
      <c r="P2" s="345"/>
      <c r="Q2" s="345"/>
      <c r="R2" s="345"/>
    </row>
    <row r="3" spans="1:26" ht="15">
      <c r="A3" s="9"/>
      <c r="B3" s="52"/>
      <c r="C3" s="52"/>
      <c r="D3" s="2"/>
      <c r="E3" s="2"/>
      <c r="F3" s="2"/>
      <c r="G3" s="2"/>
      <c r="H3" s="52"/>
      <c r="I3" s="2"/>
      <c r="J3" s="2"/>
      <c r="K3" s="8"/>
      <c r="L3" s="2"/>
      <c r="M3" s="2"/>
      <c r="N3" s="2"/>
      <c r="O3" s="2"/>
      <c r="P3" s="2"/>
    </row>
    <row r="4" spans="1:26" ht="18.75" customHeight="1" thickBot="1">
      <c r="A4" s="340"/>
      <c r="B4" s="341"/>
      <c r="C4" s="341"/>
      <c r="D4" s="340"/>
      <c r="E4" s="340"/>
      <c r="F4" s="5"/>
      <c r="G4" s="5"/>
      <c r="H4" s="53"/>
      <c r="I4" s="5"/>
      <c r="J4" s="5"/>
      <c r="K4" s="11"/>
      <c r="L4" s="5"/>
      <c r="M4" s="5"/>
      <c r="N4" s="5"/>
      <c r="O4" s="5"/>
      <c r="P4" s="5"/>
      <c r="Q4" s="5"/>
      <c r="R4" s="5"/>
    </row>
    <row r="5" spans="1:26" s="150" customFormat="1" ht="21.75" customHeight="1">
      <c r="A5" s="400" t="s">
        <v>9</v>
      </c>
      <c r="B5" s="401"/>
      <c r="C5" s="423" t="s">
        <v>67</v>
      </c>
      <c r="D5" s="425" t="s">
        <v>141</v>
      </c>
      <c r="E5" s="358"/>
      <c r="F5" s="407" t="s">
        <v>75</v>
      </c>
      <c r="G5" s="408"/>
      <c r="H5" s="428"/>
      <c r="I5" s="359" t="s">
        <v>69</v>
      </c>
      <c r="J5" s="360"/>
      <c r="K5" s="438" t="s">
        <v>70</v>
      </c>
      <c r="L5" s="439"/>
      <c r="M5" s="78" t="s">
        <v>89</v>
      </c>
      <c r="N5" s="185" t="s">
        <v>88</v>
      </c>
      <c r="O5" s="359" t="s">
        <v>92</v>
      </c>
      <c r="P5" s="360"/>
      <c r="Q5" s="416" t="s">
        <v>74</v>
      </c>
      <c r="R5" s="417"/>
    </row>
    <row r="6" spans="1:26" s="150" customFormat="1" ht="22.15" customHeight="1">
      <c r="A6" s="151" t="s">
        <v>11</v>
      </c>
      <c r="B6" s="152" t="s">
        <v>10</v>
      </c>
      <c r="C6" s="424"/>
      <c r="D6" s="426"/>
      <c r="E6" s="427"/>
      <c r="F6" s="153" t="s">
        <v>1</v>
      </c>
      <c r="G6" s="154" t="s">
        <v>2</v>
      </c>
      <c r="H6" s="155"/>
      <c r="I6" s="405"/>
      <c r="J6" s="406"/>
      <c r="K6" s="440"/>
      <c r="L6" s="441"/>
      <c r="M6" s="33" t="s">
        <v>88</v>
      </c>
      <c r="N6" s="186" t="s">
        <v>86</v>
      </c>
      <c r="O6" s="405" t="s">
        <v>95</v>
      </c>
      <c r="P6" s="406"/>
      <c r="Q6" s="418"/>
      <c r="R6" s="419"/>
    </row>
    <row r="7" spans="1:26" ht="15.75" thickBot="1">
      <c r="A7" s="442" t="s">
        <v>19</v>
      </c>
      <c r="B7" s="443"/>
      <c r="C7" s="443"/>
      <c r="D7" s="443"/>
      <c r="E7" s="443"/>
      <c r="F7" s="443"/>
      <c r="G7" s="443"/>
      <c r="H7" s="443"/>
      <c r="I7" s="443"/>
      <c r="J7" s="443"/>
      <c r="K7" s="443"/>
      <c r="L7" s="443"/>
      <c r="M7" s="443"/>
      <c r="N7" s="443"/>
      <c r="O7" s="443"/>
      <c r="P7" s="443"/>
      <c r="Q7" s="443"/>
      <c r="R7" s="444"/>
    </row>
    <row r="8" spans="1:26" ht="15.75" thickTop="1">
      <c r="A8" s="275"/>
      <c r="B8" s="290"/>
      <c r="C8" s="290"/>
      <c r="D8" s="290"/>
      <c r="E8" s="290"/>
      <c r="F8" s="290"/>
      <c r="G8" s="290"/>
      <c r="H8" s="290"/>
      <c r="I8" s="301"/>
      <c r="J8" s="301"/>
      <c r="K8" s="301"/>
      <c r="L8" s="301"/>
      <c r="M8" s="301"/>
      <c r="N8" s="301"/>
      <c r="O8" s="301"/>
      <c r="P8" s="301"/>
      <c r="Q8" s="290"/>
      <c r="R8" s="291"/>
    </row>
    <row r="9" spans="1:26" s="49" customFormat="1" ht="18.600000000000001" customHeight="1">
      <c r="A9" s="38">
        <f>'Table 1-3. NOx'!A8</f>
        <v>3</v>
      </c>
      <c r="B9" s="39" t="str">
        <f>'Table 1-3. NOx'!B8</f>
        <v>Dual-Fired Boiler</v>
      </c>
      <c r="C9" s="39" t="str">
        <f>'Table 1-3. NOx'!C8</f>
        <v>Diesel</v>
      </c>
      <c r="D9" s="122">
        <v>0.5</v>
      </c>
      <c r="E9" s="94" t="s">
        <v>58</v>
      </c>
      <c r="F9" s="24" t="s">
        <v>38</v>
      </c>
      <c r="G9" s="25">
        <v>142</v>
      </c>
      <c r="H9" s="66" t="s">
        <v>42</v>
      </c>
      <c r="I9" s="297">
        <f>'Table 1-2. Sig EUI PTE'!G7</f>
        <v>180.9</v>
      </c>
      <c r="J9" s="148" t="str">
        <f>'Table 1-2. Sig EUI PTE'!H7</f>
        <v>MMBtu/hr</v>
      </c>
      <c r="K9" s="268">
        <f>'Table 1-2. Sig EUI PTE'!I7</f>
        <v>8760</v>
      </c>
      <c r="L9" s="298" t="s">
        <v>51</v>
      </c>
      <c r="M9" s="141" t="s">
        <v>4</v>
      </c>
      <c r="N9" s="299"/>
      <c r="O9" s="300">
        <f>G9*$D$9/1000/$E$33</f>
        <v>0.51824817518248167</v>
      </c>
      <c r="P9" s="298" t="s">
        <v>59</v>
      </c>
      <c r="Q9" s="253">
        <f>MAX(G9*$D$9/1000/$E$33*I9*K9/2000)</f>
        <v>410.62979562043796</v>
      </c>
      <c r="R9" s="252" t="s">
        <v>106</v>
      </c>
      <c r="S9" s="37"/>
      <c r="T9" s="18"/>
      <c r="U9" s="18"/>
      <c r="V9" s="18"/>
      <c r="W9" s="18"/>
      <c r="X9" s="18"/>
      <c r="Y9" s="18"/>
      <c r="Z9" s="18"/>
    </row>
    <row r="10" spans="1:26" s="49" customFormat="1" ht="73.150000000000006" customHeight="1">
      <c r="A10" s="38">
        <f>'Table 1-3. NOx'!A9</f>
        <v>4</v>
      </c>
      <c r="B10" s="39" t="str">
        <f>'Table 1-3. NOx'!B9</f>
        <v>Dual-Fired Boiler</v>
      </c>
      <c r="C10" s="39" t="str">
        <f>'Table 1-3. NOx'!C9</f>
        <v>Diesel</v>
      </c>
      <c r="D10" s="122">
        <v>0.5</v>
      </c>
      <c r="E10" s="94" t="s">
        <v>58</v>
      </c>
      <c r="F10" s="24" t="s">
        <v>38</v>
      </c>
      <c r="G10" s="25">
        <v>142</v>
      </c>
      <c r="H10" s="66" t="s">
        <v>42</v>
      </c>
      <c r="I10" s="95">
        <f>'Table 1-2. Sig EUI PTE'!G8</f>
        <v>180.9</v>
      </c>
      <c r="J10" s="97" t="str">
        <f>J9</f>
        <v>MMBtu/hr</v>
      </c>
      <c r="K10" s="14">
        <f>Q10*2000/O10</f>
        <v>154366.19718309861</v>
      </c>
      <c r="L10" s="21" t="s">
        <v>155</v>
      </c>
      <c r="M10" s="70" t="str">
        <f>'Table 1-3. NOx'!K9</f>
        <v>Standard Combustor when firing Diesel
+
10 Percent Capacity Factor</v>
      </c>
      <c r="N10" s="203">
        <f>'Table 1-3. NOx'!L9</f>
        <v>0.9</v>
      </c>
      <c r="O10" s="147">
        <f>G10*$D$9/1000/$E$33</f>
        <v>0.51824817518248167</v>
      </c>
      <c r="P10" s="148" t="s">
        <v>59</v>
      </c>
      <c r="Q10" s="92">
        <v>40</v>
      </c>
      <c r="R10" s="180" t="s">
        <v>148</v>
      </c>
      <c r="S10" s="128"/>
      <c r="T10" s="18"/>
      <c r="U10" s="18"/>
      <c r="V10" s="18"/>
      <c r="W10" s="18"/>
      <c r="X10" s="18"/>
      <c r="Y10" s="18"/>
      <c r="Z10" s="18"/>
    </row>
    <row r="11" spans="1:26" s="49" customFormat="1" ht="62.45" customHeight="1">
      <c r="A11" s="38">
        <f>'Table 1-3. NOx'!A10</f>
        <v>4</v>
      </c>
      <c r="B11" s="39" t="str">
        <f>'Table 1-3. NOx'!B10</f>
        <v>Dual-Fired Boiler</v>
      </c>
      <c r="C11" s="39" t="str">
        <f>'Table 1-3. NOx'!C10</f>
        <v>Natural Gas</v>
      </c>
      <c r="D11" s="414" t="s">
        <v>4</v>
      </c>
      <c r="E11" s="415"/>
      <c r="F11" s="24" t="s">
        <v>41</v>
      </c>
      <c r="G11" s="25">
        <v>0.6</v>
      </c>
      <c r="H11" s="66" t="s">
        <v>21</v>
      </c>
      <c r="I11" s="95">
        <f>'Table 1-2. Sig EUI PTE'!G8</f>
        <v>180.9</v>
      </c>
      <c r="J11" s="97" t="str">
        <f>J10</f>
        <v>MMBtu/hr</v>
      </c>
      <c r="K11" s="14">
        <f>'Table 1-2. Sig EUI PTE'!I9</f>
        <v>8760</v>
      </c>
      <c r="L11" s="21" t="str">
        <f>'Table 1-4. PM2.5'!J10</f>
        <v>hr/yr</v>
      </c>
      <c r="M11" s="70" t="str">
        <f>'Table 1-3. NOx'!K10</f>
        <v>Low NOx Burners
+
10 Percent Capacity Factor</v>
      </c>
      <c r="N11" s="203">
        <f>'Table 1-3. NOx'!L10</f>
        <v>0.9</v>
      </c>
      <c r="O11" s="27">
        <f>G11</f>
        <v>0.6</v>
      </c>
      <c r="P11" s="97" t="s">
        <v>21</v>
      </c>
      <c r="Q11" s="262">
        <f>G11/$E$34*I11*K11*(1-N11)/2000</f>
        <v>4.7540519999999989E-2</v>
      </c>
      <c r="R11" s="180" t="s">
        <v>148</v>
      </c>
      <c r="S11" s="128"/>
      <c r="T11" s="18"/>
      <c r="U11" s="18"/>
      <c r="V11" s="18"/>
      <c r="W11" s="18"/>
      <c r="X11" s="18"/>
      <c r="Y11" s="18"/>
      <c r="Z11" s="18"/>
    </row>
    <row r="12" spans="1:26" s="49" customFormat="1" ht="28.5">
      <c r="A12" s="38">
        <f>'Table 1-3. NOx'!A11</f>
        <v>8</v>
      </c>
      <c r="B12" s="39" t="str">
        <f>'Table 1-3. NOx'!B11</f>
        <v>Peaking/Backup Generator (DEG) Engine</v>
      </c>
      <c r="C12" s="39" t="str">
        <f>'Table 1-3. NOx'!C11</f>
        <v>Diesel</v>
      </c>
      <c r="D12" s="122">
        <v>0.5</v>
      </c>
      <c r="E12" s="94" t="s">
        <v>58</v>
      </c>
      <c r="F12" s="24" t="s">
        <v>39</v>
      </c>
      <c r="G12" s="98">
        <v>8.09E-3</v>
      </c>
      <c r="H12" s="66" t="s">
        <v>43</v>
      </c>
      <c r="I12" s="14">
        <f>'Table 1-2. Sig EUI PTE'!G10</f>
        <v>13266</v>
      </c>
      <c r="J12" s="26" t="str">
        <f>'Table 1-2. Sig EUI PTE'!H10</f>
        <v>hp</v>
      </c>
      <c r="K12" s="14">
        <f>Q12*2000/G12/D12*E36/1000000/E33</f>
        <v>1010529.3549755038</v>
      </c>
      <c r="L12" s="96" t="s">
        <v>150</v>
      </c>
      <c r="M12" s="65" t="s">
        <v>4</v>
      </c>
      <c r="N12" s="216"/>
      <c r="O12" s="27">
        <f>G12*D12*E32</f>
        <v>1.83643</v>
      </c>
      <c r="P12" s="96" t="s">
        <v>94</v>
      </c>
      <c r="Q12" s="92">
        <v>40</v>
      </c>
      <c r="R12" s="255" t="s">
        <v>3</v>
      </c>
      <c r="S12" s="128"/>
      <c r="T12"/>
      <c r="U12" s="18"/>
      <c r="V12" s="18"/>
      <c r="W12" s="18"/>
      <c r="X12" s="18"/>
      <c r="Y12" s="18"/>
      <c r="Z12" s="18"/>
    </row>
    <row r="13" spans="1:26" s="41" customFormat="1" ht="28.5">
      <c r="A13" s="38" t="str">
        <f>'Table 1-3. NOx'!A12</f>
        <v>9A</v>
      </c>
      <c r="B13" s="39" t="str">
        <f>'Table 1-3. NOx'!B12</f>
        <v>BiRD - Medical/Pathological Waste Incinerator</v>
      </c>
      <c r="C13" s="39" t="str">
        <f>'Table 1-3. NOx'!C12</f>
        <v>Medical/Pathological Waste</v>
      </c>
      <c r="D13" s="414" t="s">
        <v>4</v>
      </c>
      <c r="E13" s="415"/>
      <c r="F13" s="24" t="s">
        <v>56</v>
      </c>
      <c r="G13" s="25">
        <v>2.17</v>
      </c>
      <c r="H13" s="66" t="s">
        <v>36</v>
      </c>
      <c r="I13" s="14">
        <f>'Table 1-2. Sig EUI PTE'!G11</f>
        <v>83.333333333333329</v>
      </c>
      <c r="J13" s="26" t="str">
        <f>'Table 1-3. NOx'!H12</f>
        <v>lb/hr</v>
      </c>
      <c r="K13" s="14">
        <f>'Table 1-2. Sig EUI PTE'!I11</f>
        <v>109</v>
      </c>
      <c r="L13" s="21" t="s">
        <v>121</v>
      </c>
      <c r="M13" s="65" t="s">
        <v>4</v>
      </c>
      <c r="N13" s="93"/>
      <c r="O13" s="63">
        <f>G13</f>
        <v>2.17</v>
      </c>
      <c r="P13" s="21" t="s">
        <v>36</v>
      </c>
      <c r="Q13" s="19">
        <f>G13*K13/2000</f>
        <v>0.118265</v>
      </c>
      <c r="R13" s="123" t="s">
        <v>3</v>
      </c>
      <c r="T13" s="40"/>
    </row>
    <row r="14" spans="1:26" s="49" customFormat="1" ht="20.45" customHeight="1">
      <c r="A14" s="38">
        <f>'Table 1-3. NOx'!A13</f>
        <v>19</v>
      </c>
      <c r="B14" s="39" t="str">
        <f>'Table 1-3. NOx'!B13</f>
        <v>BiRD  RM 100U3 Boiler No. 1</v>
      </c>
      <c r="C14" s="39" t="s">
        <v>109</v>
      </c>
      <c r="D14" s="99">
        <v>1.5E-3</v>
      </c>
      <c r="E14" s="94" t="s">
        <v>120</v>
      </c>
      <c r="F14" s="24" t="s">
        <v>38</v>
      </c>
      <c r="G14" s="25">
        <v>142</v>
      </c>
      <c r="H14" s="66" t="s">
        <v>42</v>
      </c>
      <c r="I14" s="27">
        <f>'Table 1-2. Sig EUI PTE'!G12</f>
        <v>6.1333333333333329</v>
      </c>
      <c r="J14" s="26" t="str">
        <f>'Table 1-3. NOx'!H13</f>
        <v>MMBtu/hr</v>
      </c>
      <c r="K14" s="429">
        <f>'Table 1-2. Sig EUI PTE'!I12</f>
        <v>19650</v>
      </c>
      <c r="L14" s="432" t="s">
        <v>105</v>
      </c>
      <c r="M14" s="65" t="s">
        <v>109</v>
      </c>
      <c r="N14" s="93"/>
      <c r="O14" s="67">
        <f>G14*D14/1000*E$33*E$32</f>
        <v>1.3248174E-2</v>
      </c>
      <c r="P14" s="21" t="s">
        <v>93</v>
      </c>
      <c r="Q14" s="435">
        <f>I14/$E$33*G14/1000*$D14*K14/2000</f>
        <v>9.3688905109489032E-2</v>
      </c>
      <c r="R14" s="420" t="s">
        <v>3</v>
      </c>
      <c r="S14" s="37"/>
      <c r="T14" s="37"/>
      <c r="U14" s="37"/>
      <c r="V14" s="37"/>
      <c r="W14" s="37"/>
      <c r="X14" s="37"/>
      <c r="Y14" s="37"/>
      <c r="Z14" s="37"/>
    </row>
    <row r="15" spans="1:26" s="49" customFormat="1" ht="20.45" customHeight="1">
      <c r="A15" s="38">
        <f>'Table 1-3. NOx'!A14</f>
        <v>20</v>
      </c>
      <c r="B15" s="39" t="str">
        <f>'Table 1-3. NOx'!B14</f>
        <v>BiRD  RM 100U3 Boiler No. 2</v>
      </c>
      <c r="C15" s="39" t="s">
        <v>109</v>
      </c>
      <c r="D15" s="99">
        <v>1.5E-3</v>
      </c>
      <c r="E15" s="94" t="s">
        <v>120</v>
      </c>
      <c r="F15" s="24" t="s">
        <v>38</v>
      </c>
      <c r="G15" s="25">
        <v>142</v>
      </c>
      <c r="H15" s="66" t="s">
        <v>42</v>
      </c>
      <c r="I15" s="27">
        <f>'Table 1-2. Sig EUI PTE'!G13</f>
        <v>6.1333333333333329</v>
      </c>
      <c r="J15" s="26" t="str">
        <f>'Table 1-3. NOx'!H14</f>
        <v>MMBtu/hr</v>
      </c>
      <c r="K15" s="430"/>
      <c r="L15" s="433"/>
      <c r="M15" s="65" t="s">
        <v>109</v>
      </c>
      <c r="N15" s="93"/>
      <c r="O15" s="67">
        <f>G15*D15/1000*E$33*E$32</f>
        <v>1.3248174E-2</v>
      </c>
      <c r="P15" s="21" t="s">
        <v>93</v>
      </c>
      <c r="Q15" s="436"/>
      <c r="R15" s="421"/>
      <c r="S15" s="37"/>
      <c r="T15" s="37"/>
      <c r="U15" s="37"/>
      <c r="V15" s="37"/>
      <c r="W15" s="37"/>
      <c r="X15" s="37"/>
      <c r="Y15" s="37"/>
      <c r="Z15" s="37"/>
    </row>
    <row r="16" spans="1:26" s="49" customFormat="1" ht="20.45" customHeight="1">
      <c r="A16" s="38">
        <f>'Table 1-3. NOx'!A15</f>
        <v>21</v>
      </c>
      <c r="B16" s="39" t="str">
        <f>'Table 1-3. NOx'!B15</f>
        <v>BiRD  RM 100U3 Boiler No. 3</v>
      </c>
      <c r="C16" s="39" t="s">
        <v>109</v>
      </c>
      <c r="D16" s="99">
        <v>1.5E-3</v>
      </c>
      <c r="E16" s="94" t="s">
        <v>120</v>
      </c>
      <c r="F16" s="24" t="s">
        <v>38</v>
      </c>
      <c r="G16" s="25">
        <v>142</v>
      </c>
      <c r="H16" s="66" t="s">
        <v>42</v>
      </c>
      <c r="I16" s="27">
        <f>'Table 1-2. Sig EUI PTE'!G14</f>
        <v>6.1333333333333329</v>
      </c>
      <c r="J16" s="26" t="str">
        <f>'Table 1-3. NOx'!H15</f>
        <v>MMBtu/hr</v>
      </c>
      <c r="K16" s="431"/>
      <c r="L16" s="434"/>
      <c r="M16" s="65" t="s">
        <v>109</v>
      </c>
      <c r="N16" s="217"/>
      <c r="O16" s="67">
        <f>G16*D16/1000*E$33*E$32</f>
        <v>1.3248174E-2</v>
      </c>
      <c r="P16" s="21" t="s">
        <v>93</v>
      </c>
      <c r="Q16" s="437"/>
      <c r="R16" s="422"/>
      <c r="S16" s="37"/>
      <c r="T16" s="37"/>
      <c r="U16" s="37"/>
      <c r="V16" s="37"/>
      <c r="W16" s="37"/>
      <c r="X16" s="37"/>
      <c r="Y16" s="37"/>
      <c r="Z16" s="37"/>
    </row>
    <row r="17" spans="1:18" s="49" customFormat="1" ht="28.5">
      <c r="A17" s="38">
        <f>'Table 1-3. NOx'!A16</f>
        <v>27</v>
      </c>
      <c r="B17" s="39" t="str">
        <f>'Table 1-3. NOx'!B16</f>
        <v>Alaska Center for Energy and Power Generator Engine</v>
      </c>
      <c r="C17" s="39" t="str">
        <f>'Table 1-3. NOx'!C16</f>
        <v>ULSD</v>
      </c>
      <c r="D17" s="99">
        <v>1.5E-3</v>
      </c>
      <c r="E17" s="94" t="s">
        <v>58</v>
      </c>
      <c r="F17" s="120" t="s">
        <v>44</v>
      </c>
      <c r="G17" s="25">
        <f>$D$17/100*2*$E$35/$E$33/1000000*$E$36</f>
        <v>1.0883211678832117E-5</v>
      </c>
      <c r="H17" s="66" t="s">
        <v>14</v>
      </c>
      <c r="I17" s="14">
        <f>'Table 1-2. Sig EUI PTE'!G15</f>
        <v>500</v>
      </c>
      <c r="J17" s="26" t="str">
        <f>'Table 1-2. Sig EUI PTE'!H15</f>
        <v>hp</v>
      </c>
      <c r="K17" s="126">
        <f>'Table 1-2. Sig EUI PTE'!I15</f>
        <v>4380</v>
      </c>
      <c r="L17" s="90" t="s">
        <v>107</v>
      </c>
      <c r="M17" s="65" t="s">
        <v>109</v>
      </c>
      <c r="N17" s="205"/>
      <c r="O17" s="149">
        <f>G17*E32</f>
        <v>4.9409781021897813E-3</v>
      </c>
      <c r="P17" s="91" t="s">
        <v>94</v>
      </c>
      <c r="Q17" s="100">
        <f>G17*I17*K17/2000</f>
        <v>1.1917116788321169E-2</v>
      </c>
      <c r="R17" s="125" t="s">
        <v>3</v>
      </c>
    </row>
    <row r="18" spans="1:18" s="49" customFormat="1" ht="20.45" customHeight="1">
      <c r="A18" s="38">
        <f>'Table 1-3. NOx'!A17</f>
        <v>105</v>
      </c>
      <c r="B18" s="39" t="str">
        <f>'Table 1-3. NOx'!B17</f>
        <v>Limestone Handling System</v>
      </c>
      <c r="C18" s="39" t="str">
        <f>'Table 1-3. NOx'!C17</f>
        <v>N/A</v>
      </c>
      <c r="D18" s="131" t="s">
        <v>4</v>
      </c>
      <c r="E18" s="101"/>
      <c r="F18" s="130" t="s">
        <v>4</v>
      </c>
      <c r="G18" s="124" t="s">
        <v>4</v>
      </c>
      <c r="H18" s="101"/>
      <c r="I18" s="14">
        <f>'Table 1-2. Sig EUI PTE'!G16</f>
        <v>1200</v>
      </c>
      <c r="J18" s="88" t="str">
        <f>'Table 1-2. Sig EUI PTE'!H16</f>
        <v>acfm</v>
      </c>
      <c r="K18" s="14">
        <f>'Table 1-2. Sig EUI PTE'!I16</f>
        <v>8760</v>
      </c>
      <c r="L18" s="21" t="str">
        <f>'Table 1-2. Sig EUI PTE'!J16</f>
        <v>hr/yr</v>
      </c>
      <c r="M18" s="65" t="s">
        <v>4</v>
      </c>
      <c r="N18" s="205"/>
      <c r="O18" s="65" t="s">
        <v>4</v>
      </c>
      <c r="P18" s="90"/>
      <c r="Q18" s="65" t="s">
        <v>4</v>
      </c>
      <c r="R18" s="125"/>
    </row>
    <row r="19" spans="1:18" s="49" customFormat="1" ht="20.45" customHeight="1">
      <c r="A19" s="38">
        <f>'Table 1-3. NOx'!A18</f>
        <v>107</v>
      </c>
      <c r="B19" s="39" t="str">
        <f>'Table 1-3. NOx'!B18</f>
        <v>Sand Handling System</v>
      </c>
      <c r="C19" s="39" t="str">
        <f>'Table 1-3. NOx'!C18</f>
        <v>N/A</v>
      </c>
      <c r="D19" s="131" t="s">
        <v>4</v>
      </c>
      <c r="E19" s="101"/>
      <c r="F19" s="130" t="s">
        <v>4</v>
      </c>
      <c r="G19" s="124" t="s">
        <v>4</v>
      </c>
      <c r="H19" s="101"/>
      <c r="I19" s="14">
        <f>'Table 1-2. Sig EUI PTE'!G17</f>
        <v>1600</v>
      </c>
      <c r="J19" s="88" t="str">
        <f>'Table 1-2. Sig EUI PTE'!H17</f>
        <v>acfm</v>
      </c>
      <c r="K19" s="14">
        <f>'Table 1-2. Sig EUI PTE'!I17</f>
        <v>8760</v>
      </c>
      <c r="L19" s="21" t="str">
        <f>'Table 1-2. Sig EUI PTE'!J17</f>
        <v>hr/yr</v>
      </c>
      <c r="M19" s="65" t="s">
        <v>4</v>
      </c>
      <c r="N19" s="205"/>
      <c r="O19" s="65" t="s">
        <v>4</v>
      </c>
      <c r="P19" s="90"/>
      <c r="Q19" s="65" t="s">
        <v>4</v>
      </c>
      <c r="R19" s="125"/>
    </row>
    <row r="20" spans="1:18" s="49" customFormat="1" ht="20.45" customHeight="1">
      <c r="A20" s="38">
        <f>'Table 1-3. NOx'!A19</f>
        <v>109</v>
      </c>
      <c r="B20" s="39" t="str">
        <f>'Table 1-3. NOx'!B19</f>
        <v>Ash Handling System</v>
      </c>
      <c r="C20" s="39" t="str">
        <f>'Table 1-3. NOx'!C19</f>
        <v>N/A</v>
      </c>
      <c r="D20" s="131" t="s">
        <v>4</v>
      </c>
      <c r="E20" s="101"/>
      <c r="F20" s="130" t="s">
        <v>4</v>
      </c>
      <c r="G20" s="124" t="s">
        <v>4</v>
      </c>
      <c r="H20" s="101"/>
      <c r="I20" s="14">
        <f>'Table 1-2. Sig EUI PTE'!G18</f>
        <v>1000</v>
      </c>
      <c r="J20" s="34" t="str">
        <f>'Table 1-2. Sig EUI PTE'!H18</f>
        <v>acfm</v>
      </c>
      <c r="K20" s="14">
        <f>'Table 1-2. Sig EUI PTE'!I18</f>
        <v>8760</v>
      </c>
      <c r="L20" s="21" t="str">
        <f>'Table 1-2. Sig EUI PTE'!J18</f>
        <v>hr/yr</v>
      </c>
      <c r="M20" s="65" t="s">
        <v>4</v>
      </c>
      <c r="N20" s="205"/>
      <c r="O20" s="65" t="s">
        <v>4</v>
      </c>
      <c r="P20" s="90"/>
      <c r="Q20" s="65" t="s">
        <v>4</v>
      </c>
      <c r="R20" s="125"/>
    </row>
    <row r="21" spans="1:18" s="49" customFormat="1" ht="20.45" customHeight="1">
      <c r="A21" s="38">
        <f>'Table 1-3. NOx'!A20</f>
        <v>110</v>
      </c>
      <c r="B21" s="39" t="str">
        <f>'Table 1-3. NOx'!B20</f>
        <v>Ash Handling System Vacuum</v>
      </c>
      <c r="C21" s="39" t="str">
        <f>'Table 1-3. NOx'!C20</f>
        <v>N/A</v>
      </c>
      <c r="D21" s="131" t="s">
        <v>4</v>
      </c>
      <c r="E21" s="101"/>
      <c r="F21" s="130" t="s">
        <v>4</v>
      </c>
      <c r="G21" s="124" t="s">
        <v>4</v>
      </c>
      <c r="H21" s="101"/>
      <c r="I21" s="95">
        <f>'Table 1-3. NOx'!G20</f>
        <v>2000</v>
      </c>
      <c r="J21" s="88" t="str">
        <f>'Table 1-3. NOx'!H20</f>
        <v>acfm</v>
      </c>
      <c r="K21" s="14">
        <f>'Table 1-2. Sig EUI PTE'!I19</f>
        <v>8760</v>
      </c>
      <c r="L21" s="21" t="str">
        <f>'Table 1-2. Sig EUI PTE'!J19</f>
        <v>hr/yr</v>
      </c>
      <c r="M21" s="65" t="s">
        <v>4</v>
      </c>
      <c r="N21" s="205"/>
      <c r="O21" s="65" t="s">
        <v>4</v>
      </c>
      <c r="P21" s="90"/>
      <c r="Q21" s="65" t="s">
        <v>4</v>
      </c>
      <c r="R21" s="125"/>
    </row>
    <row r="22" spans="1:18" s="49" customFormat="1" ht="20.45" customHeight="1">
      <c r="A22" s="38">
        <f>'Table 1-3. NOx'!A21</f>
        <v>111</v>
      </c>
      <c r="B22" s="39" t="str">
        <f>'Table 1-3. NOx'!B21</f>
        <v>Ash Loadout to Truck</v>
      </c>
      <c r="C22" s="39" t="str">
        <f>'Table 1-3. NOx'!C21</f>
        <v>N/A</v>
      </c>
      <c r="D22" s="131" t="s">
        <v>4</v>
      </c>
      <c r="E22" s="66" t="s">
        <v>80</v>
      </c>
      <c r="F22" s="130" t="s">
        <v>4</v>
      </c>
      <c r="G22" s="124" t="s">
        <v>4</v>
      </c>
      <c r="H22" s="66" t="s">
        <v>80</v>
      </c>
      <c r="I22" s="102" t="str">
        <f>'Table 1-3. NOx'!G21</f>
        <v>N/A</v>
      </c>
      <c r="J22" s="88" t="str">
        <f>'Table 1-3. NOx'!H21</f>
        <v xml:space="preserve"> </v>
      </c>
      <c r="K22" s="14">
        <f>'Table 1-2. Sig EUI PTE'!I20</f>
        <v>26280</v>
      </c>
      <c r="L22" s="26" t="s">
        <v>3</v>
      </c>
      <c r="M22" s="65" t="s">
        <v>4</v>
      </c>
      <c r="N22" s="218"/>
      <c r="O22" s="65" t="s">
        <v>4</v>
      </c>
      <c r="P22" s="103"/>
      <c r="Q22" s="65" t="s">
        <v>4</v>
      </c>
      <c r="R22" s="104"/>
    </row>
    <row r="23" spans="1:18" s="49" customFormat="1" ht="28.5">
      <c r="A23" s="38">
        <f>'Table 1-3. NOx'!A22</f>
        <v>113</v>
      </c>
      <c r="B23" s="39" t="str">
        <f>'Table 1-3. NOx'!B22</f>
        <v>Replacement Dual-fired CFB Boiler</v>
      </c>
      <c r="C23" s="39" t="str">
        <f>'Table 1-3. NOx'!C22</f>
        <v>Coal/Woody Biomass</v>
      </c>
      <c r="D23" s="414" t="s">
        <v>4</v>
      </c>
      <c r="E23" s="415"/>
      <c r="F23" s="39" t="s">
        <v>115</v>
      </c>
      <c r="G23" s="27">
        <v>0.2</v>
      </c>
      <c r="H23" s="66" t="s">
        <v>87</v>
      </c>
      <c r="I23" s="87">
        <f>'Table 1-3. NOx'!G22</f>
        <v>295.60000000000002</v>
      </c>
      <c r="J23" s="88" t="str">
        <f>'Table 1-3. NOx'!H22</f>
        <v>MMBtu/hr</v>
      </c>
      <c r="K23" s="14">
        <f>'Table 1-2. Sig EUI PTE'!I21</f>
        <v>8760</v>
      </c>
      <c r="L23" s="96" t="s">
        <v>51</v>
      </c>
      <c r="M23" s="127" t="s">
        <v>203</v>
      </c>
      <c r="N23" s="216"/>
      <c r="O23" s="27">
        <f>G23</f>
        <v>0.2</v>
      </c>
      <c r="P23" s="96" t="s">
        <v>59</v>
      </c>
      <c r="Q23" s="75">
        <f>G23*I23*K23/2000</f>
        <v>258.94560000000001</v>
      </c>
      <c r="R23" s="76" t="s">
        <v>3</v>
      </c>
    </row>
    <row r="24" spans="1:18" s="49" customFormat="1" ht="28.5">
      <c r="A24" s="38">
        <f>'Table 1-3. NOx'!A23</f>
        <v>114</v>
      </c>
      <c r="B24" s="39" t="str">
        <f>'Table 1-3. NOx'!B23</f>
        <v>Dry Sorbent Handling Vent Filter Exhaust</v>
      </c>
      <c r="C24" s="39" t="str">
        <f>'Table 1-3. NOx'!C23</f>
        <v>N/A</v>
      </c>
      <c r="D24" s="166" t="s">
        <v>4</v>
      </c>
      <c r="E24" s="66"/>
      <c r="F24" s="39" t="s">
        <v>4</v>
      </c>
      <c r="G24" s="166" t="s">
        <v>4</v>
      </c>
      <c r="H24" s="66"/>
      <c r="I24" s="14">
        <f>'Table 1-2. Sig EUI PTE'!G22</f>
        <v>5</v>
      </c>
      <c r="J24" s="88" t="str">
        <f>'Table 1-2. Sig EUI PTE'!H22</f>
        <v>acfm</v>
      </c>
      <c r="K24" s="14">
        <f>'Table 1-2. Sig EUI PTE'!I22</f>
        <v>8760</v>
      </c>
      <c r="L24" s="21" t="str">
        <f>'Table 1-2. Sig EUI PTE'!J22</f>
        <v>hr/yr</v>
      </c>
      <c r="M24" s="65" t="s">
        <v>4</v>
      </c>
      <c r="N24" s="206"/>
      <c r="O24" s="65" t="s">
        <v>4</v>
      </c>
      <c r="P24" s="26"/>
      <c r="Q24" s="65" t="s">
        <v>4</v>
      </c>
      <c r="R24" s="138"/>
    </row>
    <row r="25" spans="1:18" s="49" customFormat="1" ht="18.600000000000001" customHeight="1">
      <c r="A25" s="132">
        <f>'Table 1-3. NOx'!A24</f>
        <v>128</v>
      </c>
      <c r="B25" s="133" t="str">
        <f>'Table 1-3. NOx'!B24</f>
        <v>Coal Silo No. 1 with bin vent</v>
      </c>
      <c r="C25" s="133" t="str">
        <f>'Table 1-3. NOx'!C24</f>
        <v>N/A</v>
      </c>
      <c r="D25" s="160" t="s">
        <v>4</v>
      </c>
      <c r="E25" s="171" t="s">
        <v>80</v>
      </c>
      <c r="F25" s="159" t="s">
        <v>4</v>
      </c>
      <c r="G25" s="160" t="s">
        <v>4</v>
      </c>
      <c r="H25" s="171" t="s">
        <v>80</v>
      </c>
      <c r="I25" s="172">
        <f>'Table 1-3. NOx'!G24</f>
        <v>1650</v>
      </c>
      <c r="J25" s="173" t="str">
        <f>'Table 1-3. NOx'!H24</f>
        <v>acfm</v>
      </c>
      <c r="K25" s="143">
        <f>'Table 1-2. Sig EUI PTE'!I23</f>
        <v>8760</v>
      </c>
      <c r="L25" s="161" t="s">
        <v>3</v>
      </c>
      <c r="M25" s="141" t="s">
        <v>4</v>
      </c>
      <c r="N25" s="219"/>
      <c r="O25" s="141" t="s">
        <v>4</v>
      </c>
      <c r="P25" s="174"/>
      <c r="Q25" s="141" t="s">
        <v>4</v>
      </c>
      <c r="R25" s="175"/>
    </row>
    <row r="26" spans="1:18" s="49" customFormat="1" ht="18.600000000000001" customHeight="1">
      <c r="A26" s="38">
        <f>'Table 1-3. NOx'!A25</f>
        <v>129</v>
      </c>
      <c r="B26" s="39" t="str">
        <f>'Table 1-3. NOx'!B25</f>
        <v>Coal Silo No. 2 with bin vent</v>
      </c>
      <c r="C26" s="39" t="str">
        <f>'Table 1-3. NOx'!C25</f>
        <v>N/A</v>
      </c>
      <c r="D26" s="137" t="s">
        <v>4</v>
      </c>
      <c r="E26" s="66" t="s">
        <v>80</v>
      </c>
      <c r="F26" s="39" t="s">
        <v>4</v>
      </c>
      <c r="G26" s="137" t="s">
        <v>4</v>
      </c>
      <c r="H26" s="66" t="s">
        <v>80</v>
      </c>
      <c r="I26" s="87">
        <f>'Table 1-3. NOx'!G25</f>
        <v>1650</v>
      </c>
      <c r="J26" s="88" t="str">
        <f>'Table 1-3. NOx'!H25</f>
        <v>acfm</v>
      </c>
      <c r="K26" s="14">
        <f>'Table 1-2. Sig EUI PTE'!I24</f>
        <v>8760</v>
      </c>
      <c r="L26" s="96" t="s">
        <v>51</v>
      </c>
      <c r="M26" s="127" t="s">
        <v>4</v>
      </c>
      <c r="N26" s="216"/>
      <c r="O26" s="65" t="s">
        <v>4</v>
      </c>
      <c r="P26" s="96" t="s">
        <v>80</v>
      </c>
      <c r="Q26" s="65" t="s">
        <v>4</v>
      </c>
      <c r="R26" s="76" t="s">
        <v>80</v>
      </c>
    </row>
    <row r="27" spans="1:18" s="49" customFormat="1" ht="18.600000000000001" customHeight="1" thickBot="1">
      <c r="A27" s="105">
        <f>'Table 1-3. NOx'!A26</f>
        <v>130</v>
      </c>
      <c r="B27" s="111" t="str">
        <f>'Table 1-3. NOx'!B26</f>
        <v>Coal Silo No. 3 with bin vent</v>
      </c>
      <c r="C27" s="111" t="str">
        <f>'Table 1-3. NOx'!C26</f>
        <v>N/A</v>
      </c>
      <c r="D27" s="107" t="s">
        <v>4</v>
      </c>
      <c r="E27" s="112"/>
      <c r="F27" s="111" t="s">
        <v>4</v>
      </c>
      <c r="G27" s="107" t="s">
        <v>4</v>
      </c>
      <c r="H27" s="112"/>
      <c r="I27" s="109">
        <f>'Table 1-2. Sig EUI PTE'!G25</f>
        <v>1650</v>
      </c>
      <c r="J27" s="113" t="str">
        <f>'Table 1-2. Sig EUI PTE'!H25</f>
        <v>acfm</v>
      </c>
      <c r="K27" s="109">
        <f>'Table 1-2. Sig EUI PTE'!I25</f>
        <v>8760</v>
      </c>
      <c r="L27" s="114" t="str">
        <f>'Table 1-2. Sig EUI PTE'!J25</f>
        <v>hr/yr</v>
      </c>
      <c r="M27" s="115" t="s">
        <v>4</v>
      </c>
      <c r="N27" s="208"/>
      <c r="O27" s="115" t="s">
        <v>4</v>
      </c>
      <c r="P27" s="108"/>
      <c r="Q27" s="115" t="s">
        <v>4</v>
      </c>
      <c r="R27" s="129"/>
    </row>
    <row r="28" spans="1:18" s="49" customFormat="1" ht="18.600000000000001" customHeight="1">
      <c r="A28" s="283"/>
      <c r="B28" s="284"/>
      <c r="C28" s="284"/>
      <c r="D28" s="295"/>
      <c r="E28" s="302"/>
      <c r="F28" s="284"/>
      <c r="G28" s="295"/>
      <c r="H28" s="302"/>
      <c r="I28" s="285"/>
      <c r="J28" s="229"/>
      <c r="K28" s="285"/>
      <c r="L28" s="285"/>
      <c r="M28" s="303"/>
      <c r="N28" s="229"/>
      <c r="O28" s="303"/>
      <c r="P28" s="229"/>
      <c r="Q28" s="303"/>
      <c r="R28" s="229"/>
    </row>
    <row r="29" spans="1:18">
      <c r="A29" s="3" t="s">
        <v>5</v>
      </c>
      <c r="D29" s="20"/>
      <c r="P29" s="5"/>
      <c r="Q29" s="5"/>
      <c r="R29" s="5"/>
    </row>
    <row r="30" spans="1:18" ht="16.5">
      <c r="A30" s="3" t="s">
        <v>138</v>
      </c>
    </row>
    <row r="31" spans="1:18" ht="16.5">
      <c r="A31" s="3" t="s">
        <v>48</v>
      </c>
      <c r="Q31" s="30"/>
    </row>
    <row r="32" spans="1:18">
      <c r="B32" s="47"/>
      <c r="C32" s="47"/>
      <c r="D32" s="44" t="s">
        <v>139</v>
      </c>
      <c r="E32" s="68">
        <v>454</v>
      </c>
      <c r="F32" s="22" t="s">
        <v>64</v>
      </c>
      <c r="H32" s="47"/>
      <c r="K32" s="49"/>
      <c r="Q32" s="47"/>
    </row>
    <row r="33" spans="1:17">
      <c r="C33" s="57"/>
      <c r="D33" s="44" t="s">
        <v>16</v>
      </c>
      <c r="E33" s="46">
        <v>0.13700000000000001</v>
      </c>
      <c r="F33" s="49" t="s">
        <v>37</v>
      </c>
      <c r="Q33" s="30"/>
    </row>
    <row r="34" spans="1:17">
      <c r="C34" s="57"/>
      <c r="D34" s="44" t="s">
        <v>40</v>
      </c>
      <c r="E34" s="43">
        <v>1000</v>
      </c>
      <c r="F34" s="49" t="s">
        <v>18</v>
      </c>
    </row>
    <row r="35" spans="1:17" ht="16.5">
      <c r="A35" s="233" t="s">
        <v>80</v>
      </c>
      <c r="C35" s="57"/>
      <c r="D35" s="44" t="s">
        <v>45</v>
      </c>
      <c r="E35" s="62">
        <v>7.1</v>
      </c>
      <c r="F35" s="49" t="s">
        <v>8</v>
      </c>
    </row>
    <row r="36" spans="1:17">
      <c r="C36" s="57"/>
      <c r="D36" s="44" t="s">
        <v>46</v>
      </c>
      <c r="E36" s="43">
        <v>7000</v>
      </c>
      <c r="F36" s="49" t="s">
        <v>17</v>
      </c>
    </row>
    <row r="37" spans="1:17" ht="18.75">
      <c r="A37" s="49" t="s">
        <v>179</v>
      </c>
      <c r="B37" s="49"/>
      <c r="C37" s="49"/>
      <c r="D37" s="44"/>
      <c r="E37" s="43"/>
      <c r="F37" s="49"/>
      <c r="G37" s="49"/>
      <c r="H37" s="49"/>
      <c r="I37" s="49"/>
      <c r="K37" s="49"/>
    </row>
    <row r="38" spans="1:17" ht="34.15" customHeight="1">
      <c r="A38" s="389" t="s">
        <v>182</v>
      </c>
      <c r="B38" s="389"/>
      <c r="C38" s="389"/>
      <c r="D38" s="389"/>
      <c r="E38" s="389"/>
      <c r="F38" s="389"/>
      <c r="G38" s="389"/>
      <c r="H38" s="389"/>
      <c r="I38" s="389"/>
      <c r="J38" s="389"/>
      <c r="K38" s="389"/>
      <c r="L38" s="389"/>
      <c r="M38" s="389"/>
      <c r="N38" s="389"/>
      <c r="O38" s="389"/>
      <c r="P38" s="389"/>
    </row>
    <row r="39" spans="1:17" ht="35.450000000000003" customHeight="1">
      <c r="A39" s="389" t="s">
        <v>181</v>
      </c>
      <c r="B39" s="389"/>
      <c r="C39" s="389"/>
      <c r="D39" s="389"/>
      <c r="E39" s="389"/>
      <c r="F39" s="389"/>
      <c r="G39" s="389"/>
      <c r="H39" s="389"/>
      <c r="I39" s="389"/>
      <c r="J39" s="389"/>
      <c r="K39" s="389"/>
      <c r="L39" s="389"/>
      <c r="M39" s="389"/>
      <c r="N39" s="389"/>
      <c r="O39" s="389"/>
      <c r="P39" s="389"/>
    </row>
    <row r="40" spans="1:17" ht="16.5">
      <c r="A40" s="49" t="s">
        <v>183</v>
      </c>
      <c r="B40" s="47"/>
      <c r="C40" s="57"/>
      <c r="D40" s="44"/>
      <c r="E40" s="43"/>
      <c r="F40" s="49"/>
      <c r="H40" s="47"/>
      <c r="K40" s="49"/>
    </row>
    <row r="41" spans="1:17" ht="16.5">
      <c r="A41" s="49" t="s">
        <v>166</v>
      </c>
      <c r="B41" s="47"/>
      <c r="C41" s="117"/>
      <c r="D41" s="44"/>
      <c r="E41" s="43"/>
      <c r="F41" s="49"/>
      <c r="H41" s="47"/>
      <c r="K41" s="49"/>
    </row>
    <row r="42" spans="1:17" ht="16.5">
      <c r="A42" s="49" t="s">
        <v>184</v>
      </c>
      <c r="B42" s="47"/>
      <c r="C42" s="57"/>
      <c r="D42" s="44"/>
      <c r="E42" s="43"/>
      <c r="F42" s="49"/>
      <c r="H42" s="47"/>
      <c r="K42" s="49"/>
    </row>
    <row r="43" spans="1:17" ht="16.5">
      <c r="A43" s="49" t="s">
        <v>173</v>
      </c>
      <c r="B43" s="47"/>
      <c r="C43" s="57"/>
      <c r="D43" s="44"/>
      <c r="E43" s="43"/>
      <c r="F43" s="49"/>
      <c r="H43" s="47"/>
      <c r="K43" s="49"/>
    </row>
    <row r="44" spans="1:17">
      <c r="B44" s="47"/>
      <c r="C44" s="57"/>
      <c r="D44" s="44"/>
      <c r="E44" s="43"/>
      <c r="F44" s="49"/>
      <c r="H44" s="47"/>
      <c r="K44" s="49"/>
    </row>
    <row r="45" spans="1:17" ht="16.5">
      <c r="A45" s="64" t="s">
        <v>80</v>
      </c>
      <c r="B45" s="49"/>
      <c r="C45" s="57"/>
      <c r="D45" s="44"/>
      <c r="E45" s="43"/>
      <c r="F45" s="49"/>
      <c r="H45" s="47"/>
      <c r="K45" s="49"/>
    </row>
    <row r="46" spans="1:17" s="29" customFormat="1">
      <c r="B46" s="54"/>
      <c r="C46" s="54"/>
      <c r="H46" s="54"/>
      <c r="O46" s="31"/>
      <c r="P46" s="31"/>
    </row>
    <row r="47" spans="1:17" s="29" customFormat="1">
      <c r="B47" s="54"/>
      <c r="C47" s="54"/>
      <c r="H47" s="54"/>
      <c r="O47" s="31"/>
      <c r="P47" s="31"/>
    </row>
    <row r="48" spans="1:17" s="29" customFormat="1" ht="16.5">
      <c r="A48" s="64" t="s">
        <v>80</v>
      </c>
      <c r="B48" s="54"/>
      <c r="C48" s="54"/>
      <c r="D48" s="7"/>
      <c r="H48" s="54"/>
      <c r="O48" s="31"/>
      <c r="P48" s="31"/>
    </row>
    <row r="49" spans="2:16" s="29" customFormat="1">
      <c r="B49" s="54"/>
      <c r="C49" s="54"/>
      <c r="D49" s="7"/>
      <c r="H49" s="54"/>
      <c r="O49" s="31"/>
      <c r="P49" s="31"/>
    </row>
    <row r="50" spans="2:16" s="31" customFormat="1">
      <c r="B50" s="54"/>
      <c r="C50" s="54"/>
      <c r="D50" s="7"/>
      <c r="H50" s="54"/>
    </row>
    <row r="51" spans="2:16" s="29" customFormat="1">
      <c r="B51" s="54"/>
      <c r="C51" s="54"/>
      <c r="D51" s="7"/>
      <c r="H51" s="54"/>
      <c r="O51" s="31"/>
      <c r="P51" s="31"/>
    </row>
    <row r="52" spans="2:16">
      <c r="D52" s="4"/>
    </row>
    <row r="53" spans="2:16">
      <c r="D53" s="4"/>
    </row>
    <row r="54" spans="2:16">
      <c r="D54" s="4"/>
    </row>
    <row r="55" spans="2:16">
      <c r="D55" s="4"/>
    </row>
    <row r="56" spans="2:16">
      <c r="D56" s="4"/>
    </row>
    <row r="57" spans="2:16">
      <c r="D57" s="4"/>
    </row>
    <row r="58" spans="2:16">
      <c r="D58" s="4"/>
    </row>
    <row r="59" spans="2:16">
      <c r="D59" s="4"/>
    </row>
    <row r="60" spans="2:16">
      <c r="D60" s="4"/>
    </row>
    <row r="61" spans="2:16">
      <c r="D61" s="4"/>
    </row>
    <row r="62" spans="2:16">
      <c r="D62" s="4"/>
    </row>
    <row r="63" spans="2:16">
      <c r="D63" s="4"/>
    </row>
    <row r="64" spans="2:16">
      <c r="D64" s="4"/>
    </row>
    <row r="65" spans="4:4">
      <c r="D65" s="4"/>
    </row>
    <row r="66" spans="4:4">
      <c r="D66" s="4"/>
    </row>
    <row r="67" spans="4:4">
      <c r="D67" s="4"/>
    </row>
    <row r="68" spans="4:4">
      <c r="D68" s="4"/>
    </row>
    <row r="69" spans="4:4">
      <c r="D69" s="4"/>
    </row>
    <row r="70" spans="4:4">
      <c r="D70" s="4"/>
    </row>
    <row r="71" spans="4:4">
      <c r="D71" s="4"/>
    </row>
    <row r="72" spans="4:4">
      <c r="D72" s="4"/>
    </row>
    <row r="73" spans="4:4">
      <c r="D73" s="4"/>
    </row>
    <row r="74" spans="4:4">
      <c r="D74" s="4"/>
    </row>
    <row r="75" spans="4:4">
      <c r="D75" s="4"/>
    </row>
    <row r="76" spans="4:4">
      <c r="D76" s="4"/>
    </row>
    <row r="77" spans="4:4">
      <c r="D77" s="4"/>
    </row>
    <row r="78" spans="4:4">
      <c r="D78" s="4"/>
    </row>
    <row r="79" spans="4:4">
      <c r="D79" s="4"/>
    </row>
    <row r="80" spans="4:4">
      <c r="D80" s="4"/>
    </row>
    <row r="81" spans="4:4">
      <c r="D81" s="4"/>
    </row>
    <row r="82" spans="4:4">
      <c r="D82" s="4"/>
    </row>
    <row r="83" spans="4:4">
      <c r="D83" s="4"/>
    </row>
    <row r="84" spans="4:4">
      <c r="D84" s="4"/>
    </row>
    <row r="85" spans="4:4">
      <c r="D85" s="4"/>
    </row>
    <row r="86" spans="4:4">
      <c r="D86" s="4"/>
    </row>
    <row r="87" spans="4:4">
      <c r="D87" s="4"/>
    </row>
    <row r="88" spans="4:4">
      <c r="D88" s="4"/>
    </row>
    <row r="89" spans="4:4">
      <c r="D89" s="4"/>
    </row>
    <row r="90" spans="4:4">
      <c r="D90" s="4"/>
    </row>
    <row r="91" spans="4:4">
      <c r="D91" s="4"/>
    </row>
    <row r="92" spans="4:4">
      <c r="D92" s="4"/>
    </row>
    <row r="93" spans="4:4">
      <c r="D93" s="4"/>
    </row>
    <row r="94" spans="4:4">
      <c r="D94" s="4"/>
    </row>
    <row r="95" spans="4:4">
      <c r="D95" s="4"/>
    </row>
    <row r="96" spans="4:4">
      <c r="D96" s="4"/>
    </row>
    <row r="97" spans="4:4">
      <c r="D97" s="4"/>
    </row>
    <row r="98" spans="4:4">
      <c r="D98" s="4"/>
    </row>
    <row r="99" spans="4:4">
      <c r="D99" s="4"/>
    </row>
    <row r="100" spans="4:4">
      <c r="D100" s="4"/>
    </row>
    <row r="101" spans="4:4">
      <c r="D101" s="4"/>
    </row>
    <row r="102" spans="4:4">
      <c r="D102" s="4"/>
    </row>
    <row r="103" spans="4:4">
      <c r="D103" s="4"/>
    </row>
    <row r="104" spans="4:4">
      <c r="D104" s="4"/>
    </row>
  </sheetData>
  <mergeCells count="21">
    <mergeCell ref="A38:P38"/>
    <mergeCell ref="A39:P39"/>
    <mergeCell ref="A1:R1"/>
    <mergeCell ref="A2:R2"/>
    <mergeCell ref="A5:B5"/>
    <mergeCell ref="R14:R16"/>
    <mergeCell ref="D13:E13"/>
    <mergeCell ref="C5:C6"/>
    <mergeCell ref="D5:E6"/>
    <mergeCell ref="F5:H5"/>
    <mergeCell ref="K14:K16"/>
    <mergeCell ref="L14:L16"/>
    <mergeCell ref="Q14:Q16"/>
    <mergeCell ref="I5:J6"/>
    <mergeCell ref="K5:L6"/>
    <mergeCell ref="A7:R7"/>
    <mergeCell ref="D23:E23"/>
    <mergeCell ref="Q5:R6"/>
    <mergeCell ref="O5:P5"/>
    <mergeCell ref="O6:P6"/>
    <mergeCell ref="D11:E11"/>
  </mergeCells>
  <printOptions horizontalCentered="1"/>
  <pageMargins left="0.7" right="0.7" top="0.75" bottom="0.75" header="0.5" footer="0.5"/>
  <pageSetup scale="48" orientation="landscape" r:id="rId1"/>
  <headerFooter alignWithMargins="0">
    <oddFooter>&amp;LUAF
PM&amp;Y2.5&amp;Y Serious NAA BACT Analysis&amp;CPage 6&amp;RJanuary 2017</oddFooter>
  </headerFooter>
  <ignoredErrors>
    <ignoredError sqref="O1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Executive Summary Table</vt:lpstr>
      <vt:lpstr>Table 1-2. Sig EUI PTE</vt:lpstr>
      <vt:lpstr>Table 1-3. NOx</vt:lpstr>
      <vt:lpstr>Table 1-4. PM2.5</vt:lpstr>
      <vt:lpstr>Table 1-5. SO2</vt:lpstr>
      <vt:lpstr>'Table 1-3. NOx'!Print_Area</vt:lpstr>
      <vt:lpstr>'Table 1-4. PM2.5'!Print_Area</vt:lpstr>
      <vt:lpstr>'Table 1-5. SO2'!Print_Area</vt:lpstr>
    </vt:vector>
  </TitlesOfParts>
  <Company>SLR International Corp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EnterUserNameHere</dc:creator>
  <cp:lastModifiedBy>Courtney Kimball</cp:lastModifiedBy>
  <cp:lastPrinted>2017-01-24T19:49:44Z</cp:lastPrinted>
  <dcterms:created xsi:type="dcterms:W3CDTF">1998-06-25T20:26:56Z</dcterms:created>
  <dcterms:modified xsi:type="dcterms:W3CDTF">2017-02-08T21:23:03Z</dcterms:modified>
</cp:coreProperties>
</file>