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n-svrfile\groups\AQ\General\SIP_BACT_2017\UAF BACT\"/>
    </mc:Choice>
  </mc:AlternateContent>
  <bookViews>
    <workbookView xWindow="4710" yWindow="-210" windowWidth="15570" windowHeight="9810" tabRatio="822" activeTab="4"/>
  </bookViews>
  <sheets>
    <sheet name="5-1" sheetId="6" r:id="rId1"/>
    <sheet name="5-2" sheetId="7" r:id="rId2"/>
    <sheet name="5-3" sheetId="8" r:id="rId3"/>
    <sheet name="5-4 - EU ID 113 - SDA TCI" sheetId="50" r:id="rId4"/>
    <sheet name="5-5 - EU ID 113 - SDA CE" sheetId="51" r:id="rId5"/>
    <sheet name="5-6 - EU ID 113 - DSI TCI" sheetId="52" r:id="rId6"/>
    <sheet name="5-7 - EU ID 113 - DSI CE" sheetId="53" r:id="rId7"/>
    <sheet name="5-8 - EU ID 3 - ULSD CE" sheetId="47" r:id="rId8"/>
    <sheet name="5-9 - EU ID 4 - ULSD CE" sheetId="48" r:id="rId9"/>
    <sheet name="5-10 - EU ID 8 - ULSD CE" sheetId="49" r:id="rId10"/>
    <sheet name="5-11" sheetId="38" r:id="rId11"/>
    <sheet name="5-12" sheetId="10" r:id="rId12"/>
    <sheet name="5-22" sheetId="24" state="hidden" r:id="rId13"/>
  </sheets>
  <externalReferences>
    <externalReference r:id="rId14"/>
    <externalReference r:id="rId15"/>
    <externalReference r:id="rId16"/>
    <externalReference r:id="rId17"/>
  </externalReferences>
  <definedNames>
    <definedName name="_xlnm.Print_Area" localSheetId="0">'5-1'!$A$1:$C$26</definedName>
    <definedName name="_xlnm.Print_Area" localSheetId="10">'5-11'!$A$1:$E$24</definedName>
    <definedName name="_xlnm.Print_Area" localSheetId="11">'5-12'!$A$1:$E$17</definedName>
    <definedName name="_xlnm.Print_Area" localSheetId="1">'5-2'!$A$1:$C$20</definedName>
    <definedName name="_xlnm.Print_Area" localSheetId="2">'5-3'!$A$1:$F$15</definedName>
    <definedName name="_xlnm.Print_Area" localSheetId="8">'5-9 - EU ID 4 - ULSD CE'!$A$1:$K$37</definedName>
  </definedNames>
  <calcPr calcId="152511"/>
</workbook>
</file>

<file path=xl/calcChain.xml><?xml version="1.0" encoding="utf-8"?>
<calcChain xmlns="http://schemas.openxmlformats.org/spreadsheetml/2006/main">
  <c r="G14" i="49" l="1"/>
  <c r="G14" i="48" l="1"/>
  <c r="C7" i="8" l="1"/>
  <c r="E14" i="49" l="1"/>
  <c r="E14" i="48"/>
  <c r="C11" i="7"/>
  <c r="A16" i="38"/>
  <c r="C8" i="8" l="1"/>
  <c r="E24" i="53" l="1"/>
  <c r="I22" i="53"/>
  <c r="K22" i="53" s="1"/>
  <c r="E16" i="53"/>
  <c r="H16" i="53" s="1"/>
  <c r="K16" i="53" s="1"/>
  <c r="E15" i="53"/>
  <c r="H15" i="53" s="1"/>
  <c r="K15" i="53" s="1"/>
  <c r="H13" i="53"/>
  <c r="K13" i="53" s="1"/>
  <c r="I12" i="53"/>
  <c r="K12" i="53" s="1"/>
  <c r="I11" i="53"/>
  <c r="K11" i="53" s="1"/>
  <c r="I10" i="53"/>
  <c r="K10" i="53" s="1"/>
  <c r="H38" i="52"/>
  <c r="K38" i="52" s="1"/>
  <c r="H37" i="52"/>
  <c r="K37" i="52" s="1"/>
  <c r="H36" i="52"/>
  <c r="K36" i="52" s="1"/>
  <c r="H35" i="52"/>
  <c r="K35" i="52" s="1"/>
  <c r="H34" i="52"/>
  <c r="K34" i="52" s="1"/>
  <c r="K33" i="52"/>
  <c r="H33" i="52"/>
  <c r="H32" i="52"/>
  <c r="K32" i="52" s="1"/>
  <c r="I27" i="52"/>
  <c r="I26" i="52"/>
  <c r="I23" i="52"/>
  <c r="I41" i="52" s="1"/>
  <c r="K41" i="52" s="1"/>
  <c r="I22" i="52"/>
  <c r="I40" i="52" s="1"/>
  <c r="K40" i="52" s="1"/>
  <c r="I19" i="52"/>
  <c r="K20" i="52" s="1"/>
  <c r="H16" i="52"/>
  <c r="K17" i="52" s="1"/>
  <c r="H13" i="52"/>
  <c r="K14" i="52" s="1"/>
  <c r="E24" i="51"/>
  <c r="I22" i="51"/>
  <c r="K22" i="51" s="1"/>
  <c r="E16" i="51"/>
  <c r="H16" i="51" s="1"/>
  <c r="K16" i="51" s="1"/>
  <c r="E15" i="51"/>
  <c r="H15" i="51" s="1"/>
  <c r="K15" i="51" s="1"/>
  <c r="H13" i="51"/>
  <c r="K13" i="51" s="1"/>
  <c r="I12" i="51"/>
  <c r="K12" i="51" s="1"/>
  <c r="I11" i="51"/>
  <c r="K11" i="51" s="1"/>
  <c r="I10" i="51"/>
  <c r="K10" i="51" s="1"/>
  <c r="H38" i="50"/>
  <c r="K38" i="50" s="1"/>
  <c r="H37" i="50"/>
  <c r="K37" i="50" s="1"/>
  <c r="H36" i="50"/>
  <c r="K36" i="50" s="1"/>
  <c r="H35" i="50"/>
  <c r="K35" i="50" s="1"/>
  <c r="H34" i="50"/>
  <c r="K34" i="50" s="1"/>
  <c r="H33" i="50"/>
  <c r="K33" i="50" s="1"/>
  <c r="H32" i="50"/>
  <c r="K32" i="50" s="1"/>
  <c r="I27" i="50"/>
  <c r="I26" i="50"/>
  <c r="K28" i="50" s="1"/>
  <c r="I23" i="50"/>
  <c r="I41" i="50" s="1"/>
  <c r="K41" i="50" s="1"/>
  <c r="I22" i="50"/>
  <c r="I40" i="50" s="1"/>
  <c r="K40" i="50" s="1"/>
  <c r="I19" i="50"/>
  <c r="K20" i="50" s="1"/>
  <c r="H16" i="50"/>
  <c r="K17" i="50" s="1"/>
  <c r="H13" i="50"/>
  <c r="K14" i="50" s="1"/>
  <c r="A20" i="38"/>
  <c r="E21" i="49"/>
  <c r="K22" i="49" s="1"/>
  <c r="I20" i="49"/>
  <c r="K20" i="49" s="1"/>
  <c r="I19" i="49"/>
  <c r="K19" i="49" s="1"/>
  <c r="H14" i="49"/>
  <c r="K14" i="49" s="1"/>
  <c r="I11" i="49"/>
  <c r="K11" i="49" s="1"/>
  <c r="I10" i="49"/>
  <c r="K10" i="49" s="1"/>
  <c r="E21" i="48"/>
  <c r="K22" i="48" s="1"/>
  <c r="I20" i="48"/>
  <c r="K20" i="48" s="1"/>
  <c r="I19" i="48"/>
  <c r="K19" i="48" s="1"/>
  <c r="H14" i="48"/>
  <c r="K14" i="48" s="1"/>
  <c r="I11" i="48"/>
  <c r="K11" i="48" s="1"/>
  <c r="I10" i="48"/>
  <c r="K10" i="48" s="1"/>
  <c r="K24" i="50" l="1"/>
  <c r="K28" i="52"/>
  <c r="K19" i="53"/>
  <c r="D7" i="38" s="1"/>
  <c r="K16" i="48"/>
  <c r="D16" i="38" s="1"/>
  <c r="I42" i="52"/>
  <c r="K42" i="52" s="1"/>
  <c r="K24" i="52"/>
  <c r="K29" i="52" s="1"/>
  <c r="K19" i="51"/>
  <c r="D8" i="38" s="1"/>
  <c r="I42" i="50"/>
  <c r="K42" i="50" s="1"/>
  <c r="K29" i="50"/>
  <c r="K16" i="49"/>
  <c r="K24" i="49"/>
  <c r="K24" i="48"/>
  <c r="K26" i="48" l="1"/>
  <c r="K32" i="48" s="1"/>
  <c r="E16" i="38" s="1"/>
  <c r="K26" i="49"/>
  <c r="D20" i="38"/>
  <c r="K43" i="52"/>
  <c r="K46" i="52" s="1"/>
  <c r="K43" i="50"/>
  <c r="K46" i="50" s="1"/>
  <c r="I10" i="47"/>
  <c r="K10" i="47" s="1"/>
  <c r="I11" i="47"/>
  <c r="K11" i="47" s="1"/>
  <c r="H14" i="47"/>
  <c r="K14" i="47" s="1"/>
  <c r="I19" i="47"/>
  <c r="K19" i="47" s="1"/>
  <c r="I20" i="47"/>
  <c r="K20" i="47" s="1"/>
  <c r="E21" i="47"/>
  <c r="K22" i="47" s="1"/>
  <c r="K30" i="47"/>
  <c r="C16" i="38" l="1"/>
  <c r="K32" i="49"/>
  <c r="E20" i="38" s="1"/>
  <c r="C20" i="38"/>
  <c r="I57" i="52"/>
  <c r="K58" i="52" s="1"/>
  <c r="I50" i="52"/>
  <c r="K52" i="52" s="1"/>
  <c r="I57" i="50"/>
  <c r="K58" i="50" s="1"/>
  <c r="I50" i="50"/>
  <c r="K52" i="50" s="1"/>
  <c r="K16" i="47"/>
  <c r="D12" i="38" s="1"/>
  <c r="K24" i="47"/>
  <c r="K61" i="50" l="1"/>
  <c r="B8" i="38" s="1"/>
  <c r="K61" i="52"/>
  <c r="B7" i="38" s="1"/>
  <c r="I23" i="51"/>
  <c r="K23" i="51" s="1"/>
  <c r="K25" i="51"/>
  <c r="K26" i="47"/>
  <c r="I23" i="53" l="1"/>
  <c r="K23" i="53" s="1"/>
  <c r="K25" i="53"/>
  <c r="K27" i="51"/>
  <c r="K29" i="51" s="1"/>
  <c r="K32" i="47"/>
  <c r="E12" i="38" s="1"/>
  <c r="C12" i="38"/>
  <c r="K27" i="53" l="1"/>
  <c r="K29" i="53" s="1"/>
  <c r="C7" i="38" s="1"/>
  <c r="C8" i="38"/>
  <c r="C6" i="8"/>
  <c r="E7" i="8"/>
  <c r="F7" i="8" s="1"/>
  <c r="K33" i="53" s="1"/>
  <c r="K35" i="53" l="1"/>
  <c r="E7" i="38" s="1"/>
  <c r="C18" i="7"/>
  <c r="E13" i="8" l="1"/>
  <c r="E11" i="8" l="1"/>
  <c r="F11" i="8" l="1"/>
  <c r="F14" i="8"/>
  <c r="F13" i="8"/>
  <c r="E6" i="8"/>
  <c r="F6" i="8" s="1"/>
  <c r="K33" i="51" s="1"/>
  <c r="K35" i="51" s="1"/>
  <c r="E8" i="38" s="1"/>
  <c r="F8" i="8"/>
  <c r="E9" i="8"/>
  <c r="F9" i="8" s="1"/>
  <c r="C9" i="7"/>
  <c r="C9" i="8" s="1"/>
  <c r="A12" i="38" s="1"/>
  <c r="C10" i="7"/>
  <c r="C13" i="7"/>
  <c r="F12" i="8"/>
  <c r="F10" i="8"/>
  <c r="B6" i="7"/>
  <c r="A6" i="7"/>
  <c r="D8" i="10" l="1"/>
  <c r="C10" i="8"/>
  <c r="A13" i="38" s="1"/>
  <c r="B7" i="24" l="1"/>
</calcChain>
</file>

<file path=xl/comments1.xml><?xml version="1.0" encoding="utf-8"?>
<comments xmlns="http://schemas.openxmlformats.org/spreadsheetml/2006/main">
  <authors>
    <author>Pacini, Lain</author>
  </authors>
  <commentList>
    <comment ref="G13" authorId="0" shapeId="0">
      <text>
        <r>
          <rPr>
            <b/>
            <sz val="9"/>
            <color indexed="81"/>
            <rFont val="Tahoma"/>
            <family val="2"/>
          </rPr>
          <t>Pacini, Lain:</t>
        </r>
        <r>
          <rPr>
            <sz val="9"/>
            <color indexed="81"/>
            <rFont val="Tahoma"/>
            <family val="2"/>
          </rPr>
          <t xml:space="preserve">
Based on Babcock proposal.</t>
        </r>
      </text>
    </comment>
    <comment ref="K43" authorId="0" shapeId="0">
      <text>
        <r>
          <rPr>
            <b/>
            <sz val="9"/>
            <color indexed="81"/>
            <rFont val="Tahoma"/>
            <family val="2"/>
          </rPr>
          <t>Pacini, Lain:</t>
        </r>
        <r>
          <rPr>
            <sz val="9"/>
            <color indexed="81"/>
            <rFont val="Tahoma"/>
            <family val="2"/>
          </rPr>
          <t xml:space="preserve">
Assume SDA installation cost are half the capital required for equipment purchases based on SCI engineering estimates (5 years old) for other SDAs.</t>
        </r>
      </text>
    </comment>
    <comment ref="E50" authorId="0" shapeId="0">
      <text>
        <r>
          <rPr>
            <b/>
            <sz val="9"/>
            <color indexed="81"/>
            <rFont val="Tahoma"/>
            <family val="2"/>
          </rPr>
          <t>Pacini, Lain:</t>
        </r>
        <r>
          <rPr>
            <sz val="9"/>
            <color indexed="81"/>
            <rFont val="Tahoma"/>
            <family val="2"/>
          </rPr>
          <t xml:space="preserve">
Internal SDA cost study done by SCI in 2010, which indicated 8%. Used 10% based on inflation.</t>
        </r>
      </text>
    </comment>
    <comment ref="E57" authorId="0" shapeId="0">
      <text>
        <r>
          <rPr>
            <b/>
            <sz val="9"/>
            <color indexed="81"/>
            <rFont val="Tahoma"/>
            <family val="2"/>
          </rPr>
          <t>Pacini, Lain:</t>
        </r>
        <r>
          <rPr>
            <sz val="9"/>
            <color indexed="81"/>
            <rFont val="Tahoma"/>
            <family val="2"/>
          </rPr>
          <t xml:space="preserve">
Midpoint between similar internal SCI SDA cost analysis and other vendor (FTEK SCR) quotes.</t>
        </r>
      </text>
    </comment>
  </commentList>
</comments>
</file>

<file path=xl/comments2.xml><?xml version="1.0" encoding="utf-8"?>
<comments xmlns="http://schemas.openxmlformats.org/spreadsheetml/2006/main">
  <authors>
    <author>Pacini, Lain</author>
  </authors>
  <commentList>
    <comment ref="E15" authorId="0" shapeId="0">
      <text>
        <r>
          <rPr>
            <b/>
            <sz val="9"/>
            <color indexed="81"/>
            <rFont val="Tahoma"/>
            <family val="2"/>
          </rPr>
          <t>Pacini, Lain:</t>
        </r>
        <r>
          <rPr>
            <sz val="9"/>
            <color indexed="81"/>
            <rFont val="Tahoma"/>
            <family val="2"/>
          </rPr>
          <t xml:space="preserve">
Babcock proposal indicates that sorbent injection rate will be 70 lbs/hr</t>
        </r>
      </text>
    </comment>
    <comment ref="G15" authorId="0" shapeId="0">
      <text>
        <r>
          <rPr>
            <b/>
            <sz val="9"/>
            <color indexed="81"/>
            <rFont val="Tahoma"/>
            <family val="2"/>
          </rPr>
          <t>Pacini, Lain:</t>
        </r>
        <r>
          <rPr>
            <sz val="9"/>
            <color indexed="81"/>
            <rFont val="Tahoma"/>
            <family val="2"/>
          </rPr>
          <t xml:space="preserve">
Internet research bulk price.</t>
        </r>
      </text>
    </comment>
    <comment ref="E16" authorId="0" shapeId="0">
      <text>
        <r>
          <rPr>
            <b/>
            <sz val="9"/>
            <color indexed="81"/>
            <rFont val="Tahoma"/>
            <family val="2"/>
          </rPr>
          <t>Pacini, Lain:</t>
        </r>
        <r>
          <rPr>
            <sz val="9"/>
            <color indexed="81"/>
            <rFont val="Tahoma"/>
            <family val="2"/>
          </rPr>
          <t xml:space="preserve">
Babcock indicates 260 kW is required for SDA operation. Assume 8760 hr/yr</t>
        </r>
      </text>
    </comment>
    <comment ref="G16" authorId="0" shapeId="0">
      <text>
        <r>
          <rPr>
            <b/>
            <sz val="9"/>
            <color indexed="81"/>
            <rFont val="Tahoma"/>
            <family val="2"/>
          </rPr>
          <t>Pacini, Lain:</t>
        </r>
        <r>
          <rPr>
            <sz val="9"/>
            <color indexed="81"/>
            <rFont val="Tahoma"/>
            <family val="2"/>
          </rPr>
          <t xml:space="preserve">
Current Per kW price based on GVEA data.</t>
        </r>
      </text>
    </comment>
    <comment ref="E23" authorId="0" shapeId="0">
      <text>
        <r>
          <rPr>
            <b/>
            <sz val="9"/>
            <color indexed="81"/>
            <rFont val="Tahoma"/>
            <family val="2"/>
          </rPr>
          <t>Pacini, Lain:</t>
        </r>
        <r>
          <rPr>
            <sz val="9"/>
            <color indexed="81"/>
            <rFont val="Tahoma"/>
            <family val="2"/>
          </rPr>
          <t xml:space="preserve">
Percentage of total capital investment</t>
        </r>
      </text>
    </comment>
    <comment ref="K33" authorId="0" shapeId="0">
      <text>
        <r>
          <rPr>
            <b/>
            <sz val="9"/>
            <color indexed="81"/>
            <rFont val="Tahoma"/>
            <family val="2"/>
          </rPr>
          <t>Pacini, Lain:</t>
        </r>
        <r>
          <rPr>
            <sz val="9"/>
            <color indexed="81"/>
            <rFont val="Tahoma"/>
            <family val="2"/>
          </rPr>
          <t xml:space="preserve">
Babcock proposal indicates SO2 level of 0.04 lbs/MMBtu (51.8 TPY) can be achieved with SDA.</t>
        </r>
      </text>
    </comment>
  </commentList>
</comments>
</file>

<file path=xl/comments3.xml><?xml version="1.0" encoding="utf-8"?>
<comments xmlns="http://schemas.openxmlformats.org/spreadsheetml/2006/main">
  <authors>
    <author>Pacini, Lain</author>
  </authors>
  <commentList>
    <comment ref="G13" authorId="0" shapeId="0">
      <text>
        <r>
          <rPr>
            <b/>
            <sz val="9"/>
            <color indexed="81"/>
            <rFont val="Tahoma"/>
            <family val="2"/>
          </rPr>
          <t>Pacini, Lain:</t>
        </r>
        <r>
          <rPr>
            <sz val="9"/>
            <color indexed="81"/>
            <rFont val="Tahoma"/>
            <family val="2"/>
          </rPr>
          <t xml:space="preserve">
Based on Babcock proposal.</t>
        </r>
      </text>
    </comment>
    <comment ref="K43" authorId="0" shapeId="0">
      <text>
        <r>
          <rPr>
            <b/>
            <sz val="9"/>
            <color indexed="81"/>
            <rFont val="Tahoma"/>
            <family val="2"/>
          </rPr>
          <t>Pacini, Lain:</t>
        </r>
        <r>
          <rPr>
            <sz val="9"/>
            <color indexed="81"/>
            <rFont val="Tahoma"/>
            <family val="2"/>
          </rPr>
          <t xml:space="preserve">
Assume DSI installation cost are 30% of the capital required for equipment purchases based on SCI engineering estimates (5 years old) for other DSI systems and assume 10% increase for inflation.</t>
        </r>
      </text>
    </comment>
    <comment ref="E50" authorId="0" shapeId="0">
      <text>
        <r>
          <rPr>
            <b/>
            <sz val="9"/>
            <color indexed="81"/>
            <rFont val="Tahoma"/>
            <family val="2"/>
          </rPr>
          <t>Pacini, Lain:</t>
        </r>
        <r>
          <rPr>
            <sz val="9"/>
            <color indexed="81"/>
            <rFont val="Tahoma"/>
            <family val="2"/>
          </rPr>
          <t xml:space="preserve">
Internal DSI cost study done by SCI in 2010, which indicated 8%. Used 10% based on inflation.</t>
        </r>
      </text>
    </comment>
    <comment ref="E57" authorId="0" shapeId="0">
      <text>
        <r>
          <rPr>
            <b/>
            <sz val="9"/>
            <color indexed="81"/>
            <rFont val="Tahoma"/>
            <family val="2"/>
          </rPr>
          <t>Pacini, Lain:</t>
        </r>
        <r>
          <rPr>
            <sz val="9"/>
            <color indexed="81"/>
            <rFont val="Tahoma"/>
            <family val="2"/>
          </rPr>
          <t xml:space="preserve">
Midpoint between similar internal DSI cost analysis and other vendor (FTEK SCR) quotes.</t>
        </r>
      </text>
    </comment>
  </commentList>
</comments>
</file>

<file path=xl/comments4.xml><?xml version="1.0" encoding="utf-8"?>
<comments xmlns="http://schemas.openxmlformats.org/spreadsheetml/2006/main">
  <authors>
    <author>Pacini, Lain</author>
  </authors>
  <commentList>
    <comment ref="D15" authorId="0" shapeId="0">
      <text>
        <r>
          <rPr>
            <b/>
            <sz val="9"/>
            <color indexed="81"/>
            <rFont val="Tahoma"/>
            <family val="2"/>
          </rPr>
          <t>Pacini, Lain:</t>
        </r>
        <r>
          <rPr>
            <sz val="9"/>
            <color indexed="81"/>
            <rFont val="Tahoma"/>
            <family val="2"/>
          </rPr>
          <t xml:space="preserve">
Sodium Bicarbonate was used in the quote from Babcock; however, hydrated lime would likely be the preferred sorbent. Even when using hydrated lime as the sorbent, the DSI would still not be cost effective for SO2 control.</t>
        </r>
      </text>
    </comment>
    <comment ref="E15" authorId="0" shapeId="0">
      <text>
        <r>
          <rPr>
            <b/>
            <sz val="9"/>
            <color indexed="81"/>
            <rFont val="Tahoma"/>
            <family val="2"/>
          </rPr>
          <t>Pacini, Lain:</t>
        </r>
        <r>
          <rPr>
            <sz val="9"/>
            <color indexed="81"/>
            <rFont val="Tahoma"/>
            <family val="2"/>
          </rPr>
          <t xml:space="preserve">
Babcock proposal indicates that sorbent injection rate will be 300 lbs/hr</t>
        </r>
      </text>
    </comment>
    <comment ref="G15" authorId="0" shapeId="0">
      <text>
        <r>
          <rPr>
            <b/>
            <sz val="9"/>
            <color indexed="81"/>
            <rFont val="Tahoma"/>
            <family val="2"/>
          </rPr>
          <t>Pacini, Lain:</t>
        </r>
        <r>
          <rPr>
            <sz val="9"/>
            <color indexed="81"/>
            <rFont val="Tahoma"/>
            <family val="2"/>
          </rPr>
          <t xml:space="preserve">
Internet research bulk price.</t>
        </r>
      </text>
    </comment>
    <comment ref="E16" authorId="0" shapeId="0">
      <text>
        <r>
          <rPr>
            <b/>
            <sz val="9"/>
            <color indexed="81"/>
            <rFont val="Tahoma"/>
            <family val="2"/>
          </rPr>
          <t>Pacini, Lain:</t>
        </r>
        <r>
          <rPr>
            <sz val="9"/>
            <color indexed="81"/>
            <rFont val="Tahoma"/>
            <family val="2"/>
          </rPr>
          <t xml:space="preserve">
Babcock indicates 200 kW is required for DSI operation. Assume 8760 hr/yr</t>
        </r>
      </text>
    </comment>
    <comment ref="G16" authorId="0" shapeId="0">
      <text>
        <r>
          <rPr>
            <b/>
            <sz val="9"/>
            <color indexed="81"/>
            <rFont val="Tahoma"/>
            <family val="2"/>
          </rPr>
          <t>Pacini, Lain:</t>
        </r>
        <r>
          <rPr>
            <sz val="9"/>
            <color indexed="81"/>
            <rFont val="Tahoma"/>
            <family val="2"/>
          </rPr>
          <t xml:space="preserve">
Current Per kW price based on GVEA data.</t>
        </r>
      </text>
    </comment>
    <comment ref="E23" authorId="0" shapeId="0">
      <text>
        <r>
          <rPr>
            <b/>
            <sz val="9"/>
            <color indexed="81"/>
            <rFont val="Tahoma"/>
            <family val="2"/>
          </rPr>
          <t>Pacini, Lain:</t>
        </r>
        <r>
          <rPr>
            <sz val="9"/>
            <color indexed="81"/>
            <rFont val="Tahoma"/>
            <family val="2"/>
          </rPr>
          <t xml:space="preserve">
Percentage of total capital investment</t>
        </r>
      </text>
    </comment>
    <comment ref="K33" authorId="0" shapeId="0">
      <text>
        <r>
          <rPr>
            <b/>
            <sz val="9"/>
            <color indexed="81"/>
            <rFont val="Tahoma"/>
            <family val="2"/>
          </rPr>
          <t>Pacini, Lain:</t>
        </r>
        <r>
          <rPr>
            <sz val="9"/>
            <color indexed="81"/>
            <rFont val="Tahoma"/>
            <family val="2"/>
          </rPr>
          <t xml:space="preserve">
Babcock proposal indicates SO2 level of 0.05 lbs/MMBtu (64.7 TPY) can be achieved with DSI.</t>
        </r>
      </text>
    </comment>
  </commentList>
</comments>
</file>

<file path=xl/comments5.xml><?xml version="1.0" encoding="utf-8"?>
<comments xmlns="http://schemas.openxmlformats.org/spreadsheetml/2006/main">
  <authors>
    <author>Pacini, Lain</author>
    <author>Courtney Kimball</author>
  </authors>
  <commentList>
    <comment ref="E14" authorId="0" shapeId="0">
      <text>
        <r>
          <rPr>
            <b/>
            <sz val="9"/>
            <color indexed="81"/>
            <rFont val="Tahoma"/>
            <family val="2"/>
          </rPr>
          <t>Pacini, Lain:</t>
        </r>
        <r>
          <rPr>
            <sz val="9"/>
            <color indexed="81"/>
            <rFont val="Tahoma"/>
            <family val="2"/>
          </rPr>
          <t xml:space="preserve">
Based on unlimited boiler operation. 180.9 MMBtu/hr @ 8760 hrs/yr</t>
        </r>
      </text>
    </comment>
    <comment ref="G14" authorId="1" shapeId="0">
      <text>
        <r>
          <rPr>
            <b/>
            <sz val="9"/>
            <color indexed="81"/>
            <rFont val="Tahoma"/>
            <family val="2"/>
          </rPr>
          <t>Courtney Kimball:</t>
        </r>
        <r>
          <rPr>
            <sz val="9"/>
            <color indexed="81"/>
            <rFont val="Tahoma"/>
            <family val="2"/>
          </rPr>
          <t xml:space="preserve">
Based on review of UAF's fuel costs from FY 2011 through 2016. Average of the FY 2014 through 2016 is used, which is 28 cents per gallon more to use ULSD.</t>
        </r>
      </text>
    </comment>
    <comment ref="K30" authorId="0" shapeId="0">
      <text>
        <r>
          <rPr>
            <b/>
            <sz val="9"/>
            <color indexed="81"/>
            <rFont val="Tahoma"/>
            <family val="2"/>
          </rPr>
          <t>Pacini, Lain:</t>
        </r>
        <r>
          <rPr>
            <sz val="9"/>
            <color indexed="81"/>
            <rFont val="Tahoma"/>
            <family val="2"/>
          </rPr>
          <t xml:space="preserve">
Based on difference in emissions for 0.5% sulfur (410.6 TPY) vs. 0.0015% sulfur (1.2 TPY) for USLD.</t>
        </r>
      </text>
    </comment>
  </commentList>
</comments>
</file>

<file path=xl/comments6.xml><?xml version="1.0" encoding="utf-8"?>
<comments xmlns="http://schemas.openxmlformats.org/spreadsheetml/2006/main">
  <authors>
    <author>Pacini, Lain</author>
    <author>Courtney Kimball</author>
  </authors>
  <commentList>
    <comment ref="E14" authorId="0" shapeId="0">
      <text>
        <r>
          <rPr>
            <b/>
            <sz val="9"/>
            <color indexed="81"/>
            <rFont val="Tahoma"/>
            <family val="2"/>
          </rPr>
          <t>Pacini, Lain:</t>
        </r>
        <r>
          <rPr>
            <sz val="9"/>
            <color indexed="81"/>
            <rFont val="Tahoma"/>
            <family val="2"/>
          </rPr>
          <t xml:space="preserve">
Based on permit limit 10% capacity factor.</t>
        </r>
      </text>
    </comment>
    <comment ref="G14" authorId="1" shapeId="0">
      <text>
        <r>
          <rPr>
            <b/>
            <sz val="9"/>
            <color indexed="81"/>
            <rFont val="Tahoma"/>
            <family val="2"/>
          </rPr>
          <t>Courtney Kimball:</t>
        </r>
        <r>
          <rPr>
            <sz val="9"/>
            <color indexed="81"/>
            <rFont val="Tahoma"/>
            <family val="2"/>
          </rPr>
          <t xml:space="preserve">
Based on review of UAF's fuel costs from FY 2011 through 2016. Average of the FY 2014 through 2016 is used, which is 28 cents per gallon more to use ULSD.</t>
        </r>
      </text>
    </comment>
    <comment ref="K30" authorId="0" shapeId="0">
      <text>
        <r>
          <rPr>
            <b/>
            <sz val="9"/>
            <color indexed="81"/>
            <rFont val="Tahoma"/>
            <family val="2"/>
          </rPr>
          <t>Pacini, Lain:</t>
        </r>
        <r>
          <rPr>
            <sz val="9"/>
            <color indexed="81"/>
            <rFont val="Tahoma"/>
            <family val="2"/>
          </rPr>
          <t xml:space="preserve">
Based on difference in emissions for 0.5% sulfur (41.1 TPY) vs. 0.0015% sulfur (0.12 TPY) for ULSD.</t>
        </r>
      </text>
    </comment>
  </commentList>
</comments>
</file>

<file path=xl/comments7.xml><?xml version="1.0" encoding="utf-8"?>
<comments xmlns="http://schemas.openxmlformats.org/spreadsheetml/2006/main">
  <authors>
    <author>Pacini, Lain</author>
    <author>Courtney Kimball</author>
  </authors>
  <commentList>
    <comment ref="E14" authorId="0" shapeId="0">
      <text>
        <r>
          <rPr>
            <b/>
            <sz val="9"/>
            <color indexed="81"/>
            <rFont val="Tahoma"/>
            <family val="2"/>
          </rPr>
          <t>Pacini, Lain:</t>
        </r>
        <r>
          <rPr>
            <sz val="9"/>
            <color indexed="81"/>
            <rFont val="Tahoma"/>
            <family val="2"/>
          </rPr>
          <t xml:space="preserve">
Based on 1,403,509 gals/yr. That is the equivalent amount based on the permitted NOx limit. Used 137 MMBTU/1000 gals.</t>
        </r>
      </text>
    </comment>
    <comment ref="G14" authorId="1" shapeId="0">
      <text>
        <r>
          <rPr>
            <b/>
            <sz val="9"/>
            <color indexed="81"/>
            <rFont val="Tahoma"/>
            <family val="2"/>
          </rPr>
          <t>Courtney Kimball:</t>
        </r>
        <r>
          <rPr>
            <sz val="9"/>
            <color indexed="81"/>
            <rFont val="Tahoma"/>
            <family val="2"/>
          </rPr>
          <t xml:space="preserve">
Based on review of UAF's fuel costs from FY 2011 through 2016. Average of the FY 2014 through 2016 is used, which is 28 cents per gallon more to use ULSD.</t>
        </r>
      </text>
    </comment>
    <comment ref="K30" authorId="0" shapeId="0">
      <text>
        <r>
          <rPr>
            <b/>
            <sz val="9"/>
            <color indexed="81"/>
            <rFont val="Tahoma"/>
            <family val="2"/>
          </rPr>
          <t>Pacini, Lain:</t>
        </r>
        <r>
          <rPr>
            <sz val="9"/>
            <color indexed="81"/>
            <rFont val="Tahoma"/>
            <family val="2"/>
          </rPr>
          <t xml:space="preserve">
Based on difference in emissions for 0.5% sulfur (55.6 TPY) vs. 0.0015% sulfur (0.17 TPY) for ULSD.</t>
        </r>
      </text>
    </comment>
  </commentList>
</comments>
</file>

<file path=xl/sharedStrings.xml><?xml version="1.0" encoding="utf-8"?>
<sst xmlns="http://schemas.openxmlformats.org/spreadsheetml/2006/main" count="773" uniqueCount="263">
  <si>
    <t xml:space="preserve"> </t>
  </si>
  <si>
    <t>Capital Costs</t>
  </si>
  <si>
    <t>DIRECT COSTS</t>
  </si>
  <si>
    <t>=</t>
  </si>
  <si>
    <t>Total Direct Costs (TDC)</t>
  </si>
  <si>
    <t>INDIRECT COSTS</t>
  </si>
  <si>
    <t>Total Indirect Costs (TIC)</t>
  </si>
  <si>
    <t>MANAGEMENT AND CONTINGENCY COSTS</t>
  </si>
  <si>
    <t>Total Management and Contingency Costs (TM&amp;CC)</t>
  </si>
  <si>
    <t>TOTAL CAPITAL INVESTMENT (TCI)</t>
  </si>
  <si>
    <t>Annualized Costs</t>
  </si>
  <si>
    <t>DIRECT ANNUAL COSTS</t>
  </si>
  <si>
    <t>Total Direct Annual Costs (TDAC)</t>
  </si>
  <si>
    <t>INDIRECT ANNUAL COSTS</t>
  </si>
  <si>
    <t>Total Indirect Annual Costs (TIAC)</t>
  </si>
  <si>
    <t>Cost Effectiveness Summary</t>
  </si>
  <si>
    <t>Emission Unit</t>
  </si>
  <si>
    <t>Fuel</t>
  </si>
  <si>
    <t>ID</t>
  </si>
  <si>
    <t>Solar Taurus Turbine</t>
  </si>
  <si>
    <t>Fuel Gas</t>
  </si>
  <si>
    <t>Available Control</t>
  </si>
  <si>
    <t>Description</t>
  </si>
  <si>
    <t>Options</t>
  </si>
  <si>
    <t>Distillate-fired Engines</t>
  </si>
  <si>
    <t>Technically Feasible</t>
  </si>
  <si>
    <t>Control Options</t>
  </si>
  <si>
    <t>Control</t>
  </si>
  <si>
    <t>Emissions</t>
  </si>
  <si>
    <t>Technology</t>
  </si>
  <si>
    <t>Efficiency (pct.)</t>
  </si>
  <si>
    <t>(tpy)</t>
  </si>
  <si>
    <t>Reduction (tpy)</t>
  </si>
  <si>
    <t>Waste Incinerator</t>
  </si>
  <si>
    <t>ULSD</t>
  </si>
  <si>
    <t>113 and 114</t>
  </si>
  <si>
    <t>Flares</t>
  </si>
  <si>
    <t>Good Combustion Practices</t>
  </si>
  <si>
    <t>101 and 102</t>
  </si>
  <si>
    <t>Dual Fuel-fired</t>
  </si>
  <si>
    <t>103 and 104</t>
  </si>
  <si>
    <t xml:space="preserve"> Summary for Each Emission Unit Type</t>
  </si>
  <si>
    <t>Control Technology Option</t>
  </si>
  <si>
    <t>~</t>
  </si>
  <si>
    <t>Notes:</t>
  </si>
  <si>
    <t>Emission Rate for Each Emission Unit Type</t>
  </si>
  <si>
    <t>Emission Rate</t>
  </si>
  <si>
    <t>1.0 g/hp-hr</t>
  </si>
  <si>
    <r>
      <t>1</t>
    </r>
    <r>
      <rPr>
        <sz val="10"/>
        <rFont val="Helvetica"/>
        <family val="2"/>
      </rPr>
      <t xml:space="preserve"> Emissions are on a per unit basis.</t>
    </r>
  </si>
  <si>
    <r>
      <t xml:space="preserve">25 ppm at </t>
    </r>
    <r>
      <rPr>
        <sz val="10"/>
        <color rgb="FFFF0000"/>
        <rFont val="Arial"/>
        <family val="2"/>
      </rPr>
      <t>≥</t>
    </r>
    <r>
      <rPr>
        <sz val="10"/>
        <color rgb="FFFF0000"/>
        <rFont val="Helvetica"/>
        <family val="2"/>
      </rPr>
      <t>10 degrees F (in SoLoNO</t>
    </r>
    <r>
      <rPr>
        <vertAlign val="subscript"/>
        <sz val="10"/>
        <color rgb="FFFF0000"/>
        <rFont val="Helvetica"/>
        <family val="2"/>
      </rPr>
      <t>X</t>
    </r>
    <r>
      <rPr>
        <sz val="10"/>
        <color rgb="FFFF0000"/>
        <rFont val="Helvetica"/>
        <family val="2"/>
      </rPr>
      <t xml:space="preserve"> mode)</t>
    </r>
  </si>
  <si>
    <r>
      <t>4.0 g/KW-hr (NO</t>
    </r>
    <r>
      <rPr>
        <vertAlign val="subscript"/>
        <sz val="10"/>
        <color rgb="FFFF0000"/>
        <rFont val="Helvetica"/>
        <family val="2"/>
      </rPr>
      <t>X</t>
    </r>
    <r>
      <rPr>
        <sz val="10"/>
        <color rgb="FFFF0000"/>
        <rFont val="Helvetica"/>
        <family val="2"/>
      </rPr>
      <t xml:space="preserve"> and HC, combined)</t>
    </r>
  </si>
  <si>
    <t>106 through 109, 115, and 116</t>
  </si>
  <si>
    <r>
      <t xml:space="preserve">100 ppm at </t>
    </r>
    <r>
      <rPr>
        <sz val="10"/>
        <color rgb="FFFF0000"/>
        <rFont val="Arial"/>
        <family val="2"/>
      </rPr>
      <t>≥</t>
    </r>
    <r>
      <rPr>
        <sz val="10"/>
        <color rgb="FFFF0000"/>
        <rFont val="Helvetica"/>
        <family val="2"/>
      </rPr>
      <t>10 degrees F (in SoLoNO</t>
    </r>
    <r>
      <rPr>
        <vertAlign val="subscript"/>
        <sz val="10"/>
        <color rgb="FFFF0000"/>
        <rFont val="Helvetica"/>
        <family val="2"/>
      </rPr>
      <t>X</t>
    </r>
    <r>
      <rPr>
        <sz val="10"/>
        <color rgb="FFFF0000"/>
        <rFont val="Helvetica"/>
        <family val="2"/>
      </rPr>
      <t xml:space="preserve"> mode)</t>
    </r>
  </si>
  <si>
    <t>Catalytic Oxidation</t>
  </si>
  <si>
    <t>None</t>
  </si>
  <si>
    <r>
      <t>CO</t>
    </r>
    <r>
      <rPr>
        <b/>
        <sz val="10"/>
        <color indexed="8"/>
        <rFont val="Helvetica"/>
        <family val="2"/>
      </rPr>
      <t xml:space="preserve"> BACT</t>
    </r>
  </si>
  <si>
    <t>110 through 112</t>
  </si>
  <si>
    <t>Fine Water Mist Supply and Firewater Pumps</t>
  </si>
  <si>
    <t>Table 5-22.  Point Thomson Project - Proposed VOC BACT and Associated</t>
  </si>
  <si>
    <t>0.00247 lb/hp-hr</t>
  </si>
  <si>
    <t>0.19 g/KW-hr</t>
  </si>
  <si>
    <r>
      <t>2</t>
    </r>
    <r>
      <rPr>
        <sz val="10"/>
        <rFont val="Helvetica"/>
        <family val="2"/>
      </rPr>
      <t xml:space="preserve">  ULSD fired engines have NSPS Subpart IIII VOC emission limits.</t>
    </r>
  </si>
  <si>
    <t>Large Coal-fired Boiler</t>
  </si>
  <si>
    <t>Small Diesel-fired Boilers</t>
  </si>
  <si>
    <t>Mid-sized Diesel-fired Boilers</t>
  </si>
  <si>
    <t>Large Diesel-fired Engine</t>
  </si>
  <si>
    <t>Limited Operation</t>
  </si>
  <si>
    <t>Small Diesel-fired Engines</t>
  </si>
  <si>
    <t>9A</t>
  </si>
  <si>
    <t>Small Diesel-fired Engine</t>
  </si>
  <si>
    <t>Large Coal and Biomass-fired Boiler</t>
  </si>
  <si>
    <t>Mid-Sized Diesel-fired Boiler</t>
  </si>
  <si>
    <t>Mid-Sized Diesel and Natural Gas-fired Boiler</t>
  </si>
  <si>
    <t>Limestone Injection</t>
  </si>
  <si>
    <t>Low Sulfur Coal</t>
  </si>
  <si>
    <t>Mid-sized Diesel and Dual Fuel-fired Boilers</t>
  </si>
  <si>
    <t>ULSD + (Limited Operation)</t>
  </si>
  <si>
    <t>ULSD + Limited Operation</t>
  </si>
  <si>
    <t>Coal and Biomass</t>
  </si>
  <si>
    <t>Mid-sized Boiler</t>
  </si>
  <si>
    <t>Diesel</t>
  </si>
  <si>
    <t>Large Boiler</t>
  </si>
  <si>
    <t>Large Engine</t>
  </si>
  <si>
    <t>Small Engine</t>
  </si>
  <si>
    <t>Waste</t>
  </si>
  <si>
    <t>Natural Gas</t>
  </si>
  <si>
    <t>Small Boilers</t>
  </si>
  <si>
    <t>Shaded cells indicate user inputs.</t>
  </si>
  <si>
    <t>Total Capital Investment Determination - SDA (Spray Dryer Absorber)</t>
  </si>
  <si>
    <t>Date:</t>
  </si>
  <si>
    <t xml:space="preserve">Project: </t>
  </si>
  <si>
    <t>Prepared By:</t>
  </si>
  <si>
    <t>L. Pacini</t>
  </si>
  <si>
    <t>Checked By:</t>
  </si>
  <si>
    <t>Rev:</t>
  </si>
  <si>
    <t>A</t>
  </si>
  <si>
    <t>QTY</t>
  </si>
  <si>
    <t>UNIT</t>
  </si>
  <si>
    <t>UNIT COST</t>
  </si>
  <si>
    <t xml:space="preserve"> TOTAL MATERIALS COST</t>
  </si>
  <si>
    <t xml:space="preserve"> TOTAL LABOR COST</t>
  </si>
  <si>
    <t>(1)</t>
  </si>
  <si>
    <t>Purchased equipment and material costs</t>
  </si>
  <si>
    <t>(a)</t>
  </si>
  <si>
    <t>Basic equipment</t>
  </si>
  <si>
    <t>Total SDA System</t>
  </si>
  <si>
    <t>EA</t>
  </si>
  <si>
    <t>TOTAL =</t>
  </si>
  <si>
    <t>(b)</t>
  </si>
  <si>
    <t>Instrumentation</t>
  </si>
  <si>
    <t>Total Instrumentation</t>
  </si>
  <si>
    <t>(c)</t>
  </si>
  <si>
    <t>Freight</t>
  </si>
  <si>
    <t>SDA Freight</t>
  </si>
  <si>
    <t>% MATL COST</t>
  </si>
  <si>
    <t>(d)</t>
  </si>
  <si>
    <t>Labor</t>
  </si>
  <si>
    <t>Labor - offsite fab</t>
  </si>
  <si>
    <t>MH</t>
  </si>
  <si>
    <t>Labor - onsite</t>
  </si>
  <si>
    <t>(e)</t>
  </si>
  <si>
    <t>Vendor representatives fees</t>
  </si>
  <si>
    <t>Fab Site Vendor Representatives fees (enter no. of days and daily rate)</t>
  </si>
  <si>
    <t>Days</t>
  </si>
  <si>
    <t>Onsite Vendor Representatives fees (enter no. of days and daily rate)</t>
  </si>
  <si>
    <t>Purchased Equipment and Material Cost (PEMC)</t>
  </si>
  <si>
    <t>All above costs included in vendor scope.</t>
  </si>
  <si>
    <t xml:space="preserve"> PEMC   =</t>
  </si>
  <si>
    <t>(2)</t>
  </si>
  <si>
    <t>Direct Installation Costs</t>
  </si>
  <si>
    <t>Concrete</t>
  </si>
  <si>
    <t>CY</t>
  </si>
  <si>
    <t>Piling</t>
  </si>
  <si>
    <t>TON</t>
  </si>
  <si>
    <t>Structural steel</t>
  </si>
  <si>
    <t>Electrical</t>
  </si>
  <si>
    <t>LOT</t>
  </si>
  <si>
    <t>(e )</t>
  </si>
  <si>
    <t>Painting</t>
  </si>
  <si>
    <t>SF</t>
  </si>
  <si>
    <t>(f)</t>
  </si>
  <si>
    <t>Insulation</t>
  </si>
  <si>
    <t>(g)</t>
  </si>
  <si>
    <t>Abovegrade piping</t>
  </si>
  <si>
    <t>LF</t>
  </si>
  <si>
    <t>(h)</t>
  </si>
  <si>
    <t>Functional Checkouts</t>
  </si>
  <si>
    <t>Functional Checkout  - fab site, enter %:</t>
  </si>
  <si>
    <t>% offsite fab labor</t>
  </si>
  <si>
    <t>% onsite fab labor</t>
  </si>
  <si>
    <t>Contractor Commissioning, enter %:</t>
  </si>
  <si>
    <t>% of equipment  total cost</t>
  </si>
  <si>
    <t>Direct Installation Costs (DIC) - 1/2 x SDA Equipment Capital</t>
  </si>
  <si>
    <t xml:space="preserve"> DIC   =</t>
  </si>
  <si>
    <t>TDC = (PEMC) + (DIC)  =</t>
  </si>
  <si>
    <t>(3)</t>
  </si>
  <si>
    <t>Engineering, Procurement &amp; Construction Support Services</t>
  </si>
  <si>
    <t>% TDC</t>
  </si>
  <si>
    <t>(4)</t>
  </si>
  <si>
    <t>Performance tests</t>
  </si>
  <si>
    <t>TIC   =</t>
  </si>
  <si>
    <t>(5)</t>
  </si>
  <si>
    <t>Unit Operator Costs</t>
  </si>
  <si>
    <t>Excluded in this estimate.</t>
  </si>
  <si>
    <t>(6)</t>
  </si>
  <si>
    <t>Contingency</t>
  </si>
  <si>
    <t xml:space="preserve">TM &amp; CC   =   </t>
  </si>
  <si>
    <t xml:space="preserve">TCI  =  (TDC)+(TIC)+(TM&amp;CC)  = </t>
  </si>
  <si>
    <t>Shaded cells indicate user inputs</t>
  </si>
  <si>
    <t xml:space="preserve">Project:  </t>
  </si>
  <si>
    <t>TOTAL</t>
  </si>
  <si>
    <t>Operating Labor</t>
  </si>
  <si>
    <t>Excluded</t>
  </si>
  <si>
    <t>Supervisory Labor</t>
  </si>
  <si>
    <t>Maintenance Labor</t>
  </si>
  <si>
    <t>Maintenance Materials</t>
  </si>
  <si>
    <t>Utilities</t>
  </si>
  <si>
    <t>Hydrated Lime:</t>
  </si>
  <si>
    <t>Electricity:</t>
  </si>
  <si>
    <t>KWH</t>
  </si>
  <si>
    <t xml:space="preserve"> TDAC   =</t>
  </si>
  <si>
    <t>Overhead</t>
  </si>
  <si>
    <t>%</t>
  </si>
  <si>
    <t>(7)</t>
  </si>
  <si>
    <t>% total capital</t>
  </si>
  <si>
    <t>Capital Recovery Factor [see inputs below]</t>
  </si>
  <si>
    <t>(8)</t>
  </si>
  <si>
    <t>Capital Recovery</t>
  </si>
  <si>
    <t xml:space="preserve">CRF * TCI  = </t>
  </si>
  <si>
    <t xml:space="preserve"> TIAC   =</t>
  </si>
  <si>
    <t>TOTAL ANNUALIZED COSTS (TAC)</t>
  </si>
  <si>
    <t>TAC = (TDAC) + (TIAC)  =</t>
  </si>
  <si>
    <t>TOTAL TONS SO2 AVOIDED PER YEAR</t>
  </si>
  <si>
    <t>COST EFFECTIVENESS ($ PER TON AVOIDED)</t>
  </si>
  <si>
    <t xml:space="preserve">(TAC)/(TPY)   = </t>
  </si>
  <si>
    <t>Data Inputs for Capital Recovery Factor:</t>
  </si>
  <si>
    <t xml:space="preserve">Annual Interest Rate (EPA OAQPS Control Cost Manual)  </t>
  </si>
  <si>
    <t xml:space="preserve">Project Life (EPA OAQPS Control Cost Manual) </t>
  </si>
  <si>
    <t>years</t>
  </si>
  <si>
    <t>Table 5-4.  UAF - Capital Costs for SDA on</t>
  </si>
  <si>
    <t>the Large Coal-fired Boiler (EU ID 113)</t>
  </si>
  <si>
    <t>Table 5-5.  UAF - Annualized Costs for SDA on</t>
  </si>
  <si>
    <t>(per Babcock &amp; Wilcox)</t>
  </si>
  <si>
    <t>Large Coal-fired Engine (EU ID 113)</t>
  </si>
  <si>
    <t>Total Installed Capital ($)</t>
  </si>
  <si>
    <t>Annualized Capital Cost ($/year)</t>
  </si>
  <si>
    <t>DSI System Freight</t>
  </si>
  <si>
    <t>Total DSI System</t>
  </si>
  <si>
    <t>Total Capital Investment Determination - DSI (Dry Sorbent Injection)</t>
  </si>
  <si>
    <t>Sodium Bicarbonate:</t>
  </si>
  <si>
    <t>Table 5-6.  UAF - Capital Costs for DSI on</t>
  </si>
  <si>
    <t>Table 5-7.  UAF - Annualized Costs for DSI on</t>
  </si>
  <si>
    <t>0.2 lb/MMBtu</t>
  </si>
  <si>
    <t>% of capital</t>
  </si>
  <si>
    <t>excluded in this estimate</t>
  </si>
  <si>
    <t>MMBTU</t>
  </si>
  <si>
    <t>ULSD Costs:</t>
  </si>
  <si>
    <t>Repair &amp; Replacement Costs</t>
  </si>
  <si>
    <t>Operating &amp; Maintenance Costs</t>
  </si>
  <si>
    <t>J. Rubino</t>
  </si>
  <si>
    <t>Cost Effectiveness Determination - ULSD Fuel Switch - No Additional Tank Storage</t>
  </si>
  <si>
    <t xml:space="preserve">                    </t>
  </si>
  <si>
    <t>Table 5-8.  UAF - Annualized Costs for ULSD on</t>
  </si>
  <si>
    <t>Table 5-9.  UAF - Annualized Costs for ULSD on</t>
  </si>
  <si>
    <t>Table 5-10.  UAF - Annualized Costs for ULSD on</t>
  </si>
  <si>
    <t>the Large Diesel-fired Engine (EU ID 8)</t>
  </si>
  <si>
    <t>the Mid-sized Diesel-fired Boiler (EU ID 4)</t>
  </si>
  <si>
    <t>the Mid-sized Diesel-fired Boiler (EU ID 3)</t>
  </si>
  <si>
    <t>Large Diesel-fired Engine (EU ID 8)</t>
  </si>
  <si>
    <t>B</t>
  </si>
  <si>
    <t>Direct Installation Costs (DIC) - 30% x DSI Equipment Capital</t>
  </si>
  <si>
    <t>SDA</t>
  </si>
  <si>
    <t>DSI</t>
  </si>
  <si>
    <t>Mid-sized Diesel-fired Boiler (EU ID 3)</t>
  </si>
  <si>
    <t>Mid-sized Diesel-fired Boiler (EU ID 4)</t>
  </si>
  <si>
    <r>
      <t>Table 5-2.  UAF - Technically Feasible SO</t>
    </r>
    <r>
      <rPr>
        <b/>
        <vertAlign val="subscript"/>
        <sz val="11"/>
        <rFont val="Arial"/>
        <family val="2"/>
      </rPr>
      <t>2</t>
    </r>
    <r>
      <rPr>
        <b/>
        <sz val="11"/>
        <rFont val="Arial"/>
        <family val="2"/>
      </rPr>
      <t xml:space="preserve"> Control Options</t>
    </r>
  </si>
  <si>
    <r>
      <t>Table 5-3. UAF - Ranking of Technically Feasible SO</t>
    </r>
    <r>
      <rPr>
        <b/>
        <vertAlign val="subscript"/>
        <sz val="11"/>
        <rFont val="Arial"/>
        <family val="2"/>
      </rPr>
      <t>2</t>
    </r>
    <r>
      <rPr>
        <b/>
        <sz val="11"/>
        <rFont val="Arial"/>
        <family val="2"/>
      </rPr>
      <t xml:space="preserve"> Control Options</t>
    </r>
  </si>
  <si>
    <r>
      <t>SO</t>
    </r>
    <r>
      <rPr>
        <b/>
        <vertAlign val="subscript"/>
        <sz val="11"/>
        <rFont val="Arial"/>
        <family val="2"/>
      </rPr>
      <t>2</t>
    </r>
    <r>
      <rPr>
        <b/>
        <sz val="11"/>
        <rFont val="Arial"/>
        <family val="2"/>
      </rPr>
      <t xml:space="preserve"> Emissions</t>
    </r>
  </si>
  <si>
    <r>
      <t xml:space="preserve">1 </t>
    </r>
    <r>
      <rPr>
        <sz val="11"/>
        <rFont val="Arial"/>
        <family val="2"/>
      </rPr>
      <t>This technology is proposed as the baseline case.</t>
    </r>
  </si>
  <si>
    <r>
      <t>Table 5-12.  UAF - Proposed SO</t>
    </r>
    <r>
      <rPr>
        <b/>
        <vertAlign val="subscript"/>
        <sz val="11"/>
        <color indexed="8"/>
        <rFont val="Arial"/>
        <family val="2"/>
      </rPr>
      <t>2</t>
    </r>
    <r>
      <rPr>
        <b/>
        <sz val="11"/>
        <color indexed="8"/>
        <rFont val="Arial"/>
        <family val="2"/>
      </rPr>
      <t xml:space="preserve"> BACT and Associated</t>
    </r>
  </si>
  <si>
    <r>
      <t>SO</t>
    </r>
    <r>
      <rPr>
        <b/>
        <vertAlign val="subscript"/>
        <sz val="11"/>
        <color indexed="8"/>
        <rFont val="Arial"/>
        <family val="2"/>
      </rPr>
      <t>2</t>
    </r>
    <r>
      <rPr>
        <b/>
        <sz val="11"/>
        <color indexed="8"/>
        <rFont val="Arial"/>
        <family val="2"/>
      </rPr>
      <t xml:space="preserve"> BACT</t>
    </r>
  </si>
  <si>
    <r>
      <t>1</t>
    </r>
    <r>
      <rPr>
        <sz val="11"/>
        <rFont val="Arial"/>
        <family val="2"/>
      </rPr>
      <t xml:space="preserve"> Emissions are on a per unit basis.</t>
    </r>
  </si>
  <si>
    <r>
      <t>Annual O&amp;M Cost ($/year)</t>
    </r>
    <r>
      <rPr>
        <b/>
        <vertAlign val="superscript"/>
        <sz val="11"/>
        <rFont val="Arial"/>
        <family val="2"/>
      </rPr>
      <t>2</t>
    </r>
  </si>
  <si>
    <r>
      <t>Limited Operation</t>
    </r>
    <r>
      <rPr>
        <vertAlign val="superscript"/>
        <sz val="11"/>
        <color indexed="8"/>
        <rFont val="Arial"/>
        <family val="2"/>
      </rPr>
      <t>1</t>
    </r>
  </si>
  <si>
    <r>
      <t>Table 5-11.  UAF - SO</t>
    </r>
    <r>
      <rPr>
        <b/>
        <vertAlign val="subscript"/>
        <sz val="11"/>
        <color indexed="8"/>
        <rFont val="Arial"/>
        <family val="2"/>
      </rPr>
      <t>2</t>
    </r>
    <r>
      <rPr>
        <b/>
        <sz val="11"/>
        <color indexed="8"/>
        <rFont val="Arial"/>
        <family val="2"/>
      </rPr>
      <t xml:space="preserve"> BACT Cost Effectiveness</t>
    </r>
  </si>
  <si>
    <t>3 and 4</t>
  </si>
  <si>
    <t>19 through 21</t>
  </si>
  <si>
    <r>
      <t>UAF -  PM</t>
    </r>
    <r>
      <rPr>
        <vertAlign val="subscript"/>
        <sz val="11"/>
        <color theme="1"/>
        <rFont val="Calibri"/>
        <family val="2"/>
        <scheme val="minor"/>
      </rPr>
      <t>2.5</t>
    </r>
    <r>
      <rPr>
        <sz val="11"/>
        <color theme="1"/>
        <rFont val="Calibri"/>
        <family val="2"/>
        <scheme val="minor"/>
      </rPr>
      <t xml:space="preserve"> BACT Analysis (EU ID 113 - CFB Boiler)</t>
    </r>
  </si>
  <si>
    <r>
      <t>UAF -  PM</t>
    </r>
    <r>
      <rPr>
        <vertAlign val="subscript"/>
        <sz val="11"/>
        <color theme="1"/>
        <rFont val="Calibri"/>
        <family val="2"/>
        <scheme val="minor"/>
      </rPr>
      <t>2.5</t>
    </r>
    <r>
      <rPr>
        <sz val="11"/>
        <color theme="1"/>
        <rFont val="Calibri"/>
        <family val="2"/>
        <scheme val="minor"/>
      </rPr>
      <t xml:space="preserve"> BACT Analysis (EU ID 3 - Zurn Boiler)</t>
    </r>
  </si>
  <si>
    <r>
      <t>UAF -  PM</t>
    </r>
    <r>
      <rPr>
        <vertAlign val="subscript"/>
        <sz val="11"/>
        <color theme="1"/>
        <rFont val="Calibri"/>
        <family val="2"/>
        <scheme val="minor"/>
      </rPr>
      <t>2.5</t>
    </r>
    <r>
      <rPr>
        <sz val="11"/>
        <color theme="1"/>
        <rFont val="Calibri"/>
        <family val="2"/>
        <scheme val="minor"/>
      </rPr>
      <t xml:space="preserve"> BACT Analysis (EU ID 4 - Zurn Boiler)</t>
    </r>
  </si>
  <si>
    <r>
      <t>UAF -  PM</t>
    </r>
    <r>
      <rPr>
        <vertAlign val="subscript"/>
        <sz val="11"/>
        <color theme="1"/>
        <rFont val="Calibri"/>
        <family val="2"/>
        <scheme val="minor"/>
      </rPr>
      <t>2.5</t>
    </r>
    <r>
      <rPr>
        <sz val="11"/>
        <color theme="1"/>
        <rFont val="Calibri"/>
        <family val="2"/>
        <scheme val="minor"/>
      </rPr>
      <t xml:space="preserve"> BACT Analysis (EU ID 8 - DEG)</t>
    </r>
  </si>
  <si>
    <t>15 ppmw S in fuel</t>
  </si>
  <si>
    <r>
      <t>Cost Effectiveness ($/ton SO</t>
    </r>
    <r>
      <rPr>
        <b/>
        <vertAlign val="subscript"/>
        <sz val="11"/>
        <color indexed="8"/>
        <rFont val="Arial"/>
        <family val="2"/>
      </rPr>
      <t>2</t>
    </r>
    <r>
      <rPr>
        <b/>
        <sz val="11"/>
        <color indexed="8"/>
        <rFont val="Arial"/>
        <family val="2"/>
      </rPr>
      <t xml:space="preserve"> avoided)</t>
    </r>
  </si>
  <si>
    <t>Limestone Injection + Low Sulfur Fuel</t>
  </si>
  <si>
    <t>DSI + (Limestone Injection + Low Sulfur Fuel)</t>
  </si>
  <si>
    <t>SDA + (Limestone Injection + Low Sulfur Fuel)</t>
  </si>
  <si>
    <t>Administrative Charges and Insurance</t>
  </si>
  <si>
    <t>0.60 lb/MMscf</t>
  </si>
  <si>
    <r>
      <t>Emission Rate or Fuel Sulfur Content</t>
    </r>
    <r>
      <rPr>
        <b/>
        <vertAlign val="superscript"/>
        <sz val="11"/>
        <rFont val="Arial"/>
        <family val="2"/>
      </rPr>
      <t>1</t>
    </r>
  </si>
  <si>
    <r>
      <t>Table 5-1.  UAF - Available SO</t>
    </r>
    <r>
      <rPr>
        <b/>
        <vertAlign val="subscript"/>
        <sz val="11"/>
        <rFont val="Arial"/>
        <family val="2"/>
      </rPr>
      <t>2</t>
    </r>
    <r>
      <rPr>
        <b/>
        <sz val="11"/>
        <rFont val="Arial"/>
        <family val="2"/>
      </rPr>
      <t xml:space="preserve"> Control Options</t>
    </r>
  </si>
  <si>
    <t>Functional Checkout - onsite, enter %</t>
  </si>
  <si>
    <r>
      <t>Limestone Injection + Low Sulfur Fuel</t>
    </r>
    <r>
      <rPr>
        <vertAlign val="superscript"/>
        <sz val="11"/>
        <rFont val="Arial"/>
        <family val="2"/>
      </rPr>
      <t>1</t>
    </r>
  </si>
  <si>
    <t>Medical/Pathological Waste Incinerator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</si>
</sst>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0.0"/>
    <numFmt numFmtId="166" formatCode="0.000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Helvetica"/>
      <family val="2"/>
    </font>
    <font>
      <b/>
      <sz val="10"/>
      <name val="Helvetica"/>
      <family val="2"/>
    </font>
    <font>
      <vertAlign val="superscript"/>
      <sz val="10"/>
      <name val="Helvetica"/>
      <family val="2"/>
    </font>
    <font>
      <sz val="10"/>
      <color rgb="FFFF0000"/>
      <name val="Helvetica"/>
      <family val="2"/>
    </font>
    <font>
      <sz val="10"/>
      <name val="Arial"/>
      <family val="2"/>
    </font>
    <font>
      <sz val="10"/>
      <color indexed="8"/>
      <name val="Helvetica"/>
      <family val="2"/>
    </font>
    <font>
      <sz val="10"/>
      <name val="Helv"/>
    </font>
    <font>
      <b/>
      <sz val="11"/>
      <color indexed="8"/>
      <name val="Helvetica"/>
      <family val="2"/>
    </font>
    <font>
      <b/>
      <sz val="12"/>
      <color indexed="8"/>
      <name val="Helvetica"/>
      <family val="2"/>
    </font>
    <font>
      <b/>
      <sz val="10"/>
      <name val="Helvetica"/>
      <family val="2"/>
    </font>
    <font>
      <b/>
      <sz val="10"/>
      <color indexed="8"/>
      <name val="Helvetica"/>
      <family val="2"/>
    </font>
    <font>
      <vertAlign val="superscript"/>
      <sz val="10"/>
      <name val="Helvetica"/>
      <family val="2"/>
    </font>
    <font>
      <sz val="10"/>
      <color rgb="FFFF0000"/>
      <name val="Arial"/>
      <family val="2"/>
    </font>
    <font>
      <vertAlign val="subscript"/>
      <sz val="10"/>
      <color rgb="FFFF0000"/>
      <name val="Helvetica"/>
      <family val="2"/>
    </font>
    <font>
      <sz val="10"/>
      <name val="Arial"/>
      <family val="2"/>
    </font>
    <font>
      <sz val="10"/>
      <name val="Arial"/>
      <family val="2"/>
    </font>
    <font>
      <b/>
      <sz val="11"/>
      <color theme="1"/>
      <name val="Calibri"/>
      <family val="2"/>
      <scheme val="minor"/>
    </font>
    <font>
      <b/>
      <sz val="14"/>
      <color theme="1"/>
      <name val="Calibri"/>
      <family val="2"/>
      <scheme val="minor"/>
    </font>
    <font>
      <sz val="14"/>
      <color theme="1"/>
      <name val="Calibri"/>
      <family val="2"/>
      <scheme val="minor"/>
    </font>
    <font>
      <b/>
      <sz val="11"/>
      <name val="Calibri"/>
      <family val="2"/>
      <scheme val="minor"/>
    </font>
    <font>
      <b/>
      <sz val="12"/>
      <color theme="1"/>
      <name val="Calibri"/>
      <family val="2"/>
      <scheme val="minor"/>
    </font>
    <font>
      <sz val="11"/>
      <name val="Calibri"/>
      <family val="2"/>
      <scheme val="minor"/>
    </font>
    <font>
      <b/>
      <i/>
      <sz val="12"/>
      <color rgb="FF0070C0"/>
      <name val="Calibri"/>
      <family val="2"/>
      <scheme val="minor"/>
    </font>
    <font>
      <sz val="12"/>
      <color theme="1"/>
      <name val="Calibri"/>
      <family val="2"/>
      <scheme val="minor"/>
    </font>
    <font>
      <b/>
      <sz val="12"/>
      <color rgb="FF0070C0"/>
      <name val="Calibri"/>
      <family val="2"/>
      <scheme val="minor"/>
    </font>
    <font>
      <b/>
      <sz val="11"/>
      <color rgb="FF0070C0"/>
      <name val="Calibri"/>
      <family val="2"/>
      <scheme val="minor"/>
    </font>
    <font>
      <b/>
      <sz val="14"/>
      <color rgb="FF0070C0"/>
      <name val="Calibri"/>
      <family val="2"/>
      <scheme val="minor"/>
    </font>
    <font>
      <sz val="14"/>
      <color rgb="FF0070C0"/>
      <name val="Calibri"/>
      <family val="2"/>
      <scheme val="minor"/>
    </font>
    <font>
      <sz val="12"/>
      <color rgb="FF0070C0"/>
      <name val="Calibri"/>
      <family val="2"/>
      <scheme val="minor"/>
    </font>
    <font>
      <b/>
      <sz val="9"/>
      <color indexed="81"/>
      <name val="Tahoma"/>
      <family val="2"/>
    </font>
    <font>
      <sz val="9"/>
      <color indexed="81"/>
      <name val="Tahoma"/>
      <family val="2"/>
    </font>
    <font>
      <sz val="11"/>
      <color rgb="FF0070C0"/>
      <name val="Calibri"/>
      <family val="2"/>
      <scheme val="minor"/>
    </font>
    <font>
      <b/>
      <sz val="11"/>
      <color rgb="FFFF0000"/>
      <name val="Calibri"/>
      <family val="2"/>
      <scheme val="minor"/>
    </font>
    <font>
      <b/>
      <sz val="12"/>
      <name val="Calibri"/>
      <family val="2"/>
      <scheme val="minor"/>
    </font>
    <font>
      <b/>
      <sz val="11"/>
      <name val="Helvetica"/>
    </font>
    <font>
      <b/>
      <sz val="11"/>
      <name val="Arial"/>
      <family val="2"/>
    </font>
    <font>
      <b/>
      <vertAlign val="subscript"/>
      <sz val="11"/>
      <name val="Arial"/>
      <family val="2"/>
    </font>
    <font>
      <sz val="11"/>
      <name val="Arial"/>
      <family val="2"/>
    </font>
    <font>
      <sz val="11"/>
      <color indexed="8"/>
      <name val="Arial"/>
      <family val="2"/>
    </font>
    <font>
      <vertAlign val="superscript"/>
      <sz val="11"/>
      <name val="Arial"/>
      <family val="2"/>
    </font>
    <font>
      <b/>
      <sz val="11"/>
      <color indexed="8"/>
      <name val="Arial"/>
      <family val="2"/>
    </font>
    <font>
      <b/>
      <vertAlign val="subscript"/>
      <sz val="11"/>
      <color indexed="8"/>
      <name val="Arial"/>
      <family val="2"/>
    </font>
    <font>
      <b/>
      <vertAlign val="superscript"/>
      <sz val="11"/>
      <name val="Arial"/>
      <family val="2"/>
    </font>
    <font>
      <vertAlign val="superscript"/>
      <sz val="11"/>
      <color indexed="8"/>
      <name val="Arial"/>
      <family val="2"/>
    </font>
    <font>
      <vertAlign val="subscript"/>
      <sz val="11"/>
      <color theme="1"/>
      <name val="Calibri"/>
      <family val="2"/>
      <scheme val="minor"/>
    </font>
    <font>
      <sz val="11"/>
      <color rgb="FFFF0000"/>
      <name val="Arial"/>
      <family val="2"/>
    </font>
  </fonts>
  <fills count="7">
    <fill>
      <patternFill patternType="none"/>
    </fill>
    <fill>
      <patternFill patternType="gray125"/>
    </fill>
    <fill>
      <patternFill patternType="gray0625"/>
    </fill>
    <fill>
      <patternFill patternType="gray0625">
        <bgColor indexed="9"/>
      </patternFill>
    </fill>
    <fill>
      <patternFill patternType="solid">
        <fgColor indexed="9"/>
        <bgColor indexed="64"/>
      </patternFill>
    </fill>
    <fill>
      <patternFill patternType="solid">
        <fgColor theme="7" tint="0.79998168889431442"/>
        <bgColor indexed="64"/>
      </patternFill>
    </fill>
    <fill>
      <patternFill patternType="solid">
        <fgColor theme="4" tint="0.79998168889431442"/>
        <bgColor indexed="64"/>
      </patternFill>
    </fill>
  </fills>
  <borders count="9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auto="1"/>
      </right>
      <top/>
      <bottom/>
      <diagonal/>
    </border>
    <border>
      <left style="thick">
        <color auto="1"/>
      </left>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auto="1"/>
      </left>
      <right/>
      <top/>
      <bottom style="double">
        <color indexed="64"/>
      </bottom>
      <diagonal/>
    </border>
    <border>
      <left/>
      <right/>
      <top/>
      <bottom style="double">
        <color indexed="64"/>
      </bottom>
      <diagonal/>
    </border>
    <border>
      <left/>
      <right style="thick">
        <color auto="1"/>
      </right>
      <top/>
      <bottom style="double">
        <color indexed="64"/>
      </bottom>
      <diagonal/>
    </border>
    <border>
      <left style="thick">
        <color auto="1"/>
      </left>
      <right/>
      <top style="double">
        <color indexed="64"/>
      </top>
      <bottom/>
      <diagonal/>
    </border>
    <border>
      <left/>
      <right/>
      <top style="double">
        <color indexed="64"/>
      </top>
      <bottom/>
      <diagonal/>
    </border>
    <border>
      <left/>
      <right style="thick">
        <color auto="1"/>
      </right>
      <top style="double">
        <color indexed="64"/>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diagonal/>
    </border>
    <border>
      <left/>
      <right/>
      <top style="thin">
        <color indexed="64"/>
      </top>
      <bottom/>
      <diagonal/>
    </border>
    <border>
      <left/>
      <right style="thick">
        <color indexed="64"/>
      </right>
      <top style="thick">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thin">
        <color indexed="64"/>
      </top>
      <bottom style="medium">
        <color indexed="64"/>
      </bottom>
      <diagonal/>
    </border>
  </borders>
  <cellStyleXfs count="32">
    <xf numFmtId="0" fontId="0" fillId="0" borderId="0"/>
    <xf numFmtId="0" fontId="14" fillId="0" borderId="0"/>
    <xf numFmtId="15" fontId="16" fillId="2" borderId="0"/>
    <xf numFmtId="43" fontId="14" fillId="0" borderId="0" applyFont="0" applyFill="0" applyBorder="0" applyAlignment="0" applyProtection="0"/>
    <xf numFmtId="0" fontId="14" fillId="0" borderId="0"/>
    <xf numFmtId="44" fontId="24" fillId="0" borderId="0" applyFont="0" applyFill="0" applyBorder="0" applyAlignment="0" applyProtection="0"/>
    <xf numFmtId="0" fontId="9" fillId="0" borderId="0"/>
    <xf numFmtId="0" fontId="25" fillId="0" borderId="0"/>
    <xf numFmtId="43" fontId="2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5"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alignment wrapText="1"/>
    </xf>
    <xf numFmtId="0" fontId="14" fillId="0" borderId="0"/>
    <xf numFmtId="0" fontId="14" fillId="0" borderId="0"/>
    <xf numFmtId="0" fontId="9" fillId="0" borderId="0"/>
    <xf numFmtId="0" fontId="14" fillId="0" borderId="0"/>
    <xf numFmtId="0" fontId="14" fillId="0" borderId="0"/>
    <xf numFmtId="0" fontId="9" fillId="0" borderId="0"/>
    <xf numFmtId="9" fontId="25" fillId="0" borderId="0" applyFont="0" applyFill="0" applyBorder="0" applyAlignment="0" applyProtection="0"/>
    <xf numFmtId="9" fontId="14" fillId="0" borderId="0" applyFont="0" applyFill="0" applyBorder="0" applyAlignment="0" applyProtection="0"/>
    <xf numFmtId="0" fontId="25" fillId="0" borderId="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5" fillId="0" borderId="0"/>
    <xf numFmtId="9" fontId="5" fillId="0" borderId="0" applyFont="0" applyFill="0" applyBorder="0" applyAlignment="0" applyProtection="0"/>
  </cellStyleXfs>
  <cellXfs count="505">
    <xf numFmtId="0" fontId="0" fillId="0" borderId="0" xfId="0"/>
    <xf numFmtId="0" fontId="10" fillId="0" borderId="0" xfId="1" applyFont="1"/>
    <xf numFmtId="0" fontId="10" fillId="0" borderId="0" xfId="1" applyFont="1" applyBorder="1"/>
    <xf numFmtId="0" fontId="10" fillId="0" borderId="4" xfId="1" applyFont="1" applyBorder="1"/>
    <xf numFmtId="0" fontId="19" fillId="3" borderId="9" xfId="1" applyFont="1" applyFill="1" applyBorder="1" applyAlignment="1">
      <alignment horizontal="center" vertical="top" wrapText="1"/>
    </xf>
    <xf numFmtId="0" fontId="11" fillId="4" borderId="54" xfId="1" applyFont="1" applyFill="1" applyBorder="1" applyAlignment="1">
      <alignment horizontal="center" vertical="center" wrapText="1"/>
    </xf>
    <xf numFmtId="0" fontId="11" fillId="4" borderId="17" xfId="1" applyFont="1" applyFill="1" applyBorder="1" applyAlignment="1">
      <alignment horizontal="center" vertical="top" wrapText="1"/>
    </xf>
    <xf numFmtId="0" fontId="10" fillId="0" borderId="0" xfId="1" applyFont="1" applyAlignment="1"/>
    <xf numFmtId="0" fontId="10" fillId="0" borderId="0" xfId="1" applyFont="1" applyAlignment="1">
      <alignment wrapText="1"/>
    </xf>
    <xf numFmtId="0" fontId="12" fillId="0" borderId="0" xfId="1" applyFont="1" applyAlignment="1"/>
    <xf numFmtId="0" fontId="21" fillId="0" borderId="0" xfId="1" applyFont="1" applyAlignment="1"/>
    <xf numFmtId="0" fontId="10" fillId="0" borderId="0" xfId="1" applyFont="1" applyAlignment="1">
      <alignment horizontal="left" indent="8"/>
    </xf>
    <xf numFmtId="0" fontId="18" fillId="0" borderId="4" xfId="1" applyFont="1" applyBorder="1"/>
    <xf numFmtId="0" fontId="11" fillId="3" borderId="32" xfId="1" applyFont="1" applyFill="1" applyBorder="1" applyAlignment="1">
      <alignment horizontal="centerContinuous" vertical="center"/>
    </xf>
    <xf numFmtId="0" fontId="11" fillId="3" borderId="33" xfId="1" applyFont="1" applyFill="1" applyBorder="1" applyAlignment="1">
      <alignment horizontal="centerContinuous" vertical="center"/>
    </xf>
    <xf numFmtId="0" fontId="20" fillId="3" borderId="11" xfId="1" applyFont="1" applyFill="1" applyBorder="1" applyAlignment="1">
      <alignment horizontal="centerContinuous" vertical="top" wrapText="1"/>
    </xf>
    <xf numFmtId="0" fontId="20" fillId="3" borderId="12" xfId="1" applyFont="1" applyFill="1" applyBorder="1" applyAlignment="1">
      <alignment horizontal="centerContinuous" vertical="top" wrapText="1"/>
    </xf>
    <xf numFmtId="0" fontId="11" fillId="3" borderId="34" xfId="1" applyFont="1" applyFill="1" applyBorder="1" applyAlignment="1">
      <alignment horizontal="center" vertical="center" wrapText="1"/>
    </xf>
    <xf numFmtId="0" fontId="11" fillId="3" borderId="35" xfId="1" applyFont="1" applyFill="1" applyBorder="1" applyAlignment="1">
      <alignment horizontal="center" vertical="center" wrapText="1"/>
    </xf>
    <xf numFmtId="0" fontId="20" fillId="3" borderId="35" xfId="1" applyFont="1" applyFill="1" applyBorder="1" applyAlignment="1">
      <alignment horizontal="center" vertical="top" wrapText="1"/>
    </xf>
    <xf numFmtId="0" fontId="19" fillId="3" borderId="35" xfId="1" applyFont="1" applyFill="1" applyBorder="1" applyAlignment="1">
      <alignment horizontal="center" vertical="top" wrapText="1"/>
    </xf>
    <xf numFmtId="0" fontId="11" fillId="3" borderId="28" xfId="1" applyFont="1" applyFill="1" applyBorder="1" applyAlignment="1">
      <alignment horizontal="center" vertical="top" wrapText="1"/>
    </xf>
    <xf numFmtId="0" fontId="11" fillId="4" borderId="15" xfId="1" applyFont="1" applyFill="1" applyBorder="1" applyAlignment="1">
      <alignment horizontal="center" vertical="center" wrapText="1"/>
    </xf>
    <xf numFmtId="0" fontId="20" fillId="4" borderId="16" xfId="1" applyFont="1" applyFill="1" applyBorder="1" applyAlignment="1">
      <alignment horizontal="center" vertical="top" wrapText="1"/>
    </xf>
    <xf numFmtId="0" fontId="19" fillId="4" borderId="37" xfId="1" applyFont="1" applyFill="1" applyBorder="1" applyAlignment="1">
      <alignment horizontal="center" vertical="top" wrapText="1"/>
    </xf>
    <xf numFmtId="0" fontId="10" fillId="0" borderId="0" xfId="1" applyFont="1" applyBorder="1" applyAlignment="1">
      <alignment horizontal="left" indent="8"/>
    </xf>
    <xf numFmtId="165" fontId="14" fillId="0" borderId="0" xfId="1" applyNumberFormat="1" applyFont="1" applyFill="1" applyBorder="1"/>
    <xf numFmtId="15" fontId="14" fillId="0" borderId="0" xfId="2" applyFont="1" applyFill="1" applyBorder="1"/>
    <xf numFmtId="0" fontId="15" fillId="0" borderId="39"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5" xfId="1" applyFont="1" applyBorder="1" applyAlignment="1">
      <alignment horizontal="center" vertical="center" wrapText="1"/>
    </xf>
    <xf numFmtId="165" fontId="13" fillId="0" borderId="26" xfId="1" applyNumberFormat="1" applyFont="1" applyFill="1" applyBorder="1" applyAlignment="1">
      <alignment horizontal="center" vertical="center" wrapText="1"/>
    </xf>
    <xf numFmtId="0" fontId="15" fillId="0" borderId="24"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31" xfId="1" applyFont="1" applyBorder="1" applyAlignment="1">
      <alignment horizontal="center" vertical="center" wrapText="1"/>
    </xf>
    <xf numFmtId="0" fontId="15" fillId="0" borderId="30" xfId="1" applyFont="1" applyBorder="1" applyAlignment="1">
      <alignment horizontal="center" vertical="center" wrapText="1"/>
    </xf>
    <xf numFmtId="165" fontId="13" fillId="0" borderId="41" xfId="1" applyNumberFormat="1" applyFont="1" applyBorder="1" applyAlignment="1">
      <alignment horizontal="center" vertical="center" wrapText="1"/>
    </xf>
    <xf numFmtId="165" fontId="13" fillId="0" borderId="5" xfId="1" applyNumberFormat="1" applyFont="1" applyBorder="1" applyAlignment="1">
      <alignment horizontal="center" vertical="center" wrapText="1"/>
    </xf>
    <xf numFmtId="165" fontId="10" fillId="0" borderId="41" xfId="1" applyNumberFormat="1" applyFont="1" applyBorder="1" applyAlignment="1">
      <alignment horizontal="center" vertical="center" wrapText="1"/>
    </xf>
    <xf numFmtId="0" fontId="8" fillId="0" borderId="0" xfId="25" applyFont="1" applyFill="1" applyBorder="1"/>
    <xf numFmtId="0" fontId="6" fillId="0" borderId="0" xfId="29"/>
    <xf numFmtId="0" fontId="6" fillId="0" borderId="5" xfId="29" applyBorder="1"/>
    <xf numFmtId="0" fontId="6" fillId="5" borderId="42" xfId="29" applyFill="1" applyBorder="1" applyAlignment="1">
      <alignment horizontal="center"/>
    </xf>
    <xf numFmtId="0" fontId="6" fillId="0" borderId="3" xfId="29" applyBorder="1"/>
    <xf numFmtId="0" fontId="6" fillId="0" borderId="2" xfId="29" applyBorder="1"/>
    <xf numFmtId="2" fontId="6" fillId="5" borderId="20" xfId="29" applyNumberFormat="1" applyFill="1" applyBorder="1" applyAlignment="1">
      <alignment horizontal="center"/>
    </xf>
    <xf numFmtId="0" fontId="6" fillId="0" borderId="1" xfId="29" applyBorder="1"/>
    <xf numFmtId="0" fontId="26" fillId="0" borderId="0" xfId="29" applyFont="1" applyAlignment="1">
      <alignment horizontal="center"/>
    </xf>
    <xf numFmtId="0" fontId="26" fillId="0" borderId="8" xfId="29" applyFont="1" applyBorder="1" applyAlignment="1">
      <alignment horizontal="center"/>
    </xf>
    <xf numFmtId="0" fontId="6" fillId="0" borderId="7" xfId="29" applyBorder="1"/>
    <xf numFmtId="0" fontId="26" fillId="0" borderId="6" xfId="29" applyFont="1" applyBorder="1" applyAlignment="1">
      <alignment horizontal="left"/>
    </xf>
    <xf numFmtId="42" fontId="6" fillId="0" borderId="79" xfId="29" applyNumberFormat="1" applyBorder="1"/>
    <xf numFmtId="49" fontId="35" fillId="0" borderId="78" xfId="29" applyNumberFormat="1" applyFont="1" applyBorder="1" applyAlignment="1">
      <alignment horizontal="right"/>
    </xf>
    <xf numFmtId="0" fontId="6" fillId="0" borderId="78" xfId="29" applyBorder="1"/>
    <xf numFmtId="0" fontId="34" fillId="0" borderId="78" xfId="29" applyFont="1" applyBorder="1"/>
    <xf numFmtId="0" fontId="30" fillId="0" borderId="78" xfId="29" applyFont="1" applyBorder="1"/>
    <xf numFmtId="0" fontId="30" fillId="0" borderId="77" xfId="29" applyFont="1" applyBorder="1"/>
    <xf numFmtId="0" fontId="6" fillId="0" borderId="65" xfId="29" applyBorder="1"/>
    <xf numFmtId="0" fontId="6" fillId="0" borderId="0" xfId="29" applyBorder="1"/>
    <xf numFmtId="0" fontId="6" fillId="0" borderId="66" xfId="29" applyBorder="1"/>
    <xf numFmtId="0" fontId="6" fillId="5" borderId="88" xfId="29" applyFill="1" applyBorder="1" applyAlignment="1">
      <alignment horizontal="center"/>
    </xf>
    <xf numFmtId="49" fontId="6" fillId="0" borderId="0" xfId="29" applyNumberFormat="1" applyBorder="1" applyAlignment="1">
      <alignment horizontal="right"/>
    </xf>
    <xf numFmtId="0" fontId="30" fillId="0" borderId="0" xfId="29" applyFont="1" applyBorder="1"/>
    <xf numFmtId="0" fontId="30" fillId="0" borderId="66" xfId="29" applyFont="1" applyBorder="1"/>
    <xf numFmtId="0" fontId="6" fillId="0" borderId="0" xfId="29" applyBorder="1" applyAlignment="1">
      <alignment horizontal="center"/>
    </xf>
    <xf numFmtId="42" fontId="6" fillId="0" borderId="76" xfId="29" applyNumberFormat="1" applyBorder="1"/>
    <xf numFmtId="42" fontId="35" fillId="0" borderId="21" xfId="29" applyNumberFormat="1" applyFont="1" applyBorder="1" applyAlignment="1">
      <alignment horizontal="right"/>
    </xf>
    <xf numFmtId="42" fontId="6" fillId="0" borderId="21" xfId="29" applyNumberFormat="1" applyBorder="1"/>
    <xf numFmtId="42" fontId="35" fillId="0" borderId="21" xfId="29" applyNumberFormat="1" applyFont="1" applyBorder="1"/>
    <xf numFmtId="0" fontId="6" fillId="0" borderId="21" xfId="29" applyBorder="1"/>
    <xf numFmtId="0" fontId="6" fillId="0" borderId="21" xfId="29" applyBorder="1" applyAlignment="1">
      <alignment horizontal="center"/>
    </xf>
    <xf numFmtId="49" fontId="43" fillId="0" borderId="21" xfId="29" applyNumberFormat="1" applyFont="1" applyBorder="1"/>
    <xf numFmtId="49" fontId="43" fillId="0" borderId="75" xfId="29" applyNumberFormat="1" applyFont="1" applyBorder="1"/>
    <xf numFmtId="42" fontId="6" fillId="0" borderId="65" xfId="29" applyNumberFormat="1" applyBorder="1"/>
    <xf numFmtId="42" fontId="6" fillId="0" borderId="0" xfId="29" applyNumberFormat="1" applyBorder="1"/>
    <xf numFmtId="49" fontId="26" fillId="0" borderId="0" xfId="29" applyNumberFormat="1" applyFont="1" applyBorder="1"/>
    <xf numFmtId="49" fontId="26" fillId="0" borderId="66" xfId="29" applyNumberFormat="1" applyFont="1" applyBorder="1"/>
    <xf numFmtId="42" fontId="41" fillId="0" borderId="21" xfId="29" applyNumberFormat="1" applyFont="1" applyBorder="1"/>
    <xf numFmtId="42" fontId="6" fillId="0" borderId="21" xfId="29" applyNumberFormat="1" applyFill="1" applyBorder="1"/>
    <xf numFmtId="44" fontId="6" fillId="0" borderId="21" xfId="29" applyNumberFormat="1" applyBorder="1" applyAlignment="1">
      <alignment horizontal="right"/>
    </xf>
    <xf numFmtId="0" fontId="41" fillId="0" borderId="21" xfId="29" applyFont="1" applyBorder="1" applyAlignment="1">
      <alignment horizontal="center"/>
    </xf>
    <xf numFmtId="0" fontId="41" fillId="0" borderId="21" xfId="29" applyFont="1" applyBorder="1"/>
    <xf numFmtId="49" fontId="35" fillId="0" borderId="21" xfId="29" applyNumberFormat="1" applyFont="1" applyBorder="1"/>
    <xf numFmtId="49" fontId="35" fillId="0" borderId="75" xfId="29" applyNumberFormat="1" applyFont="1" applyBorder="1"/>
    <xf numFmtId="0" fontId="42" fillId="0" borderId="0" xfId="29" applyFont="1"/>
    <xf numFmtId="42" fontId="29" fillId="0" borderId="0" xfId="29" applyNumberFormat="1" applyFont="1" applyBorder="1" applyAlignment="1">
      <alignment horizontal="right"/>
    </xf>
    <xf numFmtId="42" fontId="35" fillId="0" borderId="0" xfId="29" applyNumberFormat="1" applyFont="1" applyBorder="1"/>
    <xf numFmtId="49" fontId="6" fillId="0" borderId="66" xfId="29" applyNumberFormat="1" applyBorder="1"/>
    <xf numFmtId="0" fontId="6" fillId="0" borderId="65" xfId="29" applyFill="1" applyBorder="1" applyAlignment="1">
      <alignment horizontal="center"/>
    </xf>
    <xf numFmtId="42" fontId="6" fillId="0" borderId="0" xfId="29" applyNumberFormat="1" applyBorder="1" applyAlignment="1">
      <alignment horizontal="right"/>
    </xf>
    <xf numFmtId="0" fontId="6" fillId="0" borderId="0" xfId="29" applyFill="1" applyBorder="1" applyAlignment="1">
      <alignment horizontal="center"/>
    </xf>
    <xf numFmtId="166" fontId="6" fillId="0" borderId="0" xfId="29" applyNumberFormat="1" applyFill="1" applyBorder="1"/>
    <xf numFmtId="0" fontId="6" fillId="0" borderId="0" xfId="29" applyFill="1" applyBorder="1"/>
    <xf numFmtId="44" fontId="6" fillId="0" borderId="0" xfId="29" applyNumberFormat="1" applyBorder="1" applyAlignment="1"/>
    <xf numFmtId="10" fontId="6" fillId="5" borderId="20" xfId="29" applyNumberFormat="1" applyFill="1" applyBorder="1" applyAlignment="1">
      <alignment horizontal="center"/>
    </xf>
    <xf numFmtId="0" fontId="6" fillId="5" borderId="20" xfId="29" applyFill="1" applyBorder="1" applyAlignment="1">
      <alignment horizontal="center"/>
    </xf>
    <xf numFmtId="44" fontId="6" fillId="0" borderId="0" xfId="29" applyNumberFormat="1" applyBorder="1" applyAlignment="1">
      <alignment horizontal="right"/>
    </xf>
    <xf numFmtId="0" fontId="30" fillId="0" borderId="66" xfId="29" applyFont="1" applyBorder="1" applyAlignment="1">
      <alignment horizontal="left"/>
    </xf>
    <xf numFmtId="42" fontId="35" fillId="0" borderId="0" xfId="29" applyNumberFormat="1" applyFont="1" applyBorder="1" applyAlignment="1">
      <alignment horizontal="right"/>
    </xf>
    <xf numFmtId="42" fontId="41" fillId="0" borderId="0" xfId="29" applyNumberFormat="1" applyFont="1" applyBorder="1"/>
    <xf numFmtId="49" fontId="35" fillId="0" borderId="0" xfId="29" applyNumberFormat="1" applyFont="1" applyBorder="1"/>
    <xf numFmtId="42" fontId="6" fillId="0" borderId="21" xfId="29" applyNumberFormat="1" applyBorder="1" applyAlignment="1">
      <alignment horizontal="right"/>
    </xf>
    <xf numFmtId="166" fontId="6" fillId="0" borderId="21" xfId="29" applyNumberFormat="1" applyBorder="1" applyAlignment="1">
      <alignment horizontal="center"/>
    </xf>
    <xf numFmtId="0" fontId="6" fillId="0" borderId="21" xfId="29" applyBorder="1" applyAlignment="1">
      <alignment horizontal="left"/>
    </xf>
    <xf numFmtId="0" fontId="6" fillId="0" borderId="0" xfId="29" applyBorder="1" applyAlignment="1">
      <alignment horizontal="right"/>
    </xf>
    <xf numFmtId="0" fontId="6" fillId="0" borderId="66" xfId="29" applyBorder="1" applyAlignment="1">
      <alignment horizontal="left"/>
    </xf>
    <xf numFmtId="9" fontId="6" fillId="5" borderId="20" xfId="29" applyNumberFormat="1" applyFill="1" applyBorder="1" applyAlignment="1">
      <alignment horizontal="center"/>
    </xf>
    <xf numFmtId="0" fontId="26" fillId="0" borderId="84" xfId="29" applyFont="1" applyBorder="1" applyAlignment="1">
      <alignment horizontal="center"/>
    </xf>
    <xf numFmtId="0" fontId="26" fillId="0" borderId="7" xfId="29" applyFont="1" applyFill="1" applyBorder="1" applyAlignment="1">
      <alignment horizontal="center"/>
    </xf>
    <xf numFmtId="0" fontId="29" fillId="0" borderId="7" xfId="29" applyFont="1" applyBorder="1" applyAlignment="1">
      <alignment horizontal="center"/>
    </xf>
    <xf numFmtId="0" fontId="26" fillId="0" borderId="7" xfId="29" applyFont="1" applyBorder="1" applyAlignment="1">
      <alignment horizontal="center"/>
    </xf>
    <xf numFmtId="0" fontId="30" fillId="0" borderId="7" xfId="29" applyFont="1" applyBorder="1"/>
    <xf numFmtId="0" fontId="30" fillId="0" borderId="83" xfId="29" applyFont="1" applyBorder="1"/>
    <xf numFmtId="0" fontId="6" fillId="0" borderId="68" xfId="29" applyBorder="1" applyAlignment="1">
      <alignment horizontal="right"/>
    </xf>
    <xf numFmtId="0" fontId="6" fillId="0" borderId="4" xfId="29" applyBorder="1" applyAlignment="1">
      <alignment horizontal="right"/>
    </xf>
    <xf numFmtId="0" fontId="6" fillId="0" borderId="4" xfId="29" applyBorder="1"/>
    <xf numFmtId="0" fontId="6" fillId="0" borderId="67" xfId="29" applyBorder="1"/>
    <xf numFmtId="0" fontId="6" fillId="0" borderId="65" xfId="29" applyBorder="1" applyAlignment="1">
      <alignment horizontal="right"/>
    </xf>
    <xf numFmtId="14" fontId="6" fillId="0" borderId="82" xfId="29" applyNumberFormat="1" applyBorder="1"/>
    <xf numFmtId="0" fontId="6" fillId="0" borderId="64" xfId="29" applyBorder="1" applyAlignment="1">
      <alignment horizontal="right"/>
    </xf>
    <xf numFmtId="0" fontId="6" fillId="0" borderId="64" xfId="29" applyBorder="1"/>
    <xf numFmtId="0" fontId="27" fillId="0" borderId="64" xfId="29" applyFont="1" applyBorder="1"/>
    <xf numFmtId="0" fontId="27" fillId="0" borderId="63" xfId="29" applyFont="1" applyBorder="1"/>
    <xf numFmtId="0" fontId="5" fillId="0" borderId="0" xfId="30"/>
    <xf numFmtId="0" fontId="27" fillId="0" borderId="63" xfId="30" applyFont="1" applyBorder="1"/>
    <xf numFmtId="0" fontId="28" fillId="0" borderId="64" xfId="30" applyFont="1" applyBorder="1"/>
    <xf numFmtId="0" fontId="5" fillId="0" borderId="64" xfId="30" applyBorder="1"/>
    <xf numFmtId="0" fontId="5" fillId="0" borderId="0" xfId="30" applyBorder="1" applyAlignment="1">
      <alignment horizontal="right"/>
    </xf>
    <xf numFmtId="14" fontId="5" fillId="0" borderId="65" xfId="30" applyNumberFormat="1" applyBorder="1"/>
    <xf numFmtId="0" fontId="5" fillId="0" borderId="66" xfId="30" applyBorder="1"/>
    <xf numFmtId="0" fontId="5" fillId="0" borderId="0" xfId="30" applyBorder="1"/>
    <xf numFmtId="0" fontId="5" fillId="0" borderId="65" xfId="30" applyBorder="1" applyAlignment="1">
      <alignment horizontal="right"/>
    </xf>
    <xf numFmtId="0" fontId="5" fillId="0" borderId="67" xfId="30" applyBorder="1"/>
    <xf numFmtId="0" fontId="5" fillId="0" borderId="4" xfId="30" applyBorder="1"/>
    <xf numFmtId="0" fontId="5" fillId="0" borderId="4" xfId="30" applyBorder="1" applyAlignment="1">
      <alignment horizontal="right"/>
    </xf>
    <xf numFmtId="0" fontId="5" fillId="0" borderId="68" xfId="30" applyBorder="1" applyAlignment="1">
      <alignment horizontal="right"/>
    </xf>
    <xf numFmtId="0" fontId="27" fillId="0" borderId="72" xfId="30" applyFont="1" applyBorder="1"/>
    <xf numFmtId="0" fontId="5" fillId="0" borderId="73" xfId="30" applyBorder="1"/>
    <xf numFmtId="0" fontId="26" fillId="0" borderId="73" xfId="30" applyFont="1" applyBorder="1" applyAlignment="1">
      <alignment horizontal="center"/>
    </xf>
    <xf numFmtId="0" fontId="29" fillId="0" borderId="73" xfId="30" applyFont="1" applyBorder="1" applyAlignment="1">
      <alignment horizontal="center"/>
    </xf>
    <xf numFmtId="0" fontId="26" fillId="0" borderId="73" xfId="30" applyFont="1" applyFill="1" applyBorder="1" applyAlignment="1">
      <alignment horizontal="center"/>
    </xf>
    <xf numFmtId="0" fontId="5" fillId="0" borderId="74" xfId="30" applyBorder="1"/>
    <xf numFmtId="0" fontId="30" fillId="0" borderId="66" xfId="30" applyFont="1" applyBorder="1"/>
    <xf numFmtId="0" fontId="26" fillId="0" borderId="0" xfId="30" applyFont="1" applyBorder="1" applyAlignment="1">
      <alignment horizontal="center"/>
    </xf>
    <xf numFmtId="0" fontId="29" fillId="0" borderId="0" xfId="30" applyFont="1" applyBorder="1" applyAlignment="1">
      <alignment horizontal="center"/>
    </xf>
    <xf numFmtId="0" fontId="26" fillId="0" borderId="0" xfId="30" applyFont="1" applyFill="1" applyBorder="1" applyAlignment="1">
      <alignment horizontal="center"/>
    </xf>
    <xf numFmtId="0" fontId="26" fillId="0" borderId="65" xfId="30" applyFont="1" applyBorder="1" applyAlignment="1">
      <alignment horizontal="center"/>
    </xf>
    <xf numFmtId="49" fontId="30" fillId="0" borderId="66" xfId="30" applyNumberFormat="1" applyFont="1" applyBorder="1"/>
    <xf numFmtId="0" fontId="30" fillId="0" borderId="0" xfId="30" applyFont="1" applyBorder="1"/>
    <xf numFmtId="49" fontId="5" fillId="0" borderId="0" xfId="30" applyNumberFormat="1" applyBorder="1" applyAlignment="1">
      <alignment horizontal="center"/>
    </xf>
    <xf numFmtId="0" fontId="5" fillId="0" borderId="65" xfId="30" applyBorder="1"/>
    <xf numFmtId="49" fontId="26" fillId="0" borderId="0" xfId="30" applyNumberFormat="1" applyFont="1" applyBorder="1" applyAlignment="1">
      <alignment horizontal="right"/>
    </xf>
    <xf numFmtId="42" fontId="26" fillId="0" borderId="65" xfId="30" applyNumberFormat="1" applyFont="1" applyBorder="1"/>
    <xf numFmtId="0" fontId="26" fillId="0" borderId="66" xfId="30" applyFont="1" applyBorder="1"/>
    <xf numFmtId="0" fontId="26" fillId="0" borderId="0" xfId="30" applyFont="1" applyBorder="1"/>
    <xf numFmtId="0" fontId="5" fillId="0" borderId="0" xfId="30" applyFont="1" applyBorder="1"/>
    <xf numFmtId="0" fontId="5" fillId="5" borderId="20" xfId="30" applyFill="1" applyBorder="1" applyAlignment="1">
      <alignment horizontal="center"/>
    </xf>
    <xf numFmtId="0" fontId="5" fillId="0" borderId="0" xfId="30" applyBorder="1" applyAlignment="1">
      <alignment horizontal="center"/>
    </xf>
    <xf numFmtId="3" fontId="5" fillId="5" borderId="20" xfId="30" applyNumberFormat="1" applyFill="1" applyBorder="1" applyAlignment="1">
      <alignment horizontal="center"/>
    </xf>
    <xf numFmtId="42" fontId="5" fillId="0" borderId="0" xfId="30" applyNumberFormat="1" applyBorder="1"/>
    <xf numFmtId="44" fontId="5" fillId="0" borderId="0" xfId="30" applyNumberFormat="1" applyBorder="1" applyAlignment="1">
      <alignment horizontal="right"/>
    </xf>
    <xf numFmtId="44" fontId="5" fillId="0" borderId="65" xfId="30" applyNumberFormat="1" applyBorder="1"/>
    <xf numFmtId="0" fontId="26" fillId="0" borderId="66" xfId="30" applyFont="1" applyFill="1" applyBorder="1"/>
    <xf numFmtId="0" fontId="26" fillId="0" borderId="0" xfId="30" applyFont="1" applyFill="1" applyBorder="1"/>
    <xf numFmtId="0" fontId="5" fillId="0" borderId="0" xfId="30" applyFont="1" applyFill="1" applyBorder="1"/>
    <xf numFmtId="0" fontId="5" fillId="0" borderId="0" xfId="30" applyFill="1" applyBorder="1" applyAlignment="1">
      <alignment horizontal="center"/>
    </xf>
    <xf numFmtId="44" fontId="5" fillId="0" borderId="0" xfId="30" applyNumberFormat="1" applyFill="1" applyBorder="1"/>
    <xf numFmtId="42" fontId="5" fillId="0" borderId="0" xfId="30" applyNumberFormat="1" applyFill="1" applyBorder="1"/>
    <xf numFmtId="44" fontId="26" fillId="0" borderId="0" xfId="30" applyNumberFormat="1" applyFont="1" applyBorder="1" applyAlignment="1">
      <alignment horizontal="right"/>
    </xf>
    <xf numFmtId="0" fontId="30" fillId="0" borderId="0" xfId="30" applyFont="1" applyFill="1" applyBorder="1"/>
    <xf numFmtId="42" fontId="5" fillId="0" borderId="65" xfId="30" applyNumberFormat="1" applyBorder="1"/>
    <xf numFmtId="0" fontId="29" fillId="0" borderId="66" xfId="30" applyFont="1" applyFill="1" applyBorder="1"/>
    <xf numFmtId="0" fontId="29" fillId="0" borderId="0" xfId="30" applyFont="1" applyFill="1" applyBorder="1"/>
    <xf numFmtId="0" fontId="31" fillId="0" borderId="0" xfId="30" applyFont="1" applyFill="1" applyBorder="1"/>
    <xf numFmtId="0" fontId="31" fillId="0" borderId="0" xfId="30" applyFont="1" applyFill="1" applyBorder="1" applyAlignment="1">
      <alignment horizontal="center"/>
    </xf>
    <xf numFmtId="42" fontId="31" fillId="0" borderId="0" xfId="30" applyNumberFormat="1" applyFont="1" applyFill="1" applyBorder="1"/>
    <xf numFmtId="9" fontId="0" fillId="5" borderId="20" xfId="31" applyFont="1" applyFill="1" applyBorder="1" applyAlignment="1">
      <alignment horizontal="center"/>
    </xf>
    <xf numFmtId="0" fontId="5" fillId="0" borderId="66" xfId="30" applyFont="1" applyFill="1" applyBorder="1"/>
    <xf numFmtId="0" fontId="5" fillId="0" borderId="0" xfId="30" applyFont="1" applyFill="1" applyBorder="1" applyAlignment="1">
      <alignment horizontal="center"/>
    </xf>
    <xf numFmtId="42" fontId="5" fillId="0" borderId="0" xfId="30" applyNumberFormat="1" applyFont="1" applyFill="1" applyBorder="1"/>
    <xf numFmtId="0" fontId="5" fillId="0" borderId="66" xfId="30" applyFont="1" applyBorder="1"/>
    <xf numFmtId="0" fontId="5" fillId="5" borderId="20" xfId="30" applyFont="1" applyFill="1" applyBorder="1" applyAlignment="1">
      <alignment horizontal="center"/>
    </xf>
    <xf numFmtId="0" fontId="5" fillId="0" borderId="0" xfId="30" applyFont="1" applyBorder="1" applyAlignment="1">
      <alignment horizontal="center"/>
    </xf>
    <xf numFmtId="44" fontId="5" fillId="5" borderId="20" xfId="30" applyNumberFormat="1" applyFont="1" applyFill="1" applyBorder="1"/>
    <xf numFmtId="42" fontId="5" fillId="0" borderId="0" xfId="30" applyNumberFormat="1" applyFont="1" applyBorder="1"/>
    <xf numFmtId="44" fontId="5" fillId="0" borderId="0" xfId="30" applyNumberFormat="1" applyFont="1" applyBorder="1" applyAlignment="1">
      <alignment horizontal="right"/>
    </xf>
    <xf numFmtId="42" fontId="5" fillId="0" borderId="65" xfId="30" applyNumberFormat="1" applyFont="1" applyBorder="1"/>
    <xf numFmtId="0" fontId="32" fillId="0" borderId="75" xfId="30" applyFont="1" applyBorder="1"/>
    <xf numFmtId="0" fontId="33" fillId="0" borderId="21" xfId="30" applyFont="1" applyBorder="1"/>
    <xf numFmtId="0" fontId="5" fillId="0" borderId="21" xfId="30" applyBorder="1" applyAlignment="1"/>
    <xf numFmtId="0" fontId="5" fillId="0" borderId="21" xfId="30" applyBorder="1" applyAlignment="1">
      <alignment horizontal="center"/>
    </xf>
    <xf numFmtId="0" fontId="5" fillId="0" borderId="21" xfId="30" applyBorder="1"/>
    <xf numFmtId="42" fontId="5" fillId="0" borderId="21" xfId="30" applyNumberFormat="1" applyBorder="1"/>
    <xf numFmtId="44" fontId="34" fillId="0" borderId="21" xfId="30" applyNumberFormat="1" applyFont="1" applyBorder="1" applyAlignment="1">
      <alignment horizontal="right"/>
    </xf>
    <xf numFmtId="42" fontId="26" fillId="0" borderId="76" xfId="30" applyNumberFormat="1" applyFont="1" applyBorder="1"/>
    <xf numFmtId="0" fontId="33" fillId="0" borderId="66" xfId="30" applyFont="1" applyBorder="1"/>
    <xf numFmtId="0" fontId="33" fillId="0" borderId="0" xfId="30" applyFont="1" applyBorder="1"/>
    <xf numFmtId="44" fontId="5" fillId="0" borderId="0" xfId="30" applyNumberFormat="1" applyBorder="1"/>
    <xf numFmtId="42" fontId="5" fillId="0" borderId="0" xfId="30" applyNumberFormat="1"/>
    <xf numFmtId="0" fontId="30" fillId="0" borderId="21" xfId="30" applyFont="1" applyBorder="1"/>
    <xf numFmtId="0" fontId="26" fillId="0" borderId="21" xfId="30" applyFont="1" applyBorder="1" applyAlignment="1">
      <alignment horizontal="center"/>
    </xf>
    <xf numFmtId="0" fontId="26" fillId="0" borderId="21" xfId="30" applyFont="1" applyBorder="1"/>
    <xf numFmtId="42" fontId="26" fillId="0" borderId="21" xfId="30" applyNumberFormat="1" applyFont="1" applyBorder="1"/>
    <xf numFmtId="0" fontId="32" fillId="0" borderId="21" xfId="30" applyFont="1" applyBorder="1"/>
    <xf numFmtId="44" fontId="26" fillId="0" borderId="21" xfId="30" applyNumberFormat="1" applyFont="1" applyBorder="1"/>
    <xf numFmtId="49" fontId="33" fillId="0" borderId="66" xfId="30" applyNumberFormat="1" applyFont="1" applyBorder="1"/>
    <xf numFmtId="9" fontId="0" fillId="0" borderId="0" xfId="31" applyFont="1" applyBorder="1"/>
    <xf numFmtId="44" fontId="5" fillId="0" borderId="65" xfId="30" applyNumberFormat="1" applyBorder="1" applyAlignment="1">
      <alignment horizontal="right"/>
    </xf>
    <xf numFmtId="44" fontId="5" fillId="0" borderId="0" xfId="30" applyNumberFormat="1" applyBorder="1" applyAlignment="1">
      <alignment horizontal="center"/>
    </xf>
    <xf numFmtId="9" fontId="0" fillId="5" borderId="20" xfId="31" applyFont="1" applyFill="1" applyBorder="1"/>
    <xf numFmtId="0" fontId="34" fillId="0" borderId="21" xfId="30" applyFont="1" applyBorder="1"/>
    <xf numFmtId="0" fontId="35" fillId="0" borderId="21" xfId="30" applyFont="1" applyBorder="1"/>
    <xf numFmtId="44" fontId="35" fillId="0" borderId="21" xfId="30" applyNumberFormat="1" applyFont="1" applyBorder="1"/>
    <xf numFmtId="42" fontId="35" fillId="0" borderId="76" xfId="30" applyNumberFormat="1" applyFont="1" applyBorder="1"/>
    <xf numFmtId="0" fontId="36" fillId="0" borderId="77" xfId="30" applyFont="1" applyBorder="1"/>
    <xf numFmtId="0" fontId="37" fillId="0" borderId="78" xfId="30" applyFont="1" applyBorder="1"/>
    <xf numFmtId="0" fontId="36" fillId="0" borderId="78" xfId="30" applyFont="1" applyBorder="1"/>
    <xf numFmtId="44" fontId="37" fillId="0" borderId="78" xfId="30" applyNumberFormat="1" applyFont="1" applyBorder="1"/>
    <xf numFmtId="44" fontId="38" fillId="0" borderId="78" xfId="30" applyNumberFormat="1" applyFont="1" applyBorder="1"/>
    <xf numFmtId="44" fontId="34" fillId="0" borderId="78" xfId="30" applyNumberFormat="1" applyFont="1" applyBorder="1" applyAlignment="1">
      <alignment horizontal="right"/>
    </xf>
    <xf numFmtId="42" fontId="36" fillId="0" borderId="79" xfId="30" applyNumberFormat="1" applyFont="1" applyBorder="1"/>
    <xf numFmtId="0" fontId="27" fillId="0" borderId="64" xfId="30" applyFont="1" applyBorder="1"/>
    <xf numFmtId="0" fontId="5" fillId="0" borderId="64" xfId="30" applyBorder="1" applyAlignment="1">
      <alignment horizontal="right"/>
    </xf>
    <xf numFmtId="14" fontId="5" fillId="0" borderId="82" xfId="30" applyNumberFormat="1" applyBorder="1" applyAlignment="1">
      <alignment horizontal="right"/>
    </xf>
    <xf numFmtId="0" fontId="30" fillId="0" borderId="83" xfId="30" applyFont="1" applyBorder="1"/>
    <xf numFmtId="0" fontId="30" fillId="0" borderId="7" xfId="30" applyFont="1" applyBorder="1"/>
    <xf numFmtId="0" fontId="5" fillId="0" borderId="7" xfId="30" applyBorder="1"/>
    <xf numFmtId="0" fontId="26" fillId="0" borderId="7" xfId="30" applyFont="1" applyBorder="1" applyAlignment="1">
      <alignment horizontal="center"/>
    </xf>
    <xf numFmtId="0" fontId="29" fillId="0" borderId="7" xfId="30" applyFont="1" applyBorder="1" applyAlignment="1">
      <alignment horizontal="center"/>
    </xf>
    <xf numFmtId="0" fontId="26" fillId="0" borderId="7" xfId="30" applyFont="1" applyFill="1" applyBorder="1" applyAlignment="1">
      <alignment horizontal="center"/>
    </xf>
    <xf numFmtId="0" fontId="26" fillId="0" borderId="84" xfId="30" applyFont="1" applyBorder="1" applyAlignment="1">
      <alignment horizontal="center"/>
    </xf>
    <xf numFmtId="49" fontId="5" fillId="0" borderId="66" xfId="30" applyNumberFormat="1" applyBorder="1"/>
    <xf numFmtId="42" fontId="5" fillId="0" borderId="0" xfId="30" applyNumberFormat="1" applyBorder="1" applyAlignment="1">
      <alignment horizontal="right"/>
    </xf>
    <xf numFmtId="0" fontId="5" fillId="0" borderId="0" xfId="30" applyFill="1" applyBorder="1"/>
    <xf numFmtId="2" fontId="5" fillId="5" borderId="20" xfId="30" applyNumberFormat="1" applyFill="1" applyBorder="1" applyAlignment="1">
      <alignment horizontal="center"/>
    </xf>
    <xf numFmtId="49" fontId="5" fillId="0" borderId="66" xfId="30" applyNumberFormat="1" applyFill="1" applyBorder="1"/>
    <xf numFmtId="42" fontId="5" fillId="0" borderId="0" xfId="30" applyNumberFormat="1" applyFill="1" applyBorder="1" applyAlignment="1">
      <alignment horizontal="right"/>
    </xf>
    <xf numFmtId="42" fontId="5" fillId="0" borderId="65" xfId="30" applyNumberFormat="1" applyFill="1" applyBorder="1"/>
    <xf numFmtId="0" fontId="5" fillId="0" borderId="66" xfId="30" applyBorder="1" applyAlignment="1">
      <alignment horizontal="left"/>
    </xf>
    <xf numFmtId="49" fontId="35" fillId="0" borderId="0" xfId="30" applyNumberFormat="1" applyFont="1" applyBorder="1"/>
    <xf numFmtId="166" fontId="5" fillId="0" borderId="0" xfId="30" applyNumberFormat="1" applyFill="1" applyBorder="1"/>
    <xf numFmtId="42" fontId="41" fillId="0" borderId="0" xfId="30" applyNumberFormat="1" applyFont="1" applyBorder="1"/>
    <xf numFmtId="49" fontId="35" fillId="0" borderId="75" xfId="30" applyNumberFormat="1" applyFont="1" applyBorder="1"/>
    <xf numFmtId="49" fontId="35" fillId="0" borderId="21" xfId="30" applyNumberFormat="1" applyFont="1" applyBorder="1"/>
    <xf numFmtId="0" fontId="5" fillId="0" borderId="21" xfId="30" applyBorder="1" applyAlignment="1">
      <alignment horizontal="left"/>
    </xf>
    <xf numFmtId="166" fontId="5" fillId="0" borderId="21" xfId="30" applyNumberFormat="1" applyBorder="1" applyAlignment="1">
      <alignment horizontal="center"/>
    </xf>
    <xf numFmtId="0" fontId="5" fillId="0" borderId="21" xfId="30" applyBorder="1" applyAlignment="1">
      <alignment horizontal="right"/>
    </xf>
    <xf numFmtId="42" fontId="5" fillId="0" borderId="21" xfId="30" applyNumberFormat="1" applyBorder="1" applyAlignment="1">
      <alignment horizontal="right"/>
    </xf>
    <xf numFmtId="42" fontId="41" fillId="0" borderId="21" xfId="30" applyNumberFormat="1" applyFont="1" applyBorder="1"/>
    <xf numFmtId="42" fontId="35" fillId="0" borderId="21" xfId="30" applyNumberFormat="1" applyFont="1" applyBorder="1" applyAlignment="1">
      <alignment horizontal="right"/>
    </xf>
    <xf numFmtId="42" fontId="5" fillId="0" borderId="76" xfId="30" applyNumberFormat="1" applyBorder="1"/>
    <xf numFmtId="42" fontId="35" fillId="0" borderId="0" xfId="30" applyNumberFormat="1" applyFont="1" applyBorder="1" applyAlignment="1">
      <alignment horizontal="right"/>
    </xf>
    <xf numFmtId="10" fontId="5" fillId="5" borderId="20" xfId="30" applyNumberFormat="1" applyFill="1" applyBorder="1" applyAlignment="1">
      <alignment horizontal="center"/>
    </xf>
    <xf numFmtId="0" fontId="5" fillId="0" borderId="65" xfId="30" applyFill="1" applyBorder="1" applyAlignment="1">
      <alignment horizontal="center"/>
    </xf>
    <xf numFmtId="0" fontId="42" fillId="0" borderId="0" xfId="30" applyFont="1"/>
    <xf numFmtId="42" fontId="35" fillId="0" borderId="0" xfId="30" applyNumberFormat="1" applyFont="1" applyBorder="1"/>
    <xf numFmtId="42" fontId="29" fillId="0" borderId="0" xfId="30" applyNumberFormat="1" applyFont="1" applyBorder="1" applyAlignment="1">
      <alignment horizontal="right"/>
    </xf>
    <xf numFmtId="0" fontId="41" fillId="0" borderId="21" xfId="30" applyFont="1" applyBorder="1"/>
    <xf numFmtId="0" fontId="41" fillId="0" borderId="21" xfId="30" applyFont="1" applyBorder="1" applyAlignment="1">
      <alignment horizontal="center"/>
    </xf>
    <xf numFmtId="42" fontId="5" fillId="0" borderId="21" xfId="30" applyNumberFormat="1" applyFill="1" applyBorder="1"/>
    <xf numFmtId="49" fontId="26" fillId="0" borderId="66" xfId="30" applyNumberFormat="1" applyFont="1" applyBorder="1"/>
    <xf numFmtId="49" fontId="26" fillId="0" borderId="0" xfId="30" applyNumberFormat="1" applyFont="1" applyBorder="1"/>
    <xf numFmtId="49" fontId="43" fillId="0" borderId="75" xfId="30" applyNumberFormat="1" applyFont="1" applyBorder="1"/>
    <xf numFmtId="49" fontId="43" fillId="0" borderId="21" xfId="30" applyNumberFormat="1" applyFont="1" applyBorder="1"/>
    <xf numFmtId="42" fontId="35" fillId="0" borderId="21" xfId="30" applyNumberFormat="1" applyFont="1" applyBorder="1"/>
    <xf numFmtId="49" fontId="5" fillId="0" borderId="0" xfId="30" applyNumberFormat="1" applyBorder="1" applyAlignment="1">
      <alignment horizontal="right"/>
    </xf>
    <xf numFmtId="0" fontId="30" fillId="0" borderId="77" xfId="30" applyFont="1" applyBorder="1"/>
    <xf numFmtId="0" fontId="30" fillId="0" borderId="78" xfId="30" applyFont="1" applyBorder="1"/>
    <xf numFmtId="0" fontId="5" fillId="0" borderId="78" xfId="30" applyBorder="1"/>
    <xf numFmtId="0" fontId="34" fillId="0" borderId="78" xfId="30" applyFont="1" applyBorder="1"/>
    <xf numFmtId="49" fontId="35" fillId="0" borderId="78" xfId="30" applyNumberFormat="1" applyFont="1" applyBorder="1" applyAlignment="1">
      <alignment horizontal="right"/>
    </xf>
    <xf numFmtId="42" fontId="5" fillId="0" borderId="79" xfId="30" applyNumberFormat="1" applyBorder="1"/>
    <xf numFmtId="0" fontId="26" fillId="0" borderId="6" xfId="30" applyFont="1" applyBorder="1" applyAlignment="1">
      <alignment horizontal="left"/>
    </xf>
    <xf numFmtId="0" fontId="26" fillId="0" borderId="8" xfId="30" applyFont="1" applyBorder="1" applyAlignment="1">
      <alignment horizontal="center"/>
    </xf>
    <xf numFmtId="0" fontId="26" fillId="0" borderId="0" xfId="30" applyFont="1" applyAlignment="1">
      <alignment horizontal="center"/>
    </xf>
    <xf numFmtId="0" fontId="5" fillId="0" borderId="1" xfId="30" applyBorder="1"/>
    <xf numFmtId="0" fontId="5" fillId="0" borderId="2" xfId="30" applyBorder="1"/>
    <xf numFmtId="0" fontId="5" fillId="0" borderId="3" xfId="30" applyBorder="1"/>
    <xf numFmtId="0" fontId="5" fillId="5" borderId="42" xfId="30" applyFill="1" applyBorder="1" applyAlignment="1">
      <alignment horizontal="center"/>
    </xf>
    <xf numFmtId="0" fontId="5" fillId="0" borderId="5" xfId="30" applyBorder="1"/>
    <xf numFmtId="0" fontId="45" fillId="0" borderId="0" xfId="0" applyFont="1" applyAlignment="1">
      <alignment horizontal="centerContinuous"/>
    </xf>
    <xf numFmtId="0" fontId="47" fillId="0" borderId="0" xfId="0" applyFont="1" applyAlignment="1">
      <alignment horizontal="center"/>
    </xf>
    <xf numFmtId="0" fontId="47" fillId="0" borderId="0" xfId="0" applyFont="1"/>
    <xf numFmtId="0" fontId="45" fillId="0" borderId="0" xfId="0" applyFont="1" applyAlignment="1">
      <alignment horizontal="center"/>
    </xf>
    <xf numFmtId="0" fontId="45" fillId="3" borderId="9" xfId="0" applyFont="1" applyFill="1" applyBorder="1" applyAlignment="1">
      <alignment horizontal="center" vertical="center" wrapText="1"/>
    </xf>
    <xf numFmtId="0" fontId="45" fillId="3" borderId="45"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46"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47" xfId="0" applyFont="1" applyFill="1" applyBorder="1" applyAlignment="1">
      <alignment horizontal="center" vertical="center" wrapText="1"/>
    </xf>
    <xf numFmtId="0" fontId="45" fillId="3" borderId="48" xfId="0" applyFont="1" applyFill="1" applyBorder="1" applyAlignment="1">
      <alignment horizontal="center" vertical="center" wrapText="1"/>
    </xf>
    <xf numFmtId="0" fontId="45" fillId="3" borderId="14" xfId="0" applyFont="1" applyFill="1" applyBorder="1" applyAlignment="1">
      <alignment horizontal="center" vertical="center" wrapText="1"/>
    </xf>
    <xf numFmtId="0" fontId="48" fillId="0" borderId="34" xfId="0" applyFont="1" applyBorder="1" applyAlignment="1">
      <alignment vertical="center"/>
    </xf>
    <xf numFmtId="0" fontId="45" fillId="4" borderId="16" xfId="0" applyNumberFormat="1" applyFont="1" applyFill="1" applyBorder="1" applyAlignment="1" applyProtection="1">
      <alignment horizontal="center" vertical="center" wrapText="1"/>
      <protection locked="0"/>
    </xf>
    <xf numFmtId="0" fontId="45" fillId="4" borderId="19" xfId="0" applyNumberFormat="1" applyFont="1" applyFill="1" applyBorder="1" applyAlignment="1" applyProtection="1">
      <alignment horizontal="center" vertical="center" wrapText="1"/>
      <protection locked="0"/>
    </xf>
    <xf numFmtId="0" fontId="45" fillId="4" borderId="25" xfId="0" applyNumberFormat="1" applyFont="1" applyFill="1" applyBorder="1" applyAlignment="1" applyProtection="1">
      <alignment horizontal="center" vertical="center" wrapText="1"/>
      <protection locked="0"/>
    </xf>
    <xf numFmtId="0" fontId="45" fillId="4" borderId="26" xfId="0" applyNumberFormat="1" applyFont="1" applyFill="1" applyBorder="1" applyAlignment="1" applyProtection="1">
      <alignment horizontal="center" vertical="center" wrapText="1"/>
      <protection locked="0"/>
    </xf>
    <xf numFmtId="0" fontId="47" fillId="4" borderId="20" xfId="0" applyNumberFormat="1" applyFont="1" applyFill="1" applyBorder="1" applyAlignment="1" applyProtection="1">
      <alignment horizontal="center" vertical="center" wrapText="1"/>
      <protection locked="0"/>
    </xf>
    <xf numFmtId="0" fontId="47" fillId="4" borderId="25" xfId="0" applyNumberFormat="1" applyFont="1" applyFill="1" applyBorder="1" applyAlignment="1" applyProtection="1">
      <alignment horizontal="center" vertical="center" wrapText="1"/>
      <protection locked="0"/>
    </xf>
    <xf numFmtId="0" fontId="47" fillId="0" borderId="0" xfId="0" applyFont="1" applyAlignment="1">
      <alignment horizontal="left"/>
    </xf>
    <xf numFmtId="0" fontId="47" fillId="4" borderId="59" xfId="0" applyNumberFormat="1" applyFont="1" applyFill="1" applyBorder="1" applyAlignment="1" applyProtection="1">
      <alignment horizontal="center" vertical="center" wrapText="1"/>
      <protection locked="0"/>
    </xf>
    <xf numFmtId="0" fontId="47" fillId="0" borderId="20" xfId="0" applyFont="1" applyFill="1" applyBorder="1" applyAlignment="1">
      <alignment horizontal="center" wrapText="1"/>
    </xf>
    <xf numFmtId="0" fontId="47" fillId="0" borderId="56" xfId="0" applyNumberFormat="1" applyFont="1" applyFill="1" applyBorder="1" applyAlignment="1" applyProtection="1">
      <alignment horizontal="center" vertical="center" wrapText="1"/>
      <protection locked="0"/>
    </xf>
    <xf numFmtId="0" fontId="49" fillId="0" borderId="0" xfId="1" applyFont="1" applyAlignment="1"/>
    <xf numFmtId="0" fontId="45" fillId="3" borderId="32" xfId="0" applyFont="1" applyFill="1" applyBorder="1" applyAlignment="1">
      <alignment horizontal="centerContinuous" vertical="center"/>
    </xf>
    <xf numFmtId="0" fontId="45" fillId="3" borderId="33" xfId="0" applyFont="1" applyFill="1" applyBorder="1" applyAlignment="1">
      <alignment horizontal="centerContinuous" vertical="center"/>
    </xf>
    <xf numFmtId="0" fontId="45" fillId="3" borderId="34" xfId="0" applyFont="1" applyFill="1" applyBorder="1" applyAlignment="1">
      <alignment horizontal="center" vertical="center" wrapText="1"/>
    </xf>
    <xf numFmtId="0" fontId="45" fillId="3" borderId="35"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4" borderId="15" xfId="0" applyFont="1" applyFill="1" applyBorder="1" applyAlignment="1">
      <alignment horizontal="center" vertical="center" wrapText="1"/>
    </xf>
    <xf numFmtId="0" fontId="45" fillId="4" borderId="37" xfId="0" applyFont="1" applyFill="1" applyBorder="1" applyAlignment="1">
      <alignment horizontal="center" vertical="center" wrapText="1"/>
    </xf>
    <xf numFmtId="0" fontId="45" fillId="4" borderId="17" xfId="0" applyFont="1" applyFill="1" applyBorder="1" applyAlignment="1">
      <alignment horizontal="center" vertical="top" wrapText="1"/>
    </xf>
    <xf numFmtId="0" fontId="47" fillId="0" borderId="22" xfId="0" applyFont="1" applyFill="1" applyBorder="1" applyAlignment="1">
      <alignment horizontal="center" wrapText="1"/>
    </xf>
    <xf numFmtId="0" fontId="47" fillId="0" borderId="50" xfId="0" applyFont="1" applyFill="1" applyBorder="1" applyAlignment="1">
      <alignment horizontal="center"/>
    </xf>
    <xf numFmtId="0" fontId="47" fillId="0" borderId="58" xfId="0" applyFont="1" applyFill="1" applyBorder="1" applyAlignment="1">
      <alignment horizontal="center"/>
    </xf>
    <xf numFmtId="0" fontId="47" fillId="0" borderId="58" xfId="0" applyFont="1" applyFill="1" applyBorder="1" applyAlignment="1">
      <alignment horizontal="center" wrapText="1"/>
    </xf>
    <xf numFmtId="0" fontId="47" fillId="0" borderId="55" xfId="0" applyFont="1" applyFill="1" applyBorder="1" applyAlignment="1">
      <alignment horizontal="center" wrapText="1"/>
    </xf>
    <xf numFmtId="0" fontId="47" fillId="0" borderId="60" xfId="0" applyFont="1" applyFill="1" applyBorder="1" applyAlignment="1">
      <alignment horizontal="center" vertical="center"/>
    </xf>
    <xf numFmtId="0" fontId="47" fillId="0" borderId="61" xfId="0" applyFont="1" applyFill="1" applyBorder="1" applyAlignment="1">
      <alignment horizontal="center" vertical="center"/>
    </xf>
    <xf numFmtId="0" fontId="47" fillId="0" borderId="62" xfId="0" applyFont="1" applyFill="1" applyBorder="1" applyAlignment="1">
      <alignment horizontal="center"/>
    </xf>
    <xf numFmtId="0" fontId="47" fillId="0" borderId="55" xfId="0" applyFont="1" applyFill="1" applyBorder="1" applyAlignment="1">
      <alignment horizontal="center"/>
    </xf>
    <xf numFmtId="0" fontId="47" fillId="0" borderId="0" xfId="0" applyFont="1" applyFill="1"/>
    <xf numFmtId="0" fontId="47" fillId="0" borderId="0" xfId="0" applyFont="1" applyFill="1" applyAlignment="1">
      <alignment horizontal="center"/>
    </xf>
    <xf numFmtId="0" fontId="45" fillId="3" borderId="8" xfId="0" applyFont="1" applyFill="1" applyBorder="1" applyAlignment="1">
      <alignment horizontal="center" vertical="top" wrapText="1"/>
    </xf>
    <xf numFmtId="0" fontId="45" fillId="3" borderId="36" xfId="0" applyFont="1" applyFill="1" applyBorder="1" applyAlignment="1">
      <alignment horizontal="center" vertical="top" wrapText="1"/>
    </xf>
    <xf numFmtId="0" fontId="47" fillId="0" borderId="26" xfId="0" applyFont="1" applyFill="1" applyBorder="1" applyAlignment="1">
      <alignment horizontal="center"/>
    </xf>
    <xf numFmtId="0" fontId="47" fillId="0" borderId="22" xfId="0" applyFont="1" applyFill="1" applyBorder="1" applyAlignment="1">
      <alignment horizontal="center"/>
    </xf>
    <xf numFmtId="0" fontId="47" fillId="0" borderId="26" xfId="0" applyFont="1" applyFill="1" applyBorder="1" applyAlignment="1">
      <alignment horizontal="center" wrapText="1"/>
    </xf>
    <xf numFmtId="0" fontId="48" fillId="0" borderId="58" xfId="0" applyFont="1" applyFill="1" applyBorder="1" applyAlignment="1">
      <alignment horizontal="center"/>
    </xf>
    <xf numFmtId="0" fontId="47" fillId="0" borderId="0" xfId="0" applyNumberFormat="1" applyFont="1" applyBorder="1" applyAlignment="1" applyProtection="1">
      <alignment horizontal="left" vertical="center" wrapText="1"/>
      <protection locked="0"/>
    </xf>
    <xf numFmtId="0" fontId="47" fillId="0" borderId="0" xfId="1" applyFont="1" applyAlignment="1">
      <alignment wrapText="1"/>
    </xf>
    <xf numFmtId="0" fontId="50" fillId="0" borderId="4" xfId="1" applyFont="1" applyBorder="1" applyAlignment="1">
      <alignment wrapText="1"/>
    </xf>
    <xf numFmtId="0" fontId="47" fillId="0" borderId="4" xfId="1" applyFont="1" applyBorder="1" applyAlignment="1">
      <alignment wrapText="1"/>
    </xf>
    <xf numFmtId="0" fontId="45" fillId="3" borderId="32" xfId="1" applyFont="1" applyFill="1" applyBorder="1" applyAlignment="1">
      <alignment horizontal="centerContinuous" vertical="center" wrapText="1"/>
    </xf>
    <xf numFmtId="0" fontId="45" fillId="3" borderId="33" xfId="1" applyFont="1" applyFill="1" applyBorder="1" applyAlignment="1">
      <alignment horizontal="centerContinuous" vertical="center" wrapText="1"/>
    </xf>
    <xf numFmtId="0" fontId="50" fillId="3" borderId="11" xfId="1" applyFont="1" applyFill="1" applyBorder="1" applyAlignment="1">
      <alignment horizontal="centerContinuous" vertical="top" wrapText="1"/>
    </xf>
    <xf numFmtId="0" fontId="50" fillId="3" borderId="12" xfId="1" applyFont="1" applyFill="1" applyBorder="1" applyAlignment="1">
      <alignment horizontal="centerContinuous" vertical="top" wrapText="1"/>
    </xf>
    <xf numFmtId="0" fontId="45" fillId="3" borderId="34" xfId="1" applyFont="1" applyFill="1" applyBorder="1" applyAlignment="1">
      <alignment horizontal="center" vertical="center" wrapText="1"/>
    </xf>
    <xf numFmtId="0" fontId="45" fillId="3" borderId="35" xfId="1" applyFont="1" applyFill="1" applyBorder="1" applyAlignment="1">
      <alignment horizontal="center" vertical="center" wrapText="1"/>
    </xf>
    <xf numFmtId="0" fontId="45" fillId="3" borderId="35" xfId="1" applyFont="1" applyFill="1" applyBorder="1" applyAlignment="1">
      <alignment horizontal="center" vertical="top" wrapText="1"/>
    </xf>
    <xf numFmtId="0" fontId="45" fillId="3" borderId="28" xfId="1" applyFont="1" applyFill="1" applyBorder="1" applyAlignment="1">
      <alignment horizontal="center" vertical="top" wrapText="1"/>
    </xf>
    <xf numFmtId="0" fontId="45" fillId="4" borderId="15" xfId="1" applyFont="1" applyFill="1" applyBorder="1" applyAlignment="1">
      <alignment horizontal="center" vertical="center" wrapText="1"/>
    </xf>
    <xf numFmtId="0" fontId="45" fillId="4" borderId="54" xfId="1" applyFont="1" applyFill="1" applyBorder="1" applyAlignment="1">
      <alignment horizontal="center" vertical="center" wrapText="1"/>
    </xf>
    <xf numFmtId="0" fontId="50" fillId="4" borderId="16" xfId="1" applyFont="1" applyFill="1" applyBorder="1" applyAlignment="1">
      <alignment horizontal="center" vertical="top" wrapText="1"/>
    </xf>
    <xf numFmtId="0" fontId="45" fillId="4" borderId="37" xfId="1" applyFont="1" applyFill="1" applyBorder="1" applyAlignment="1">
      <alignment horizontal="center" vertical="top" wrapText="1"/>
    </xf>
    <xf numFmtId="0" fontId="45" fillId="4" borderId="17" xfId="1" applyFont="1" applyFill="1" applyBorder="1" applyAlignment="1">
      <alignment horizontal="center" vertical="top" wrapText="1"/>
    </xf>
    <xf numFmtId="0" fontId="47" fillId="0" borderId="39" xfId="1" applyFont="1" applyFill="1" applyBorder="1" applyAlignment="1">
      <alignment horizontal="center" vertical="center" wrapText="1"/>
    </xf>
    <xf numFmtId="0" fontId="47" fillId="0" borderId="19" xfId="1" applyFont="1" applyFill="1" applyBorder="1" applyAlignment="1">
      <alignment horizontal="center" vertical="center" wrapText="1"/>
    </xf>
    <xf numFmtId="0" fontId="48" fillId="0" borderId="43" xfId="1" applyFont="1" applyFill="1" applyBorder="1" applyAlignment="1">
      <alignment horizontal="center" vertical="center" wrapText="1"/>
    </xf>
    <xf numFmtId="0" fontId="47" fillId="0" borderId="35" xfId="1" applyFont="1" applyFill="1" applyBorder="1" applyAlignment="1">
      <alignment horizontal="center" vertical="center" wrapText="1"/>
    </xf>
    <xf numFmtId="0" fontId="47" fillId="0" borderId="26" xfId="1" applyFont="1" applyFill="1" applyBorder="1" applyAlignment="1">
      <alignment horizontal="center" vertical="center" wrapText="1"/>
    </xf>
    <xf numFmtId="0" fontId="48" fillId="0" borderId="18" xfId="1" applyFont="1" applyFill="1" applyBorder="1" applyAlignment="1">
      <alignment horizontal="center" vertical="center" wrapText="1"/>
    </xf>
    <xf numFmtId="0" fontId="48" fillId="0" borderId="20" xfId="1" applyFont="1" applyFill="1" applyBorder="1" applyAlignment="1">
      <alignment horizontal="center" vertical="center" wrapText="1"/>
    </xf>
    <xf numFmtId="0" fontId="48" fillId="0" borderId="27" xfId="1" applyFont="1" applyFill="1" applyBorder="1" applyAlignment="1">
      <alignment horizontal="center" vertical="center" wrapText="1"/>
    </xf>
    <xf numFmtId="0" fontId="48" fillId="0" borderId="24" xfId="1" applyFont="1" applyFill="1" applyBorder="1" applyAlignment="1">
      <alignment horizontal="center" vertical="center" wrapText="1"/>
    </xf>
    <xf numFmtId="0" fontId="48" fillId="0" borderId="25" xfId="1" applyFont="1" applyFill="1" applyBorder="1" applyAlignment="1">
      <alignment horizontal="center" vertical="center" wrapText="1"/>
    </xf>
    <xf numFmtId="0" fontId="48" fillId="0" borderId="39" xfId="1" applyFont="1" applyFill="1" applyBorder="1" applyAlignment="1">
      <alignment horizontal="center" vertical="center" wrapText="1"/>
    </xf>
    <xf numFmtId="0" fontId="48" fillId="0" borderId="19" xfId="1" applyFont="1" applyFill="1" applyBorder="1" applyAlignment="1">
      <alignment horizontal="center" vertical="center" wrapText="1"/>
    </xf>
    <xf numFmtId="165" fontId="47" fillId="0" borderId="22" xfId="1" applyNumberFormat="1" applyFont="1" applyFill="1" applyBorder="1" applyAlignment="1">
      <alignment horizontal="center" vertical="center" wrapText="1"/>
    </xf>
    <xf numFmtId="0" fontId="47" fillId="0" borderId="24" xfId="1" applyFont="1" applyFill="1" applyBorder="1" applyAlignment="1">
      <alignment horizontal="center" vertical="center" wrapText="1"/>
    </xf>
    <xf numFmtId="0" fontId="47" fillId="0" borderId="20" xfId="1" applyFont="1" applyFill="1" applyBorder="1" applyAlignment="1">
      <alignment horizontal="center" vertical="center" wrapText="1"/>
    </xf>
    <xf numFmtId="0" fontId="47" fillId="0" borderId="44" xfId="1" applyFont="1" applyFill="1" applyBorder="1" applyAlignment="1">
      <alignment horizontal="center" vertical="center" wrapText="1"/>
    </xf>
    <xf numFmtId="0" fontId="47" fillId="0" borderId="4" xfId="1" applyFont="1" applyFill="1" applyBorder="1" applyAlignment="1">
      <alignment horizontal="center" vertical="center" wrapText="1"/>
    </xf>
    <xf numFmtId="0" fontId="47" fillId="0" borderId="31" xfId="1" applyFont="1" applyFill="1" applyBorder="1" applyAlignment="1">
      <alignment horizontal="center" vertical="center" wrapText="1"/>
    </xf>
    <xf numFmtId="165" fontId="47" fillId="0" borderId="50" xfId="1" applyNumberFormat="1" applyFont="1" applyFill="1" applyBorder="1" applyAlignment="1">
      <alignment horizontal="center" vertical="center" wrapText="1"/>
    </xf>
    <xf numFmtId="164" fontId="47" fillId="0" borderId="0" xfId="1" applyNumberFormat="1" applyFont="1" applyAlignment="1">
      <alignment horizontal="center" vertical="center"/>
    </xf>
    <xf numFmtId="0" fontId="47" fillId="0" borderId="0" xfId="1" applyFont="1"/>
    <xf numFmtId="0" fontId="50" fillId="0" borderId="0" xfId="1" applyFont="1" applyBorder="1"/>
    <xf numFmtId="164" fontId="50" fillId="0" borderId="0" xfId="1" applyNumberFormat="1" applyFont="1" applyBorder="1" applyAlignment="1">
      <alignment horizontal="center" vertical="center"/>
    </xf>
    <xf numFmtId="164" fontId="47" fillId="0" borderId="0" xfId="1" applyNumberFormat="1" applyFont="1" applyBorder="1" applyAlignment="1">
      <alignment horizontal="center" vertical="center"/>
    </xf>
    <xf numFmtId="0" fontId="47" fillId="0" borderId="0" xfId="1" applyFont="1" applyBorder="1"/>
    <xf numFmtId="0" fontId="45" fillId="3" borderId="51" xfId="1" applyFont="1" applyFill="1" applyBorder="1" applyAlignment="1">
      <alignment horizontal="center" vertical="center" wrapText="1"/>
    </xf>
    <xf numFmtId="164" fontId="45" fillId="3" borderId="9" xfId="1" applyNumberFormat="1" applyFont="1" applyFill="1" applyBorder="1" applyAlignment="1">
      <alignment horizontal="center" vertical="center" wrapText="1"/>
    </xf>
    <xf numFmtId="164" fontId="50" fillId="3" borderId="52" xfId="1" applyNumberFormat="1" applyFont="1" applyFill="1" applyBorder="1" applyAlignment="1">
      <alignment horizontal="center" vertical="center" wrapText="1"/>
    </xf>
    <xf numFmtId="0" fontId="47" fillId="0" borderId="0" xfId="1" applyFont="1" applyAlignment="1">
      <alignment horizontal="center" vertical="center" wrapText="1"/>
    </xf>
    <xf numFmtId="0" fontId="45" fillId="4" borderId="53" xfId="1" applyFont="1" applyFill="1" applyBorder="1" applyAlignment="1">
      <alignment horizontal="center" vertical="center" wrapText="1"/>
    </xf>
    <xf numFmtId="164" fontId="45" fillId="4" borderId="54" xfId="1" applyNumberFormat="1" applyFont="1" applyFill="1" applyBorder="1" applyAlignment="1">
      <alignment horizontal="center" vertical="center" wrapText="1"/>
    </xf>
    <xf numFmtId="164" fontId="50" fillId="4" borderId="37" xfId="1" applyNumberFormat="1" applyFont="1" applyFill="1" applyBorder="1" applyAlignment="1">
      <alignment horizontal="center" vertical="center" wrapText="1"/>
    </xf>
    <xf numFmtId="164" fontId="45" fillId="4" borderId="17" xfId="1" applyNumberFormat="1" applyFont="1" applyFill="1" applyBorder="1" applyAlignment="1">
      <alignment horizontal="center" vertical="center" wrapText="1"/>
    </xf>
    <xf numFmtId="0" fontId="47" fillId="0" borderId="0" xfId="1" applyFont="1" applyAlignment="1"/>
    <xf numFmtId="0" fontId="47" fillId="0" borderId="18" xfId="1" applyFont="1" applyBorder="1" applyAlignment="1">
      <alignment horizontal="center" vertical="center"/>
    </xf>
    <xf numFmtId="164" fontId="48" fillId="0" borderId="20" xfId="5" applyNumberFormat="1" applyFont="1" applyFill="1" applyBorder="1" applyAlignment="1">
      <alignment horizontal="center" vertical="center" wrapText="1"/>
    </xf>
    <xf numFmtId="164" fontId="48" fillId="0" borderId="22" xfId="5" applyNumberFormat="1" applyFont="1" applyFill="1" applyBorder="1" applyAlignment="1">
      <alignment horizontal="center" vertical="center" wrapText="1"/>
    </xf>
    <xf numFmtId="164" fontId="48" fillId="0" borderId="20" xfId="1" applyNumberFormat="1" applyFont="1" applyFill="1" applyBorder="1" applyAlignment="1">
      <alignment horizontal="center" vertical="center" wrapText="1"/>
    </xf>
    <xf numFmtId="164" fontId="48" fillId="0" borderId="22" xfId="1" applyNumberFormat="1" applyFont="1" applyFill="1" applyBorder="1" applyAlignment="1">
      <alignment horizontal="center" vertical="center" wrapText="1"/>
    </xf>
    <xf numFmtId="0" fontId="47" fillId="0" borderId="23" xfId="1" applyFont="1" applyBorder="1" applyAlignment="1">
      <alignment horizontal="center" vertical="center"/>
    </xf>
    <xf numFmtId="0" fontId="48" fillId="0" borderId="23" xfId="1" applyFont="1" applyFill="1" applyBorder="1" applyAlignment="1">
      <alignment horizontal="center" vertical="top" wrapText="1"/>
    </xf>
    <xf numFmtId="164" fontId="48" fillId="0" borderId="21" xfId="1" applyNumberFormat="1" applyFont="1" applyFill="1" applyBorder="1" applyAlignment="1">
      <alignment horizontal="center" vertical="center" wrapText="1"/>
    </xf>
    <xf numFmtId="164" fontId="48" fillId="0" borderId="40" xfId="1" applyNumberFormat="1" applyFont="1" applyFill="1" applyBorder="1" applyAlignment="1">
      <alignment horizontal="center" vertical="center" wrapText="1"/>
    </xf>
    <xf numFmtId="0" fontId="47" fillId="0" borderId="29" xfId="1" applyFont="1" applyFill="1" applyBorder="1" applyAlignment="1">
      <alignment horizontal="center" vertical="top" wrapText="1"/>
    </xf>
    <xf numFmtId="0" fontId="48" fillId="0" borderId="18" xfId="1" applyFont="1" applyFill="1" applyBorder="1" applyAlignment="1">
      <alignment horizontal="center" vertical="top" wrapText="1"/>
    </xf>
    <xf numFmtId="0" fontId="48" fillId="0" borderId="92" xfId="1" applyFont="1" applyFill="1" applyBorder="1" applyAlignment="1">
      <alignment horizontal="center" vertical="top" wrapText="1"/>
    </xf>
    <xf numFmtId="164" fontId="48" fillId="0" borderId="42" xfId="1" applyNumberFormat="1" applyFont="1" applyFill="1" applyBorder="1" applyAlignment="1">
      <alignment horizontal="center" vertical="center" wrapText="1"/>
    </xf>
    <xf numFmtId="164" fontId="48" fillId="0" borderId="50" xfId="1" applyNumberFormat="1" applyFont="1" applyFill="1" applyBorder="1" applyAlignment="1">
      <alignment horizontal="center" vertical="center" wrapText="1"/>
    </xf>
    <xf numFmtId="0" fontId="48" fillId="0" borderId="0" xfId="1" applyFont="1" applyFill="1" applyBorder="1" applyAlignment="1">
      <alignment horizontal="center" vertical="top" wrapText="1"/>
    </xf>
    <xf numFmtId="164" fontId="48" fillId="0" borderId="0" xfId="1" applyNumberFormat="1" applyFont="1" applyFill="1" applyBorder="1" applyAlignment="1">
      <alignment horizontal="center" vertical="center" wrapText="1"/>
    </xf>
    <xf numFmtId="0" fontId="47" fillId="0" borderId="0" xfId="1" applyFont="1" applyFill="1"/>
    <xf numFmtId="164" fontId="49" fillId="0" borderId="0" xfId="1" applyNumberFormat="1" applyFont="1" applyAlignment="1">
      <alignment horizontal="center" vertical="center"/>
    </xf>
    <xf numFmtId="0" fontId="47" fillId="0" borderId="20" xfId="0" applyFont="1" applyFill="1" applyBorder="1" applyAlignment="1">
      <alignment horizontal="center" vertical="center" wrapText="1"/>
    </xf>
    <xf numFmtId="1" fontId="6" fillId="5" borderId="20" xfId="29" applyNumberFormat="1" applyFill="1" applyBorder="1" applyAlignment="1">
      <alignment horizontal="center"/>
    </xf>
    <xf numFmtId="2" fontId="4" fillId="5" borderId="20" xfId="29" applyNumberFormat="1" applyFont="1" applyFill="1" applyBorder="1" applyAlignment="1">
      <alignment horizontal="center"/>
    </xf>
    <xf numFmtId="0" fontId="47" fillId="0" borderId="58" xfId="0" applyFont="1" applyFill="1" applyBorder="1" applyAlignment="1">
      <alignment horizontal="center" vertical="center"/>
    </xf>
    <xf numFmtId="0" fontId="47" fillId="0" borderId="55" xfId="0" applyFont="1" applyFill="1" applyBorder="1" applyAlignment="1">
      <alignment horizontal="center" vertical="center"/>
    </xf>
    <xf numFmtId="0" fontId="3" fillId="0" borderId="19" xfId="30" applyFont="1" applyBorder="1"/>
    <xf numFmtId="0" fontId="3" fillId="0" borderId="19" xfId="29" applyFont="1" applyBorder="1"/>
    <xf numFmtId="0" fontId="47" fillId="0" borderId="50" xfId="0" applyFont="1" applyFill="1" applyBorder="1" applyAlignment="1">
      <alignment horizontal="center" wrapText="1"/>
    </xf>
    <xf numFmtId="0" fontId="2" fillId="0" borderId="0" xfId="30" applyFont="1" applyBorder="1"/>
    <xf numFmtId="0" fontId="2" fillId="0" borderId="0" xfId="29" applyFont="1" applyBorder="1"/>
    <xf numFmtId="0" fontId="5" fillId="0" borderId="88" xfId="30" applyFill="1" applyBorder="1" applyAlignment="1">
      <alignment horizontal="center"/>
    </xf>
    <xf numFmtId="3" fontId="5" fillId="0" borderId="20" xfId="30" applyNumberFormat="1" applyFill="1" applyBorder="1" applyAlignment="1">
      <alignment horizontal="center"/>
    </xf>
    <xf numFmtId="0" fontId="47" fillId="4" borderId="43" xfId="0" applyNumberFormat="1" applyFont="1" applyFill="1" applyBorder="1" applyAlignment="1" applyProtection="1">
      <alignment horizontal="center" vertical="center" wrapText="1"/>
      <protection locked="0"/>
    </xf>
    <xf numFmtId="0" fontId="47" fillId="0" borderId="22" xfId="0" applyFont="1" applyFill="1" applyBorder="1" applyAlignment="1">
      <alignment horizontal="center" vertical="center"/>
    </xf>
    <xf numFmtId="0" fontId="55" fillId="0" borderId="0" xfId="0" applyFont="1" applyFill="1" applyAlignment="1">
      <alignment horizontal="center"/>
    </xf>
    <xf numFmtId="0" fontId="47" fillId="0" borderId="42" xfId="0" applyFont="1" applyFill="1" applyBorder="1" applyAlignment="1">
      <alignment horizontal="center" vertical="center" wrapText="1"/>
    </xf>
    <xf numFmtId="0" fontId="55" fillId="0" borderId="0" xfId="1" applyFont="1" applyFill="1" applyAlignment="1">
      <alignment wrapText="1"/>
    </xf>
    <xf numFmtId="165" fontId="47" fillId="0" borderId="21" xfId="0" applyNumberFormat="1" applyFont="1" applyBorder="1" applyAlignment="1" applyProtection="1">
      <alignment horizontal="center" vertical="center" wrapText="1"/>
      <protection locked="0"/>
    </xf>
    <xf numFmtId="165" fontId="47" fillId="0" borderId="22" xfId="0" applyNumberFormat="1" applyFont="1" applyBorder="1" applyAlignment="1" applyProtection="1">
      <alignment horizontal="center" vertical="center" wrapText="1"/>
      <protection locked="0"/>
    </xf>
    <xf numFmtId="0" fontId="47" fillId="0" borderId="42" xfId="0" applyNumberFormat="1" applyFont="1" applyBorder="1" applyAlignment="1" applyProtection="1">
      <alignment horizontal="center" vertical="center" wrapText="1"/>
      <protection locked="0"/>
    </xf>
    <xf numFmtId="0" fontId="47" fillId="0" borderId="49" xfId="0" applyNumberFormat="1" applyFont="1" applyFill="1" applyBorder="1" applyAlignment="1" applyProtection="1">
      <alignment horizontal="center" vertical="center" wrapText="1"/>
      <protection locked="0"/>
    </xf>
    <xf numFmtId="0" fontId="47" fillId="0" borderId="50" xfId="0" applyNumberFormat="1" applyFont="1" applyBorder="1" applyAlignment="1" applyProtection="1">
      <alignment horizontal="center" vertical="center" wrapText="1"/>
      <protection locked="0"/>
    </xf>
    <xf numFmtId="0" fontId="47" fillId="0" borderId="49" xfId="0" applyNumberFormat="1" applyFont="1" applyBorder="1" applyAlignment="1" applyProtection="1">
      <alignment horizontal="center" vertical="center" wrapText="1"/>
      <protection locked="0"/>
    </xf>
    <xf numFmtId="165" fontId="47" fillId="0" borderId="21" xfId="0" applyNumberFormat="1" applyFont="1" applyFill="1" applyBorder="1" applyAlignment="1" applyProtection="1">
      <alignment horizontal="center" vertical="center" wrapText="1"/>
      <protection locked="0"/>
    </xf>
    <xf numFmtId="165" fontId="47" fillId="0" borderId="22" xfId="0" applyNumberFormat="1" applyFont="1" applyFill="1" applyBorder="1" applyAlignment="1" applyProtection="1">
      <alignment horizontal="center" vertical="center" wrapText="1"/>
      <protection locked="0"/>
    </xf>
    <xf numFmtId="0" fontId="47" fillId="0" borderId="42" xfId="0" applyNumberFormat="1" applyFont="1" applyFill="1" applyBorder="1" applyAlignment="1" applyProtection="1">
      <alignment horizontal="center" vertical="center" wrapText="1"/>
      <protection locked="0"/>
    </xf>
    <xf numFmtId="0" fontId="47" fillId="0" borderId="50" xfId="0" applyNumberFormat="1" applyFont="1" applyFill="1" applyBorder="1" applyAlignment="1" applyProtection="1">
      <alignment horizontal="center" vertical="center" wrapText="1"/>
      <protection locked="0"/>
    </xf>
    <xf numFmtId="0" fontId="47" fillId="0" borderId="38" xfId="0" applyFont="1" applyFill="1" applyBorder="1" applyAlignment="1">
      <alignment horizontal="center" vertical="center"/>
    </xf>
    <xf numFmtId="0" fontId="47" fillId="0" borderId="34" xfId="0" applyFont="1" applyFill="1" applyBorder="1" applyAlignment="1">
      <alignment horizontal="center" vertical="center"/>
    </xf>
    <xf numFmtId="0" fontId="47" fillId="0" borderId="44" xfId="0" applyFont="1" applyFill="1" applyBorder="1" applyAlignment="1">
      <alignment horizontal="center" vertical="center"/>
    </xf>
    <xf numFmtId="0" fontId="47" fillId="0" borderId="27" xfId="0" applyFont="1" applyFill="1" applyBorder="1" applyAlignment="1">
      <alignment horizontal="center" vertical="center"/>
    </xf>
    <xf numFmtId="0" fontId="47" fillId="0" borderId="43" xfId="0" applyFont="1" applyFill="1" applyBorder="1" applyAlignment="1">
      <alignment horizontal="center" vertical="center"/>
    </xf>
    <xf numFmtId="0" fontId="47" fillId="0" borderId="30" xfId="0" applyFont="1" applyFill="1" applyBorder="1" applyAlignment="1">
      <alignment horizontal="center" vertical="center"/>
    </xf>
    <xf numFmtId="0" fontId="47" fillId="0" borderId="51" xfId="0" applyFont="1" applyFill="1" applyBorder="1" applyAlignment="1">
      <alignment horizontal="center" vertical="center"/>
    </xf>
    <xf numFmtId="0" fontId="47" fillId="0" borderId="10" xfId="0" applyFont="1" applyFill="1" applyBorder="1" applyAlignment="1">
      <alignment horizontal="center" vertical="center"/>
    </xf>
    <xf numFmtId="0" fontId="47" fillId="0" borderId="51" xfId="0" applyFont="1" applyFill="1" applyBorder="1" applyAlignment="1">
      <alignment horizontal="center" vertical="center" wrapText="1"/>
    </xf>
    <xf numFmtId="0" fontId="47" fillId="0" borderId="34"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7" fillId="0" borderId="43" xfId="0" applyFont="1" applyFill="1" applyBorder="1" applyAlignment="1">
      <alignment horizontal="center" vertical="center" wrapText="1"/>
    </xf>
    <xf numFmtId="0" fontId="47" fillId="0" borderId="30" xfId="0" applyFont="1" applyFill="1" applyBorder="1" applyAlignment="1">
      <alignment horizontal="center" vertical="center" wrapText="1"/>
    </xf>
    <xf numFmtId="0" fontId="47" fillId="0" borderId="38" xfId="0" applyFont="1" applyBorder="1" applyAlignment="1">
      <alignment horizontal="center" vertical="center"/>
    </xf>
    <xf numFmtId="0" fontId="47" fillId="0" borderId="44" xfId="0" applyFont="1" applyBorder="1" applyAlignment="1">
      <alignment horizontal="center" vertical="center"/>
    </xf>
    <xf numFmtId="0" fontId="47" fillId="0" borderId="10"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34" xfId="0" applyFont="1" applyBorder="1" applyAlignment="1">
      <alignment horizontal="center" vertical="center"/>
    </xf>
    <xf numFmtId="0" fontId="47" fillId="0" borderId="57" xfId="0" applyFont="1" applyBorder="1" applyAlignment="1">
      <alignment horizontal="center" vertical="center"/>
    </xf>
    <xf numFmtId="0" fontId="47" fillId="0" borderId="35" xfId="0" applyFont="1" applyBorder="1" applyAlignment="1">
      <alignment horizontal="center" vertical="center"/>
    </xf>
    <xf numFmtId="0" fontId="47" fillId="0" borderId="59" xfId="0" applyFont="1" applyBorder="1" applyAlignment="1">
      <alignment horizontal="center" vertical="center"/>
    </xf>
    <xf numFmtId="0" fontId="47" fillId="0" borderId="51" xfId="0" applyFont="1" applyBorder="1" applyAlignment="1">
      <alignment horizontal="center" vertical="center"/>
    </xf>
    <xf numFmtId="0" fontId="47" fillId="0" borderId="7" xfId="0" applyNumberFormat="1" applyFont="1" applyBorder="1" applyAlignment="1" applyProtection="1">
      <alignment horizontal="left" vertical="center" wrapText="1"/>
      <protection locked="0"/>
    </xf>
    <xf numFmtId="0" fontId="45" fillId="0" borderId="0" xfId="0" applyFont="1" applyAlignment="1">
      <alignment horizontal="center"/>
    </xf>
    <xf numFmtId="0" fontId="45" fillId="3" borderId="32" xfId="0" applyFont="1" applyFill="1" applyBorder="1" applyAlignment="1">
      <alignment horizontal="center" vertical="center" wrapText="1"/>
    </xf>
    <xf numFmtId="0" fontId="45" fillId="3" borderId="33" xfId="0" applyFont="1" applyFill="1" applyBorder="1" applyAlignment="1">
      <alignment horizontal="center" vertical="center" wrapText="1"/>
    </xf>
    <xf numFmtId="0" fontId="47" fillId="0" borderId="38" xfId="0" applyNumberFormat="1" applyFont="1" applyBorder="1" applyAlignment="1" applyProtection="1">
      <alignment horizontal="center" vertical="center"/>
      <protection locked="0"/>
    </xf>
    <xf numFmtId="0" fontId="47" fillId="0" borderId="34" xfId="0" applyNumberFormat="1" applyFont="1" applyBorder="1" applyAlignment="1" applyProtection="1">
      <alignment horizontal="center" vertical="center"/>
      <protection locked="0"/>
    </xf>
    <xf numFmtId="0" fontId="47" fillId="0" borderId="44" xfId="0" applyNumberFormat="1" applyFont="1" applyBorder="1" applyAlignment="1" applyProtection="1">
      <alignment horizontal="center" vertical="center"/>
      <protection locked="0"/>
    </xf>
    <xf numFmtId="0" fontId="47" fillId="4" borderId="43" xfId="0" applyNumberFormat="1" applyFont="1" applyFill="1" applyBorder="1" applyAlignment="1" applyProtection="1">
      <alignment horizontal="center" vertical="center" wrapText="1"/>
      <protection locked="0"/>
    </xf>
    <xf numFmtId="0" fontId="47" fillId="4" borderId="30" xfId="0" applyNumberFormat="1" applyFont="1" applyFill="1" applyBorder="1" applyAlignment="1" applyProtection="1">
      <alignment horizontal="center" vertical="center" wrapText="1"/>
      <protection locked="0"/>
    </xf>
    <xf numFmtId="0" fontId="47" fillId="4" borderId="27"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protection locked="0"/>
    </xf>
    <xf numFmtId="0" fontId="47" fillId="0" borderId="44" xfId="0" applyNumberFormat="1" applyFont="1" applyFill="1" applyBorder="1" applyAlignment="1" applyProtection="1">
      <alignment horizontal="center" vertical="center"/>
      <protection locked="0"/>
    </xf>
    <xf numFmtId="0" fontId="47" fillId="0" borderId="10" xfId="0" applyNumberFormat="1" applyFont="1" applyFill="1" applyBorder="1" applyAlignment="1" applyProtection="1">
      <alignment horizontal="center" vertical="center" wrapText="1"/>
      <protection locked="0"/>
    </xf>
    <xf numFmtId="0" fontId="47" fillId="0" borderId="30" xfId="0" applyNumberFormat="1" applyFont="1" applyFill="1" applyBorder="1" applyAlignment="1" applyProtection="1">
      <alignment horizontal="center" vertical="center" wrapText="1"/>
      <protection locked="0"/>
    </xf>
    <xf numFmtId="0" fontId="5" fillId="5" borderId="20" xfId="30" applyFill="1" applyBorder="1" applyAlignment="1">
      <alignment horizontal="center"/>
    </xf>
    <xf numFmtId="0" fontId="27" fillId="6" borderId="69" xfId="30" applyFont="1" applyFill="1" applyBorder="1" applyAlignment="1">
      <alignment horizontal="center" vertical="center"/>
    </xf>
    <xf numFmtId="0" fontId="27" fillId="6" borderId="70" xfId="30" applyFont="1" applyFill="1" applyBorder="1" applyAlignment="1">
      <alignment horizontal="center" vertical="center"/>
    </xf>
    <xf numFmtId="0" fontId="27" fillId="6" borderId="71" xfId="30" applyFont="1" applyFill="1" applyBorder="1" applyAlignment="1">
      <alignment horizontal="center" vertical="center"/>
    </xf>
    <xf numFmtId="0" fontId="44" fillId="0" borderId="0" xfId="25" applyFont="1" applyAlignment="1">
      <alignment horizontal="center"/>
    </xf>
    <xf numFmtId="0" fontId="5" fillId="5" borderId="89" xfId="30" applyFill="1" applyBorder="1" applyAlignment="1">
      <alignment horizontal="right"/>
    </xf>
    <xf numFmtId="0" fontId="5" fillId="5" borderId="90" xfId="30" applyFill="1" applyBorder="1" applyAlignment="1">
      <alignment horizontal="right"/>
    </xf>
    <xf numFmtId="0" fontId="5" fillId="5" borderId="91" xfId="30" applyFill="1" applyBorder="1" applyAlignment="1">
      <alignment horizontal="right"/>
    </xf>
    <xf numFmtId="0" fontId="30" fillId="6" borderId="85" xfId="30" applyFont="1" applyFill="1" applyBorder="1" applyAlignment="1">
      <alignment horizontal="center"/>
    </xf>
    <xf numFmtId="0" fontId="30" fillId="6" borderId="86" xfId="30" applyFont="1" applyFill="1" applyBorder="1" applyAlignment="1">
      <alignment horizontal="center"/>
    </xf>
    <xf numFmtId="0" fontId="30" fillId="6" borderId="87" xfId="30" applyFont="1" applyFill="1" applyBorder="1" applyAlignment="1">
      <alignment horizontal="center"/>
    </xf>
    <xf numFmtId="0" fontId="5" fillId="5" borderId="80" xfId="30" applyFill="1" applyBorder="1" applyAlignment="1">
      <alignment horizontal="right"/>
    </xf>
    <xf numFmtId="0" fontId="5" fillId="5" borderId="81" xfId="30" applyFill="1" applyBorder="1" applyAlignment="1">
      <alignment horizontal="right"/>
    </xf>
    <xf numFmtId="0" fontId="5" fillId="5" borderId="57" xfId="30" applyFill="1" applyBorder="1" applyAlignment="1">
      <alignment horizontal="right"/>
    </xf>
    <xf numFmtId="0" fontId="30" fillId="6" borderId="66" xfId="30" applyFont="1" applyFill="1" applyBorder="1" applyAlignment="1">
      <alignment horizontal="center"/>
    </xf>
    <xf numFmtId="0" fontId="30" fillId="6" borderId="0" xfId="30" applyFont="1" applyFill="1" applyBorder="1" applyAlignment="1">
      <alignment horizontal="center"/>
    </xf>
    <xf numFmtId="0" fontId="30" fillId="6" borderId="65" xfId="30" applyFont="1" applyFill="1" applyBorder="1" applyAlignment="1">
      <alignment horizontal="center"/>
    </xf>
    <xf numFmtId="0" fontId="30" fillId="6" borderId="66" xfId="29" applyFont="1" applyFill="1" applyBorder="1" applyAlignment="1">
      <alignment horizontal="center"/>
    </xf>
    <xf numFmtId="0" fontId="30" fillId="6" borderId="0" xfId="29" applyFont="1" applyFill="1" applyBorder="1" applyAlignment="1">
      <alignment horizontal="center"/>
    </xf>
    <xf numFmtId="0" fontId="30" fillId="6" borderId="65" xfId="29" applyFont="1" applyFill="1" applyBorder="1" applyAlignment="1">
      <alignment horizontal="center"/>
    </xf>
    <xf numFmtId="0" fontId="30" fillId="6" borderId="85" xfId="29" applyFont="1" applyFill="1" applyBorder="1" applyAlignment="1">
      <alignment horizontal="center"/>
    </xf>
    <xf numFmtId="0" fontId="30" fillId="6" borderId="86" xfId="29" applyFont="1" applyFill="1" applyBorder="1" applyAlignment="1">
      <alignment horizontal="center"/>
    </xf>
    <xf numFmtId="0" fontId="30" fillId="6" borderId="87" xfId="29" applyFont="1" applyFill="1" applyBorder="1" applyAlignment="1">
      <alignment horizontal="center"/>
    </xf>
    <xf numFmtId="0" fontId="6" fillId="5" borderId="80" xfId="29" applyFill="1" applyBorder="1" applyAlignment="1">
      <alignment horizontal="right"/>
    </xf>
    <xf numFmtId="0" fontId="6" fillId="5" borderId="81" xfId="29" applyFill="1" applyBorder="1" applyAlignment="1">
      <alignment horizontal="right"/>
    </xf>
    <xf numFmtId="0" fontId="6" fillId="5" borderId="57" xfId="29" applyFill="1" applyBorder="1" applyAlignment="1">
      <alignment horizontal="right"/>
    </xf>
    <xf numFmtId="164" fontId="49" fillId="0" borderId="0" xfId="1" applyNumberFormat="1" applyFont="1" applyAlignment="1">
      <alignment horizontal="center" vertical="center" wrapText="1"/>
    </xf>
    <xf numFmtId="0" fontId="50" fillId="0" borderId="29" xfId="1" applyFont="1" applyFill="1" applyBorder="1" applyAlignment="1">
      <alignment horizontal="center" vertical="top" wrapText="1"/>
    </xf>
    <xf numFmtId="0" fontId="50" fillId="0" borderId="21" xfId="1" applyFont="1" applyFill="1" applyBorder="1" applyAlignment="1">
      <alignment horizontal="center" vertical="top" wrapText="1"/>
    </xf>
    <xf numFmtId="0" fontId="50" fillId="0" borderId="40" xfId="1" applyFont="1" applyFill="1" applyBorder="1" applyAlignment="1">
      <alignment horizontal="center" vertical="top" wrapText="1"/>
    </xf>
    <xf numFmtId="0" fontId="50" fillId="0" borderId="0" xfId="1" applyFont="1" applyAlignment="1">
      <alignment horizontal="center"/>
    </xf>
    <xf numFmtId="0" fontId="49" fillId="0" borderId="0" xfId="1" applyFont="1" applyAlignment="1">
      <alignment horizontal="left" wrapText="1"/>
    </xf>
    <xf numFmtId="0" fontId="45" fillId="3" borderId="10" xfId="1" applyFont="1" applyFill="1" applyBorder="1" applyAlignment="1">
      <alignment horizontal="center" vertical="center" wrapText="1"/>
    </xf>
    <xf numFmtId="0" fontId="45" fillId="3" borderId="13" xfId="1" applyFont="1" applyFill="1" applyBorder="1" applyAlignment="1">
      <alignment horizontal="center" vertical="center" wrapText="1"/>
    </xf>
    <xf numFmtId="0" fontId="48" fillId="0" borderId="38" xfId="1" applyFont="1" applyFill="1" applyBorder="1" applyAlignment="1">
      <alignment horizontal="center" vertical="center" wrapText="1"/>
    </xf>
    <xf numFmtId="0" fontId="48" fillId="0" borderId="39" xfId="1" applyFont="1" applyFill="1" applyBorder="1" applyAlignment="1">
      <alignment horizontal="center" vertical="center" wrapText="1"/>
    </xf>
    <xf numFmtId="0" fontId="48" fillId="0" borderId="27" xfId="1" applyFont="1" applyFill="1" applyBorder="1" applyAlignment="1">
      <alignment horizontal="center" vertical="center" wrapText="1"/>
    </xf>
    <xf numFmtId="0" fontId="48" fillId="0" borderId="25" xfId="1" applyFont="1" applyFill="1" applyBorder="1" applyAlignment="1">
      <alignment horizontal="center" vertical="center" wrapText="1"/>
    </xf>
    <xf numFmtId="0" fontId="50" fillId="0" borderId="0" xfId="1" applyFont="1" applyAlignment="1">
      <alignment horizontal="center" wrapText="1"/>
    </xf>
    <xf numFmtId="0" fontId="17" fillId="0" borderId="0" xfId="1" applyFont="1" applyAlignment="1">
      <alignment horizontal="center"/>
    </xf>
    <xf numFmtId="0" fontId="21" fillId="0" borderId="0" xfId="1" applyFont="1" applyAlignment="1">
      <alignment horizontal="left" wrapText="1"/>
    </xf>
  </cellXfs>
  <cellStyles count="32">
    <cellStyle name="Comma 2" xfId="3"/>
    <cellStyle name="Comma 3" xfId="9"/>
    <cellStyle name="Comma 4" xfId="10"/>
    <cellStyle name="Comma 5" xfId="8"/>
    <cellStyle name="Currency" xfId="5" builtinId="4"/>
    <cellStyle name="Currency 2" xfId="12"/>
    <cellStyle name="Currency 3" xfId="11"/>
    <cellStyle name="Normal" xfId="0" builtinId="0"/>
    <cellStyle name="Normal 10" xfId="24"/>
    <cellStyle name="Normal 11" xfId="6"/>
    <cellStyle name="Normal 12" xfId="25"/>
    <cellStyle name="Normal 13" xfId="27"/>
    <cellStyle name="Normal 14" xfId="29"/>
    <cellStyle name="Normal 15" xfId="30"/>
    <cellStyle name="Normal 2" xfId="1"/>
    <cellStyle name="Normal 2 2" xfId="13"/>
    <cellStyle name="Normal 2 2 2" xfId="14"/>
    <cellStyle name="Normal 2 3" xfId="15"/>
    <cellStyle name="Normal 2_Appendix B - Emission Inventory &amp; Calculations 092109" xfId="16"/>
    <cellStyle name="Normal 3" xfId="4"/>
    <cellStyle name="Normal 4" xfId="17"/>
    <cellStyle name="Normal 5" xfId="18"/>
    <cellStyle name="Normal 6" xfId="19"/>
    <cellStyle name="Normal 7" xfId="20"/>
    <cellStyle name="Normal 8" xfId="21"/>
    <cellStyle name="Normal 9" xfId="7"/>
    <cellStyle name="Normal_Sheet2 (2)" xfId="2"/>
    <cellStyle name="Percent 2" xfId="23"/>
    <cellStyle name="Percent 3" xfId="22"/>
    <cellStyle name="Percent 4" xfId="26"/>
    <cellStyle name="Percent 5" xfId="28"/>
    <cellStyle name="Percent 6" xfId="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ckerlund\AppData\Local\Microsoft\Windows\Temporary%20Internet%20Files\Content.Outlook\0AAGPZKT\ULSD%20(No%20Tank)%20-%20UAF%20EUID%203%20(Zur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ckerlund\AppData\Local\Microsoft\Windows\Temporary%20Internet%20Files\Content.Outlook\0AAGPZKT\ULSD%20(No%20Tank)%20-%20UAF%20EUID%204%20(Zur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ckerlund\AppData\Local\Microsoft\Windows\Temporary%20Internet%20Files\Content.Outlook\0AAGPZKT\ULSD%20(No%20Tank)%20-%20UAF%20EUID%208%20(DE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Lpeterson\Desktop\Liberty%20PSD%20Permit%20Application\Liberty%20Revised%20Application%20Sec%205%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Sheet3"/>
    </sheetNames>
    <sheetDataSet>
      <sheetData sheetId="0">
        <row r="44">
          <cell r="K44">
            <v>0</v>
          </cell>
        </row>
        <row r="47">
          <cell r="K47">
            <v>0</v>
          </cell>
        </row>
        <row r="62">
          <cell r="K62">
            <v>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Cost Effectiveness"/>
      <sheetName val="Sheet3"/>
    </sheetNames>
    <sheetDataSet>
      <sheetData sheetId="0">
        <row r="62">
          <cell r="K62">
            <v>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apital Investment"/>
      <sheetName val="Cost Effectiveness"/>
      <sheetName val="Sheet3"/>
    </sheetNames>
    <sheetDataSet>
      <sheetData sheetId="0">
        <row r="62">
          <cell r="K62">
            <v>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2"/>
      <sheetName val="5-3"/>
      <sheetName val="5-4"/>
      <sheetName val="5-5"/>
      <sheetName val="5-6"/>
      <sheetName val="5-7"/>
      <sheetName val="5-8"/>
      <sheetName val="5-9"/>
      <sheetName val="5-10"/>
      <sheetName val="5-11"/>
      <sheetName val="5-12"/>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 val="5-30"/>
      <sheetName val="5-31"/>
      <sheetName val="5-32"/>
      <sheetName val="5-33"/>
    </sheetNames>
    <sheetDataSet>
      <sheetData sheetId="0">
        <row r="6">
          <cell r="B6" t="str">
            <v>Solar Taurus Turbine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view="pageLayout" zoomScaleNormal="100" workbookViewId="0">
      <selection activeCell="B5" sqref="B5"/>
    </sheetView>
  </sheetViews>
  <sheetFormatPr defaultColWidth="23.140625" defaultRowHeight="14.25" x14ac:dyDescent="0.2"/>
  <cols>
    <col min="1" max="1" width="9.5703125" style="282" customWidth="1"/>
    <col min="2" max="2" width="33.28515625" style="282" customWidth="1"/>
    <col min="3" max="3" width="41.5703125" style="283" customWidth="1"/>
    <col min="4" max="4" width="3.42578125" style="283" customWidth="1"/>
    <col min="5" max="251" width="23.140625" style="283"/>
    <col min="252" max="252" width="15.7109375" style="283" customWidth="1"/>
    <col min="253" max="253" width="25.7109375" style="283" customWidth="1"/>
    <col min="254" max="254" width="30.7109375" style="283" customWidth="1"/>
    <col min="255" max="507" width="23.140625" style="283"/>
    <col min="508" max="508" width="15.7109375" style="283" customWidth="1"/>
    <col min="509" max="509" width="25.7109375" style="283" customWidth="1"/>
    <col min="510" max="510" width="30.7109375" style="283" customWidth="1"/>
    <col min="511" max="763" width="23.140625" style="283"/>
    <col min="764" max="764" width="15.7109375" style="283" customWidth="1"/>
    <col min="765" max="765" width="25.7109375" style="283" customWidth="1"/>
    <col min="766" max="766" width="30.7109375" style="283" customWidth="1"/>
    <col min="767" max="1019" width="23.140625" style="283"/>
    <col min="1020" max="1020" width="15.7109375" style="283" customWidth="1"/>
    <col min="1021" max="1021" width="25.7109375" style="283" customWidth="1"/>
    <col min="1022" max="1022" width="30.7109375" style="283" customWidth="1"/>
    <col min="1023" max="1275" width="23.140625" style="283"/>
    <col min="1276" max="1276" width="15.7109375" style="283" customWidth="1"/>
    <col min="1277" max="1277" width="25.7109375" style="283" customWidth="1"/>
    <col min="1278" max="1278" width="30.7109375" style="283" customWidth="1"/>
    <col min="1279" max="1531" width="23.140625" style="283"/>
    <col min="1532" max="1532" width="15.7109375" style="283" customWidth="1"/>
    <col min="1533" max="1533" width="25.7109375" style="283" customWidth="1"/>
    <col min="1534" max="1534" width="30.7109375" style="283" customWidth="1"/>
    <col min="1535" max="1787" width="23.140625" style="283"/>
    <col min="1788" max="1788" width="15.7109375" style="283" customWidth="1"/>
    <col min="1789" max="1789" width="25.7109375" style="283" customWidth="1"/>
    <col min="1790" max="1790" width="30.7109375" style="283" customWidth="1"/>
    <col min="1791" max="2043" width="23.140625" style="283"/>
    <col min="2044" max="2044" width="15.7109375" style="283" customWidth="1"/>
    <col min="2045" max="2045" width="25.7109375" style="283" customWidth="1"/>
    <col min="2046" max="2046" width="30.7109375" style="283" customWidth="1"/>
    <col min="2047" max="2299" width="23.140625" style="283"/>
    <col min="2300" max="2300" width="15.7109375" style="283" customWidth="1"/>
    <col min="2301" max="2301" width="25.7109375" style="283" customWidth="1"/>
    <col min="2302" max="2302" width="30.7109375" style="283" customWidth="1"/>
    <col min="2303" max="2555" width="23.140625" style="283"/>
    <col min="2556" max="2556" width="15.7109375" style="283" customWidth="1"/>
    <col min="2557" max="2557" width="25.7109375" style="283" customWidth="1"/>
    <col min="2558" max="2558" width="30.7109375" style="283" customWidth="1"/>
    <col min="2559" max="2811" width="23.140625" style="283"/>
    <col min="2812" max="2812" width="15.7109375" style="283" customWidth="1"/>
    <col min="2813" max="2813" width="25.7109375" style="283" customWidth="1"/>
    <col min="2814" max="2814" width="30.7109375" style="283" customWidth="1"/>
    <col min="2815" max="3067" width="23.140625" style="283"/>
    <col min="3068" max="3068" width="15.7109375" style="283" customWidth="1"/>
    <col min="3069" max="3069" width="25.7109375" style="283" customWidth="1"/>
    <col min="3070" max="3070" width="30.7109375" style="283" customWidth="1"/>
    <col min="3071" max="3323" width="23.140625" style="283"/>
    <col min="3324" max="3324" width="15.7109375" style="283" customWidth="1"/>
    <col min="3325" max="3325" width="25.7109375" style="283" customWidth="1"/>
    <col min="3326" max="3326" width="30.7109375" style="283" customWidth="1"/>
    <col min="3327" max="3579" width="23.140625" style="283"/>
    <col min="3580" max="3580" width="15.7109375" style="283" customWidth="1"/>
    <col min="3581" max="3581" width="25.7109375" style="283" customWidth="1"/>
    <col min="3582" max="3582" width="30.7109375" style="283" customWidth="1"/>
    <col min="3583" max="3835" width="23.140625" style="283"/>
    <col min="3836" max="3836" width="15.7109375" style="283" customWidth="1"/>
    <col min="3837" max="3837" width="25.7109375" style="283" customWidth="1"/>
    <col min="3838" max="3838" width="30.7109375" style="283" customWidth="1"/>
    <col min="3839" max="4091" width="23.140625" style="283"/>
    <col min="4092" max="4092" width="15.7109375" style="283" customWidth="1"/>
    <col min="4093" max="4093" width="25.7109375" style="283" customWidth="1"/>
    <col min="4094" max="4094" width="30.7109375" style="283" customWidth="1"/>
    <col min="4095" max="4347" width="23.140625" style="283"/>
    <col min="4348" max="4348" width="15.7109375" style="283" customWidth="1"/>
    <col min="4349" max="4349" width="25.7109375" style="283" customWidth="1"/>
    <col min="4350" max="4350" width="30.7109375" style="283" customWidth="1"/>
    <col min="4351" max="4603" width="23.140625" style="283"/>
    <col min="4604" max="4604" width="15.7109375" style="283" customWidth="1"/>
    <col min="4605" max="4605" width="25.7109375" style="283" customWidth="1"/>
    <col min="4606" max="4606" width="30.7109375" style="283" customWidth="1"/>
    <col min="4607" max="4859" width="23.140625" style="283"/>
    <col min="4860" max="4860" width="15.7109375" style="283" customWidth="1"/>
    <col min="4861" max="4861" width="25.7109375" style="283" customWidth="1"/>
    <col min="4862" max="4862" width="30.7109375" style="283" customWidth="1"/>
    <col min="4863" max="5115" width="23.140625" style="283"/>
    <col min="5116" max="5116" width="15.7109375" style="283" customWidth="1"/>
    <col min="5117" max="5117" width="25.7109375" style="283" customWidth="1"/>
    <col min="5118" max="5118" width="30.7109375" style="283" customWidth="1"/>
    <col min="5119" max="5371" width="23.140625" style="283"/>
    <col min="5372" max="5372" width="15.7109375" style="283" customWidth="1"/>
    <col min="5373" max="5373" width="25.7109375" style="283" customWidth="1"/>
    <col min="5374" max="5374" width="30.7109375" style="283" customWidth="1"/>
    <col min="5375" max="5627" width="23.140625" style="283"/>
    <col min="5628" max="5628" width="15.7109375" style="283" customWidth="1"/>
    <col min="5629" max="5629" width="25.7109375" style="283" customWidth="1"/>
    <col min="5630" max="5630" width="30.7109375" style="283" customWidth="1"/>
    <col min="5631" max="5883" width="23.140625" style="283"/>
    <col min="5884" max="5884" width="15.7109375" style="283" customWidth="1"/>
    <col min="5885" max="5885" width="25.7109375" style="283" customWidth="1"/>
    <col min="5886" max="5886" width="30.7109375" style="283" customWidth="1"/>
    <col min="5887" max="6139" width="23.140625" style="283"/>
    <col min="6140" max="6140" width="15.7109375" style="283" customWidth="1"/>
    <col min="6141" max="6141" width="25.7109375" style="283" customWidth="1"/>
    <col min="6142" max="6142" width="30.7109375" style="283" customWidth="1"/>
    <col min="6143" max="6395" width="23.140625" style="283"/>
    <col min="6396" max="6396" width="15.7109375" style="283" customWidth="1"/>
    <col min="6397" max="6397" width="25.7109375" style="283" customWidth="1"/>
    <col min="6398" max="6398" width="30.7109375" style="283" customWidth="1"/>
    <col min="6399" max="6651" width="23.140625" style="283"/>
    <col min="6652" max="6652" width="15.7109375" style="283" customWidth="1"/>
    <col min="6653" max="6653" width="25.7109375" style="283" customWidth="1"/>
    <col min="6654" max="6654" width="30.7109375" style="283" customWidth="1"/>
    <col min="6655" max="6907" width="23.140625" style="283"/>
    <col min="6908" max="6908" width="15.7109375" style="283" customWidth="1"/>
    <col min="6909" max="6909" width="25.7109375" style="283" customWidth="1"/>
    <col min="6910" max="6910" width="30.7109375" style="283" customWidth="1"/>
    <col min="6911" max="7163" width="23.140625" style="283"/>
    <col min="7164" max="7164" width="15.7109375" style="283" customWidth="1"/>
    <col min="7165" max="7165" width="25.7109375" style="283" customWidth="1"/>
    <col min="7166" max="7166" width="30.7109375" style="283" customWidth="1"/>
    <col min="7167" max="7419" width="23.140625" style="283"/>
    <col min="7420" max="7420" width="15.7109375" style="283" customWidth="1"/>
    <col min="7421" max="7421" width="25.7109375" style="283" customWidth="1"/>
    <col min="7422" max="7422" width="30.7109375" style="283" customWidth="1"/>
    <col min="7423" max="7675" width="23.140625" style="283"/>
    <col min="7676" max="7676" width="15.7109375" style="283" customWidth="1"/>
    <col min="7677" max="7677" width="25.7109375" style="283" customWidth="1"/>
    <col min="7678" max="7678" width="30.7109375" style="283" customWidth="1"/>
    <col min="7679" max="7931" width="23.140625" style="283"/>
    <col min="7932" max="7932" width="15.7109375" style="283" customWidth="1"/>
    <col min="7933" max="7933" width="25.7109375" style="283" customWidth="1"/>
    <col min="7934" max="7934" width="30.7109375" style="283" customWidth="1"/>
    <col min="7935" max="8187" width="23.140625" style="283"/>
    <col min="8188" max="8188" width="15.7109375" style="283" customWidth="1"/>
    <col min="8189" max="8189" width="25.7109375" style="283" customWidth="1"/>
    <col min="8190" max="8190" width="30.7109375" style="283" customWidth="1"/>
    <col min="8191" max="8443" width="23.140625" style="283"/>
    <col min="8444" max="8444" width="15.7109375" style="283" customWidth="1"/>
    <col min="8445" max="8445" width="25.7109375" style="283" customWidth="1"/>
    <col min="8446" max="8446" width="30.7109375" style="283" customWidth="1"/>
    <col min="8447" max="8699" width="23.140625" style="283"/>
    <col min="8700" max="8700" width="15.7109375" style="283" customWidth="1"/>
    <col min="8701" max="8701" width="25.7109375" style="283" customWidth="1"/>
    <col min="8702" max="8702" width="30.7109375" style="283" customWidth="1"/>
    <col min="8703" max="8955" width="23.140625" style="283"/>
    <col min="8956" max="8956" width="15.7109375" style="283" customWidth="1"/>
    <col min="8957" max="8957" width="25.7109375" style="283" customWidth="1"/>
    <col min="8958" max="8958" width="30.7109375" style="283" customWidth="1"/>
    <col min="8959" max="9211" width="23.140625" style="283"/>
    <col min="9212" max="9212" width="15.7109375" style="283" customWidth="1"/>
    <col min="9213" max="9213" width="25.7109375" style="283" customWidth="1"/>
    <col min="9214" max="9214" width="30.7109375" style="283" customWidth="1"/>
    <col min="9215" max="9467" width="23.140625" style="283"/>
    <col min="9468" max="9468" width="15.7109375" style="283" customWidth="1"/>
    <col min="9469" max="9469" width="25.7109375" style="283" customWidth="1"/>
    <col min="9470" max="9470" width="30.7109375" style="283" customWidth="1"/>
    <col min="9471" max="9723" width="23.140625" style="283"/>
    <col min="9724" max="9724" width="15.7109375" style="283" customWidth="1"/>
    <col min="9725" max="9725" width="25.7109375" style="283" customWidth="1"/>
    <col min="9726" max="9726" width="30.7109375" style="283" customWidth="1"/>
    <col min="9727" max="9979" width="23.140625" style="283"/>
    <col min="9980" max="9980" width="15.7109375" style="283" customWidth="1"/>
    <col min="9981" max="9981" width="25.7109375" style="283" customWidth="1"/>
    <col min="9982" max="9982" width="30.7109375" style="283" customWidth="1"/>
    <col min="9983" max="10235" width="23.140625" style="283"/>
    <col min="10236" max="10236" width="15.7109375" style="283" customWidth="1"/>
    <col min="10237" max="10237" width="25.7109375" style="283" customWidth="1"/>
    <col min="10238" max="10238" width="30.7109375" style="283" customWidth="1"/>
    <col min="10239" max="10491" width="23.140625" style="283"/>
    <col min="10492" max="10492" width="15.7109375" style="283" customWidth="1"/>
    <col min="10493" max="10493" width="25.7109375" style="283" customWidth="1"/>
    <col min="10494" max="10494" width="30.7109375" style="283" customWidth="1"/>
    <col min="10495" max="10747" width="23.140625" style="283"/>
    <col min="10748" max="10748" width="15.7109375" style="283" customWidth="1"/>
    <col min="10749" max="10749" width="25.7109375" style="283" customWidth="1"/>
    <col min="10750" max="10750" width="30.7109375" style="283" customWidth="1"/>
    <col min="10751" max="11003" width="23.140625" style="283"/>
    <col min="11004" max="11004" width="15.7109375" style="283" customWidth="1"/>
    <col min="11005" max="11005" width="25.7109375" style="283" customWidth="1"/>
    <col min="11006" max="11006" width="30.7109375" style="283" customWidth="1"/>
    <col min="11007" max="11259" width="23.140625" style="283"/>
    <col min="11260" max="11260" width="15.7109375" style="283" customWidth="1"/>
    <col min="11261" max="11261" width="25.7109375" style="283" customWidth="1"/>
    <col min="11262" max="11262" width="30.7109375" style="283" customWidth="1"/>
    <col min="11263" max="11515" width="23.140625" style="283"/>
    <col min="11516" max="11516" width="15.7109375" style="283" customWidth="1"/>
    <col min="11517" max="11517" width="25.7109375" style="283" customWidth="1"/>
    <col min="11518" max="11518" width="30.7109375" style="283" customWidth="1"/>
    <col min="11519" max="11771" width="23.140625" style="283"/>
    <col min="11772" max="11772" width="15.7109375" style="283" customWidth="1"/>
    <col min="11773" max="11773" width="25.7109375" style="283" customWidth="1"/>
    <col min="11774" max="11774" width="30.7109375" style="283" customWidth="1"/>
    <col min="11775" max="12027" width="23.140625" style="283"/>
    <col min="12028" max="12028" width="15.7109375" style="283" customWidth="1"/>
    <col min="12029" max="12029" width="25.7109375" style="283" customWidth="1"/>
    <col min="12030" max="12030" width="30.7109375" style="283" customWidth="1"/>
    <col min="12031" max="12283" width="23.140625" style="283"/>
    <col min="12284" max="12284" width="15.7109375" style="283" customWidth="1"/>
    <col min="12285" max="12285" width="25.7109375" style="283" customWidth="1"/>
    <col min="12286" max="12286" width="30.7109375" style="283" customWidth="1"/>
    <col min="12287" max="12539" width="23.140625" style="283"/>
    <col min="12540" max="12540" width="15.7109375" style="283" customWidth="1"/>
    <col min="12541" max="12541" width="25.7109375" style="283" customWidth="1"/>
    <col min="12542" max="12542" width="30.7109375" style="283" customWidth="1"/>
    <col min="12543" max="12795" width="23.140625" style="283"/>
    <col min="12796" max="12796" width="15.7109375" style="283" customWidth="1"/>
    <col min="12797" max="12797" width="25.7109375" style="283" customWidth="1"/>
    <col min="12798" max="12798" width="30.7109375" style="283" customWidth="1"/>
    <col min="12799" max="13051" width="23.140625" style="283"/>
    <col min="13052" max="13052" width="15.7109375" style="283" customWidth="1"/>
    <col min="13053" max="13053" width="25.7109375" style="283" customWidth="1"/>
    <col min="13054" max="13054" width="30.7109375" style="283" customWidth="1"/>
    <col min="13055" max="13307" width="23.140625" style="283"/>
    <col min="13308" max="13308" width="15.7109375" style="283" customWidth="1"/>
    <col min="13309" max="13309" width="25.7109375" style="283" customWidth="1"/>
    <col min="13310" max="13310" width="30.7109375" style="283" customWidth="1"/>
    <col min="13311" max="13563" width="23.140625" style="283"/>
    <col min="13564" max="13564" width="15.7109375" style="283" customWidth="1"/>
    <col min="13565" max="13565" width="25.7109375" style="283" customWidth="1"/>
    <col min="13566" max="13566" width="30.7109375" style="283" customWidth="1"/>
    <col min="13567" max="13819" width="23.140625" style="283"/>
    <col min="13820" max="13820" width="15.7109375" style="283" customWidth="1"/>
    <col min="13821" max="13821" width="25.7109375" style="283" customWidth="1"/>
    <col min="13822" max="13822" width="30.7109375" style="283" customWidth="1"/>
    <col min="13823" max="14075" width="23.140625" style="283"/>
    <col min="14076" max="14076" width="15.7109375" style="283" customWidth="1"/>
    <col min="14077" max="14077" width="25.7109375" style="283" customWidth="1"/>
    <col min="14078" max="14078" width="30.7109375" style="283" customWidth="1"/>
    <col min="14079" max="14331" width="23.140625" style="283"/>
    <col min="14332" max="14332" width="15.7109375" style="283" customWidth="1"/>
    <col min="14333" max="14333" width="25.7109375" style="283" customWidth="1"/>
    <col min="14334" max="14334" width="30.7109375" style="283" customWidth="1"/>
    <col min="14335" max="14587" width="23.140625" style="283"/>
    <col min="14588" max="14588" width="15.7109375" style="283" customWidth="1"/>
    <col min="14589" max="14589" width="25.7109375" style="283" customWidth="1"/>
    <col min="14590" max="14590" width="30.7109375" style="283" customWidth="1"/>
    <col min="14591" max="14843" width="23.140625" style="283"/>
    <col min="14844" max="14844" width="15.7109375" style="283" customWidth="1"/>
    <col min="14845" max="14845" width="25.7109375" style="283" customWidth="1"/>
    <col min="14846" max="14846" width="30.7109375" style="283" customWidth="1"/>
    <col min="14847" max="15099" width="23.140625" style="283"/>
    <col min="15100" max="15100" width="15.7109375" style="283" customWidth="1"/>
    <col min="15101" max="15101" width="25.7109375" style="283" customWidth="1"/>
    <col min="15102" max="15102" width="30.7109375" style="283" customWidth="1"/>
    <col min="15103" max="15355" width="23.140625" style="283"/>
    <col min="15356" max="15356" width="15.7109375" style="283" customWidth="1"/>
    <col min="15357" max="15357" width="25.7109375" style="283" customWidth="1"/>
    <col min="15358" max="15358" width="30.7109375" style="283" customWidth="1"/>
    <col min="15359" max="15611" width="23.140625" style="283"/>
    <col min="15612" max="15612" width="15.7109375" style="283" customWidth="1"/>
    <col min="15613" max="15613" width="25.7109375" style="283" customWidth="1"/>
    <col min="15614" max="15614" width="30.7109375" style="283" customWidth="1"/>
    <col min="15615" max="15867" width="23.140625" style="283"/>
    <col min="15868" max="15868" width="15.7109375" style="283" customWidth="1"/>
    <col min="15869" max="15869" width="25.7109375" style="283" customWidth="1"/>
    <col min="15870" max="15870" width="30.7109375" style="283" customWidth="1"/>
    <col min="15871" max="16123" width="23.140625" style="283"/>
    <col min="16124" max="16124" width="15.7109375" style="283" customWidth="1"/>
    <col min="16125" max="16125" width="25.7109375" style="283" customWidth="1"/>
    <col min="16126" max="16126" width="30.7109375" style="283" customWidth="1"/>
    <col min="16127" max="16384" width="23.140625" style="283"/>
  </cols>
  <sheetData>
    <row r="1" spans="1:5" ht="16.5" x14ac:dyDescent="0.3">
      <c r="A1" s="281" t="s">
        <v>259</v>
      </c>
      <c r="B1" s="281"/>
      <c r="C1" s="281"/>
    </row>
    <row r="2" spans="1:5" ht="15" thickBot="1" x14ac:dyDescent="0.25"/>
    <row r="3" spans="1:5" ht="15" x14ac:dyDescent="0.2">
      <c r="A3" s="306" t="s">
        <v>16</v>
      </c>
      <c r="B3" s="307"/>
      <c r="C3" s="325" t="s">
        <v>21</v>
      </c>
    </row>
    <row r="4" spans="1:5" ht="15.75" thickBot="1" x14ac:dyDescent="0.25">
      <c r="A4" s="308" t="s">
        <v>18</v>
      </c>
      <c r="B4" s="309" t="s">
        <v>22</v>
      </c>
      <c r="C4" s="326" t="s">
        <v>23</v>
      </c>
    </row>
    <row r="5" spans="1:5" ht="15.75" thickTop="1" x14ac:dyDescent="0.2">
      <c r="A5" s="311"/>
      <c r="B5" s="312"/>
      <c r="C5" s="313"/>
    </row>
    <row r="6" spans="1:5" x14ac:dyDescent="0.2">
      <c r="A6" s="427">
        <v>113</v>
      </c>
      <c r="B6" s="430" t="s">
        <v>62</v>
      </c>
      <c r="C6" s="327" t="s">
        <v>231</v>
      </c>
    </row>
    <row r="7" spans="1:5" x14ac:dyDescent="0.2">
      <c r="A7" s="428"/>
      <c r="B7" s="431"/>
      <c r="C7" s="327" t="s">
        <v>232</v>
      </c>
    </row>
    <row r="8" spans="1:5" x14ac:dyDescent="0.2">
      <c r="A8" s="428"/>
      <c r="B8" s="431"/>
      <c r="C8" s="328" t="s">
        <v>73</v>
      </c>
    </row>
    <row r="9" spans="1:5" x14ac:dyDescent="0.2">
      <c r="A9" s="428"/>
      <c r="B9" s="431"/>
      <c r="C9" s="329" t="s">
        <v>74</v>
      </c>
    </row>
    <row r="10" spans="1:5" ht="14.25" customHeight="1" thickBot="1" x14ac:dyDescent="0.25">
      <c r="A10" s="429"/>
      <c r="B10" s="432"/>
      <c r="C10" s="322" t="s">
        <v>37</v>
      </c>
    </row>
    <row r="11" spans="1:5" ht="14.25" customHeight="1" x14ac:dyDescent="0.2">
      <c r="A11" s="433" t="s">
        <v>245</v>
      </c>
      <c r="B11" s="434" t="s">
        <v>64</v>
      </c>
      <c r="C11" s="316" t="s">
        <v>34</v>
      </c>
    </row>
    <row r="12" spans="1:5" ht="14.25" customHeight="1" x14ac:dyDescent="0.2">
      <c r="A12" s="428"/>
      <c r="B12" s="431"/>
      <c r="C12" s="328" t="s">
        <v>66</v>
      </c>
    </row>
    <row r="13" spans="1:5" ht="14.25" customHeight="1" thickBot="1" x14ac:dyDescent="0.25">
      <c r="A13" s="429"/>
      <c r="B13" s="432"/>
      <c r="C13" s="322" t="s">
        <v>37</v>
      </c>
      <c r="E13" s="283" t="s">
        <v>0</v>
      </c>
    </row>
    <row r="14" spans="1:5" x14ac:dyDescent="0.2">
      <c r="A14" s="435" t="s">
        <v>246</v>
      </c>
      <c r="B14" s="434" t="s">
        <v>63</v>
      </c>
      <c r="C14" s="403" t="s">
        <v>34</v>
      </c>
    </row>
    <row r="15" spans="1:5" x14ac:dyDescent="0.2">
      <c r="A15" s="436"/>
      <c r="B15" s="431"/>
      <c r="C15" s="413" t="s">
        <v>66</v>
      </c>
    </row>
    <row r="16" spans="1:5" ht="15" thickBot="1" x14ac:dyDescent="0.25">
      <c r="A16" s="437"/>
      <c r="B16" s="432"/>
      <c r="C16" s="404" t="s">
        <v>37</v>
      </c>
    </row>
    <row r="17" spans="1:3" ht="14.25" customHeight="1" x14ac:dyDescent="0.2">
      <c r="A17" s="433">
        <v>8</v>
      </c>
      <c r="B17" s="434" t="s">
        <v>65</v>
      </c>
      <c r="C17" s="316" t="s">
        <v>34</v>
      </c>
    </row>
    <row r="18" spans="1:3" ht="14.25" customHeight="1" x14ac:dyDescent="0.2">
      <c r="A18" s="428"/>
      <c r="B18" s="431"/>
      <c r="C18" s="328" t="s">
        <v>66</v>
      </c>
    </row>
    <row r="19" spans="1:3" ht="14.25" customHeight="1" thickBot="1" x14ac:dyDescent="0.25">
      <c r="A19" s="429"/>
      <c r="B19" s="432"/>
      <c r="C19" s="315" t="s">
        <v>37</v>
      </c>
    </row>
    <row r="20" spans="1:3" s="323" customFormat="1" ht="14.25" customHeight="1" x14ac:dyDescent="0.2">
      <c r="A20" s="433">
        <v>27</v>
      </c>
      <c r="B20" s="434" t="s">
        <v>67</v>
      </c>
      <c r="C20" s="330" t="s">
        <v>34</v>
      </c>
    </row>
    <row r="21" spans="1:3" s="323" customFormat="1" ht="14.25" customHeight="1" x14ac:dyDescent="0.2">
      <c r="A21" s="428"/>
      <c r="B21" s="431"/>
      <c r="C21" s="327" t="s">
        <v>66</v>
      </c>
    </row>
    <row r="22" spans="1:3" s="323" customFormat="1" ht="14.25" customHeight="1" thickBot="1" x14ac:dyDescent="0.25">
      <c r="A22" s="429"/>
      <c r="B22" s="432"/>
      <c r="C22" s="322" t="s">
        <v>37</v>
      </c>
    </row>
    <row r="23" spans="1:3" s="323" customFormat="1" ht="14.25" customHeight="1" x14ac:dyDescent="0.2">
      <c r="A23" s="428" t="s">
        <v>68</v>
      </c>
      <c r="B23" s="438" t="s">
        <v>262</v>
      </c>
      <c r="C23" s="327" t="s">
        <v>34</v>
      </c>
    </row>
    <row r="24" spans="1:3" s="323" customFormat="1" ht="14.25" customHeight="1" x14ac:dyDescent="0.2">
      <c r="A24" s="428"/>
      <c r="B24" s="439"/>
      <c r="C24" s="327" t="s">
        <v>66</v>
      </c>
    </row>
    <row r="25" spans="1:3" s="323" customFormat="1" ht="14.25" customHeight="1" x14ac:dyDescent="0.2">
      <c r="A25" s="428"/>
      <c r="B25" s="439"/>
      <c r="C25" s="328" t="s">
        <v>37</v>
      </c>
    </row>
    <row r="26" spans="1:3" s="323" customFormat="1" ht="13.9" customHeight="1" thickBot="1" x14ac:dyDescent="0.25">
      <c r="A26" s="429"/>
      <c r="B26" s="440"/>
      <c r="C26" s="322" t="s">
        <v>85</v>
      </c>
    </row>
    <row r="27" spans="1:3" x14ac:dyDescent="0.2">
      <c r="C27" s="414"/>
    </row>
  </sheetData>
  <mergeCells count="12">
    <mergeCell ref="B17:B19"/>
    <mergeCell ref="A17:A19"/>
    <mergeCell ref="B20:B22"/>
    <mergeCell ref="A20:A22"/>
    <mergeCell ref="B23:B26"/>
    <mergeCell ref="A23:A26"/>
    <mergeCell ref="A6:A10"/>
    <mergeCell ref="B6:B10"/>
    <mergeCell ref="A11:A13"/>
    <mergeCell ref="B11:B13"/>
    <mergeCell ref="A14:A16"/>
    <mergeCell ref="B14:B16"/>
  </mergeCells>
  <printOptions horizontalCentered="1"/>
  <pageMargins left="0.75" right="0.75" top="1" bottom="1" header="0.5" footer="0.5"/>
  <pageSetup orientation="portrait" r:id="rId1"/>
  <headerFooter alignWithMargins="0">
    <oddFooter>&amp;L&amp;8UAF
PM&amp;Y2.5&amp;Y Serious NAA BACT Analysis&amp;C&amp;8Page 127&amp;R&amp;8January 2017</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37"/>
  <sheetViews>
    <sheetView zoomScaleNormal="100" workbookViewId="0">
      <selection activeCell="G29" sqref="G29"/>
    </sheetView>
  </sheetViews>
  <sheetFormatPr defaultColWidth="8.85546875" defaultRowHeight="15" x14ac:dyDescent="0.25"/>
  <cols>
    <col min="1" max="1" width="3" style="41" customWidth="1"/>
    <col min="2" max="3" width="6" style="41" customWidth="1"/>
    <col min="4" max="4" width="52.28515625" style="41" customWidth="1"/>
    <col min="5" max="5" width="11.5703125" style="41" bestFit="1" customWidth="1"/>
    <col min="6" max="6" width="13.140625" style="41" customWidth="1"/>
    <col min="7" max="7" width="15.42578125" style="41" customWidth="1"/>
    <col min="8" max="8" width="24" style="41" customWidth="1"/>
    <col min="9" max="9" width="18.7109375" style="41" customWidth="1"/>
    <col min="10" max="10" width="8.85546875" style="41"/>
    <col min="11" max="11" width="13.28515625" style="41" customWidth="1"/>
    <col min="12" max="16384" width="8.85546875" style="41"/>
  </cols>
  <sheetData>
    <row r="1" spans="2:11" x14ac:dyDescent="0.25">
      <c r="B1" s="468" t="s">
        <v>224</v>
      </c>
      <c r="C1" s="468"/>
      <c r="D1" s="468"/>
      <c r="E1" s="468"/>
      <c r="F1" s="468"/>
      <c r="G1" s="468"/>
      <c r="H1" s="468"/>
      <c r="I1" s="468"/>
      <c r="J1" s="468"/>
      <c r="K1" s="468"/>
    </row>
    <row r="2" spans="2:11" x14ac:dyDescent="0.25">
      <c r="B2" s="468" t="s">
        <v>225</v>
      </c>
      <c r="C2" s="468"/>
      <c r="D2" s="468"/>
      <c r="E2" s="468"/>
      <c r="F2" s="468"/>
      <c r="G2" s="468"/>
      <c r="H2" s="468"/>
      <c r="I2" s="468"/>
      <c r="J2" s="468"/>
      <c r="K2" s="468"/>
    </row>
    <row r="3" spans="2:11" ht="15.75" thickBot="1" x14ac:dyDescent="0.3">
      <c r="I3" s="487" t="s">
        <v>168</v>
      </c>
      <c r="J3" s="488"/>
      <c r="K3" s="489"/>
    </row>
    <row r="4" spans="2:11" ht="19.5" thickTop="1" x14ac:dyDescent="0.3">
      <c r="B4" s="123" t="s">
        <v>220</v>
      </c>
      <c r="C4" s="122"/>
      <c r="D4" s="121"/>
      <c r="E4" s="121"/>
      <c r="F4" s="121"/>
      <c r="G4" s="121"/>
      <c r="H4" s="121"/>
      <c r="I4" s="121"/>
      <c r="J4" s="120" t="s">
        <v>89</v>
      </c>
      <c r="K4" s="119">
        <v>42411</v>
      </c>
    </row>
    <row r="5" spans="2:11" ht="18" x14ac:dyDescent="0.35">
      <c r="B5" s="60" t="s">
        <v>169</v>
      </c>
      <c r="C5" s="59"/>
      <c r="D5" s="406" t="s">
        <v>250</v>
      </c>
      <c r="E5" s="59"/>
      <c r="F5" s="59"/>
      <c r="G5" s="59"/>
      <c r="H5" s="59"/>
      <c r="I5" s="59"/>
      <c r="J5" s="105" t="s">
        <v>91</v>
      </c>
      <c r="K5" s="118" t="s">
        <v>92</v>
      </c>
    </row>
    <row r="6" spans="2:11" x14ac:dyDescent="0.25">
      <c r="B6" s="60"/>
      <c r="C6" s="59"/>
      <c r="D6" s="59"/>
      <c r="E6" s="59"/>
      <c r="F6" s="59"/>
      <c r="G6" s="59"/>
      <c r="H6" s="59"/>
      <c r="I6" s="59"/>
      <c r="J6" s="105" t="s">
        <v>93</v>
      </c>
      <c r="K6" s="118" t="s">
        <v>219</v>
      </c>
    </row>
    <row r="7" spans="2:11" ht="15.75" thickBot="1" x14ac:dyDescent="0.3">
      <c r="B7" s="117"/>
      <c r="C7" s="116"/>
      <c r="D7" s="116"/>
      <c r="E7" s="116"/>
      <c r="F7" s="116"/>
      <c r="G7" s="116"/>
      <c r="H7" s="116"/>
      <c r="I7" s="116"/>
      <c r="J7" s="115" t="s">
        <v>94</v>
      </c>
      <c r="K7" s="114" t="s">
        <v>95</v>
      </c>
    </row>
    <row r="8" spans="2:11" ht="16.5" thickBot="1" x14ac:dyDescent="0.3">
      <c r="B8" s="481" t="s">
        <v>10</v>
      </c>
      <c r="C8" s="482"/>
      <c r="D8" s="482"/>
      <c r="E8" s="482"/>
      <c r="F8" s="482"/>
      <c r="G8" s="482"/>
      <c r="H8" s="482"/>
      <c r="I8" s="482"/>
      <c r="J8" s="482"/>
      <c r="K8" s="483"/>
    </row>
    <row r="9" spans="2:11" ht="15.75" x14ac:dyDescent="0.25">
      <c r="B9" s="113" t="s">
        <v>11</v>
      </c>
      <c r="C9" s="112"/>
      <c r="D9" s="50"/>
      <c r="E9" s="111" t="s">
        <v>96</v>
      </c>
      <c r="F9" s="111" t="s">
        <v>97</v>
      </c>
      <c r="G9" s="110"/>
      <c r="H9" s="109" t="s">
        <v>99</v>
      </c>
      <c r="I9" s="109" t="s">
        <v>100</v>
      </c>
      <c r="J9" s="50"/>
      <c r="K9" s="108" t="s">
        <v>170</v>
      </c>
    </row>
    <row r="10" spans="2:11" x14ac:dyDescent="0.25">
      <c r="B10" s="88" t="s">
        <v>101</v>
      </c>
      <c r="C10" s="59" t="s">
        <v>218</v>
      </c>
      <c r="D10" s="59"/>
      <c r="E10" s="107"/>
      <c r="F10" s="91" t="s">
        <v>182</v>
      </c>
      <c r="G10" s="91"/>
      <c r="H10" s="75"/>
      <c r="I10" s="75">
        <f>'[3]Total Capital Investment'!K62*E10/E37</f>
        <v>0</v>
      </c>
      <c r="J10" s="90"/>
      <c r="K10" s="74">
        <f>I10</f>
        <v>0</v>
      </c>
    </row>
    <row r="11" spans="2:11" x14ac:dyDescent="0.25">
      <c r="B11" s="88" t="s">
        <v>128</v>
      </c>
      <c r="C11" s="59" t="s">
        <v>217</v>
      </c>
      <c r="D11" s="59"/>
      <c r="E11" s="107"/>
      <c r="F11" s="91" t="s">
        <v>182</v>
      </c>
      <c r="G11" s="91"/>
      <c r="H11" s="75"/>
      <c r="I11" s="75">
        <f>E11*'[3]Total Capital Investment'!K62/10</f>
        <v>0</v>
      </c>
      <c r="J11" s="90"/>
      <c r="K11" s="74">
        <f t="shared" ref="K11" si="0">I11</f>
        <v>0</v>
      </c>
    </row>
    <row r="12" spans="2:11" x14ac:dyDescent="0.25">
      <c r="B12" s="88" t="s">
        <v>155</v>
      </c>
      <c r="C12" s="59" t="s">
        <v>175</v>
      </c>
      <c r="D12" s="59"/>
      <c r="E12" s="96"/>
      <c r="F12" s="91" t="s">
        <v>136</v>
      </c>
      <c r="G12" s="96"/>
      <c r="H12" s="94" t="s">
        <v>214</v>
      </c>
      <c r="I12" s="75"/>
      <c r="J12" s="90"/>
      <c r="K12" s="74"/>
    </row>
    <row r="13" spans="2:11" x14ac:dyDescent="0.25">
      <c r="B13" s="88" t="s">
        <v>158</v>
      </c>
      <c r="C13" s="59" t="s">
        <v>176</v>
      </c>
      <c r="D13" s="59"/>
      <c r="E13" s="65"/>
      <c r="F13" s="65"/>
      <c r="G13" s="75"/>
      <c r="H13" s="75"/>
      <c r="I13" s="75"/>
      <c r="J13" s="90"/>
      <c r="K13" s="74"/>
    </row>
    <row r="14" spans="2:11" x14ac:dyDescent="0.25">
      <c r="B14" s="60"/>
      <c r="C14" s="93" t="s">
        <v>103</v>
      </c>
      <c r="D14" s="59" t="s">
        <v>216</v>
      </c>
      <c r="E14" s="402">
        <f>192281*(40/55.6)</f>
        <v>138331.654676259</v>
      </c>
      <c r="F14" s="65" t="s">
        <v>215</v>
      </c>
      <c r="G14" s="46">
        <f>'5-8 - EU ID 3 - ULSD CE'!G14</f>
        <v>0.28000000000000003</v>
      </c>
      <c r="H14" s="75">
        <f>E14*G14</f>
        <v>38732.86330935252</v>
      </c>
      <c r="I14" s="75"/>
      <c r="J14" s="90"/>
      <c r="K14" s="74">
        <f>H14</f>
        <v>38732.86330935252</v>
      </c>
    </row>
    <row r="15" spans="2:11" x14ac:dyDescent="0.25">
      <c r="B15" s="106"/>
      <c r="C15" s="101"/>
      <c r="D15" s="59"/>
      <c r="E15" s="92"/>
      <c r="F15" s="105"/>
      <c r="G15" s="90"/>
      <c r="H15" s="75"/>
      <c r="I15" s="100"/>
      <c r="J15" s="75"/>
      <c r="K15" s="74"/>
    </row>
    <row r="16" spans="2:11" x14ac:dyDescent="0.25">
      <c r="B16" s="84" t="s">
        <v>12</v>
      </c>
      <c r="C16" s="83"/>
      <c r="D16" s="104"/>
      <c r="E16" s="103"/>
      <c r="F16" s="80"/>
      <c r="G16" s="102"/>
      <c r="H16" s="68"/>
      <c r="I16" s="78"/>
      <c r="J16" s="67" t="s">
        <v>180</v>
      </c>
      <c r="K16" s="66">
        <f>SUM(K10:K14)</f>
        <v>38732.86330935252</v>
      </c>
    </row>
    <row r="17" spans="2:12" x14ac:dyDescent="0.25">
      <c r="B17" s="60"/>
      <c r="C17" s="101"/>
      <c r="D17" s="59"/>
      <c r="E17" s="65"/>
      <c r="F17" s="59"/>
      <c r="G17" s="75"/>
      <c r="H17" s="75"/>
      <c r="I17" s="100"/>
      <c r="J17" s="99"/>
      <c r="K17" s="74"/>
    </row>
    <row r="18" spans="2:12" ht="15.75" x14ac:dyDescent="0.25">
      <c r="B18" s="98" t="s">
        <v>13</v>
      </c>
      <c r="C18" s="63"/>
      <c r="D18" s="97"/>
      <c r="E18" s="65"/>
      <c r="F18" s="65"/>
      <c r="G18" s="75"/>
      <c r="H18" s="75"/>
      <c r="I18" s="75"/>
      <c r="J18" s="75"/>
      <c r="K18" s="74"/>
    </row>
    <row r="19" spans="2:12" x14ac:dyDescent="0.25">
      <c r="B19" s="88" t="s">
        <v>161</v>
      </c>
      <c r="C19" s="59" t="s">
        <v>181</v>
      </c>
      <c r="D19" s="59"/>
      <c r="E19" s="96"/>
      <c r="F19" s="65" t="s">
        <v>182</v>
      </c>
      <c r="G19" s="91"/>
      <c r="H19" s="94" t="s">
        <v>214</v>
      </c>
      <c r="I19" s="75">
        <f>E19*G19</f>
        <v>0</v>
      </c>
      <c r="J19" s="90"/>
      <c r="K19" s="74">
        <f>I19</f>
        <v>0</v>
      </c>
    </row>
    <row r="20" spans="2:12" x14ac:dyDescent="0.25">
      <c r="B20" s="88" t="s">
        <v>164</v>
      </c>
      <c r="C20" s="409" t="s">
        <v>256</v>
      </c>
      <c r="D20" s="59"/>
      <c r="E20" s="95"/>
      <c r="F20" s="65" t="s">
        <v>213</v>
      </c>
      <c r="G20" s="91"/>
      <c r="H20" s="94"/>
      <c r="I20" s="75">
        <f>E20*'[3]Total Capital Investment'!K62</f>
        <v>0</v>
      </c>
      <c r="J20" s="90"/>
      <c r="K20" s="74">
        <f>I20</f>
        <v>0</v>
      </c>
    </row>
    <row r="21" spans="2:12" x14ac:dyDescent="0.25">
      <c r="B21" s="88"/>
      <c r="C21" s="93" t="s">
        <v>185</v>
      </c>
      <c r="D21" s="59"/>
      <c r="E21" s="92">
        <f>($E$36/100*POWER((1+($E$36/100)),$E$37))/((POWER(((1+$E$36/100)),$E$37))-1)</f>
        <v>0.14237750272736471</v>
      </c>
      <c r="F21" s="91"/>
      <c r="G21" s="75"/>
      <c r="H21" s="75"/>
      <c r="I21" s="75"/>
      <c r="J21" s="90"/>
      <c r="K21" s="89"/>
      <c r="L21" s="85"/>
    </row>
    <row r="22" spans="2:12" x14ac:dyDescent="0.25">
      <c r="B22" s="88" t="s">
        <v>183</v>
      </c>
      <c r="C22" s="59" t="s">
        <v>187</v>
      </c>
      <c r="D22" s="59"/>
      <c r="E22" s="59"/>
      <c r="F22" s="59"/>
      <c r="G22" s="75"/>
      <c r="H22" s="87"/>
      <c r="I22" s="75"/>
      <c r="J22" s="86" t="s">
        <v>188</v>
      </c>
      <c r="K22" s="74">
        <f>E21*'[3]Total Capital Investment'!K62</f>
        <v>0</v>
      </c>
      <c r="L22" s="85"/>
    </row>
    <row r="23" spans="2:12" x14ac:dyDescent="0.25">
      <c r="B23" s="60"/>
      <c r="C23" s="59"/>
      <c r="D23" s="59"/>
      <c r="E23" s="65"/>
      <c r="F23" s="59"/>
      <c r="G23" s="75"/>
      <c r="H23" s="75"/>
      <c r="I23" s="75"/>
      <c r="J23" s="75"/>
      <c r="K23" s="74"/>
    </row>
    <row r="24" spans="2:12" x14ac:dyDescent="0.25">
      <c r="B24" s="84" t="s">
        <v>14</v>
      </c>
      <c r="C24" s="83"/>
      <c r="D24" s="82"/>
      <c r="E24" s="81"/>
      <c r="F24" s="80"/>
      <c r="G24" s="78"/>
      <c r="H24" s="79"/>
      <c r="I24" s="78"/>
      <c r="J24" s="67" t="s">
        <v>189</v>
      </c>
      <c r="K24" s="66">
        <f>SUM(K19:K22)</f>
        <v>0</v>
      </c>
    </row>
    <row r="25" spans="2:12" x14ac:dyDescent="0.25">
      <c r="B25" s="77"/>
      <c r="C25" s="76"/>
      <c r="D25" s="59"/>
      <c r="E25" s="65"/>
      <c r="F25" s="59"/>
      <c r="G25" s="75"/>
      <c r="H25" s="75"/>
      <c r="I25" s="75"/>
      <c r="J25" s="75"/>
      <c r="K25" s="74"/>
    </row>
    <row r="26" spans="2:12" ht="15.75" x14ac:dyDescent="0.25">
      <c r="B26" s="73" t="s">
        <v>190</v>
      </c>
      <c r="C26" s="72"/>
      <c r="D26" s="70"/>
      <c r="E26" s="71"/>
      <c r="F26" s="70"/>
      <c r="G26" s="68"/>
      <c r="H26" s="69"/>
      <c r="I26" s="68"/>
      <c r="J26" s="67" t="s">
        <v>191</v>
      </c>
      <c r="K26" s="66">
        <f>K16+K24</f>
        <v>38732.86330935252</v>
      </c>
    </row>
    <row r="27" spans="2:12" ht="15.75" thickBot="1" x14ac:dyDescent="0.3">
      <c r="B27" s="60"/>
      <c r="C27" s="59"/>
      <c r="D27" s="59"/>
      <c r="E27" s="65"/>
      <c r="F27" s="59"/>
      <c r="G27" s="59"/>
      <c r="H27" s="59"/>
      <c r="I27" s="59"/>
      <c r="J27" s="59"/>
      <c r="K27" s="58"/>
    </row>
    <row r="28" spans="2:12" ht="16.5" thickBot="1" x14ac:dyDescent="0.3">
      <c r="B28" s="484" t="s">
        <v>15</v>
      </c>
      <c r="C28" s="485"/>
      <c r="D28" s="485"/>
      <c r="E28" s="485"/>
      <c r="F28" s="485"/>
      <c r="G28" s="485"/>
      <c r="H28" s="485"/>
      <c r="I28" s="485"/>
      <c r="J28" s="485"/>
      <c r="K28" s="486"/>
    </row>
    <row r="29" spans="2:12" x14ac:dyDescent="0.25">
      <c r="B29" s="60"/>
      <c r="C29" s="59"/>
      <c r="D29" s="59"/>
      <c r="E29" s="59"/>
      <c r="F29" s="59"/>
      <c r="G29" s="59"/>
      <c r="H29" s="59"/>
      <c r="I29" s="59"/>
      <c r="J29" s="59"/>
      <c r="K29" s="58"/>
    </row>
    <row r="30" spans="2:12" ht="15.75" x14ac:dyDescent="0.25">
      <c r="B30" s="64" t="s">
        <v>192</v>
      </c>
      <c r="C30" s="63"/>
      <c r="D30" s="59"/>
      <c r="E30" s="59"/>
      <c r="F30" s="59"/>
      <c r="G30" s="59"/>
      <c r="H30" s="59"/>
      <c r="I30" s="59"/>
      <c r="J30" s="62" t="s">
        <v>3</v>
      </c>
      <c r="K30" s="61">
        <v>39.9</v>
      </c>
    </row>
    <row r="31" spans="2:12" x14ac:dyDescent="0.25">
      <c r="B31" s="60"/>
      <c r="C31" s="59"/>
      <c r="D31" s="59"/>
      <c r="E31" s="59"/>
      <c r="F31" s="59"/>
      <c r="G31" s="59"/>
      <c r="H31" s="59"/>
      <c r="I31" s="59"/>
      <c r="J31" s="59"/>
      <c r="K31" s="58"/>
    </row>
    <row r="32" spans="2:12" ht="16.5" thickBot="1" x14ac:dyDescent="0.3">
      <c r="B32" s="57" t="s">
        <v>193</v>
      </c>
      <c r="C32" s="56"/>
      <c r="D32" s="54"/>
      <c r="E32" s="54"/>
      <c r="F32" s="54"/>
      <c r="G32" s="54"/>
      <c r="H32" s="55"/>
      <c r="I32" s="54"/>
      <c r="J32" s="53" t="s">
        <v>194</v>
      </c>
      <c r="K32" s="52">
        <f>K26/K30</f>
        <v>970.74845386848426</v>
      </c>
    </row>
    <row r="33" spans="4:7" ht="15.75" thickTop="1" x14ac:dyDescent="0.25"/>
    <row r="34" spans="4:7" ht="15.75" thickBot="1" x14ac:dyDescent="0.3"/>
    <row r="35" spans="4:7" x14ac:dyDescent="0.25">
      <c r="D35" s="51" t="s">
        <v>195</v>
      </c>
      <c r="E35" s="50"/>
      <c r="F35" s="49"/>
      <c r="G35" s="48"/>
    </row>
    <row r="36" spans="4:7" x14ac:dyDescent="0.25">
      <c r="D36" s="47" t="s">
        <v>196</v>
      </c>
      <c r="E36" s="46">
        <v>7</v>
      </c>
      <c r="F36" s="45" t="s">
        <v>182</v>
      </c>
    </row>
    <row r="37" spans="4:7" ht="15.75" thickBot="1" x14ac:dyDescent="0.3">
      <c r="D37" s="44" t="s">
        <v>197</v>
      </c>
      <c r="E37" s="43">
        <v>10</v>
      </c>
      <c r="F37" s="42" t="s">
        <v>198</v>
      </c>
    </row>
  </sheetData>
  <mergeCells count="5">
    <mergeCell ref="I3:K3"/>
    <mergeCell ref="B8:K8"/>
    <mergeCell ref="B28:K28"/>
    <mergeCell ref="B1:K1"/>
    <mergeCell ref="B2:K2"/>
  </mergeCells>
  <printOptions horizontalCentered="1"/>
  <pageMargins left="0.75" right="0.75" top="1" bottom="1" header="0.5" footer="0.5"/>
  <pageSetup scale="52" orientation="portrait" r:id="rId1"/>
  <headerFooter alignWithMargins="0">
    <oddFooter>&amp;L&amp;8UAF
PM&amp;Y2.5&amp;Y Serious NAA BACT Analysis&amp;C&amp;8Page 136&amp;R&amp;8January 2017</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zoomScaleNormal="100" workbookViewId="0">
      <selection activeCell="C56" sqref="C56"/>
    </sheetView>
  </sheetViews>
  <sheetFormatPr defaultRowHeight="14.25" x14ac:dyDescent="0.2"/>
  <cols>
    <col min="1" max="1" width="70.5703125" style="368" customWidth="1"/>
    <col min="2" max="4" width="14.5703125" style="367" customWidth="1"/>
    <col min="5" max="5" width="17.28515625" style="367" customWidth="1"/>
    <col min="6" max="6" width="9.28515625" style="368" bestFit="1" customWidth="1"/>
    <col min="7" max="8" width="9.140625" style="368"/>
    <col min="9" max="9" width="24.7109375" style="368" bestFit="1" customWidth="1"/>
    <col min="10" max="248" width="9.140625" style="368"/>
    <col min="249" max="249" width="35.7109375" style="368" customWidth="1"/>
    <col min="250" max="250" width="10.7109375" style="368" customWidth="1"/>
    <col min="251" max="251" width="11" style="368" customWidth="1"/>
    <col min="252" max="252" width="10.7109375" style="368" customWidth="1"/>
    <col min="253" max="253" width="13.28515625" style="368" customWidth="1"/>
    <col min="254" max="254" width="9.28515625" style="368" bestFit="1" customWidth="1"/>
    <col min="255" max="261" width="9.140625" style="368" customWidth="1"/>
    <col min="262" max="262" width="9.28515625" style="368" bestFit="1" customWidth="1"/>
    <col min="263" max="504" width="9.140625" style="368"/>
    <col min="505" max="505" width="35.7109375" style="368" customWidth="1"/>
    <col min="506" max="506" width="10.7109375" style="368" customWidth="1"/>
    <col min="507" max="507" width="11" style="368" customWidth="1"/>
    <col min="508" max="508" width="10.7109375" style="368" customWidth="1"/>
    <col min="509" max="509" width="13.28515625" style="368" customWidth="1"/>
    <col min="510" max="510" width="9.28515625" style="368" bestFit="1" customWidth="1"/>
    <col min="511" max="517" width="9.140625" style="368" customWidth="1"/>
    <col min="518" max="518" width="9.28515625" style="368" bestFit="1" customWidth="1"/>
    <col min="519" max="760" width="9.140625" style="368"/>
    <col min="761" max="761" width="35.7109375" style="368" customWidth="1"/>
    <col min="762" max="762" width="10.7109375" style="368" customWidth="1"/>
    <col min="763" max="763" width="11" style="368" customWidth="1"/>
    <col min="764" max="764" width="10.7109375" style="368" customWidth="1"/>
    <col min="765" max="765" width="13.28515625" style="368" customWidth="1"/>
    <col min="766" max="766" width="9.28515625" style="368" bestFit="1" customWidth="1"/>
    <col min="767" max="773" width="9.140625" style="368" customWidth="1"/>
    <col min="774" max="774" width="9.28515625" style="368" bestFit="1" customWidth="1"/>
    <col min="775" max="1016" width="9.140625" style="368"/>
    <col min="1017" max="1017" width="35.7109375" style="368" customWidth="1"/>
    <col min="1018" max="1018" width="10.7109375" style="368" customWidth="1"/>
    <col min="1019" max="1019" width="11" style="368" customWidth="1"/>
    <col min="1020" max="1020" width="10.7109375" style="368" customWidth="1"/>
    <col min="1021" max="1021" width="13.28515625" style="368" customWidth="1"/>
    <col min="1022" max="1022" width="9.28515625" style="368" bestFit="1" customWidth="1"/>
    <col min="1023" max="1029" width="9.140625" style="368" customWidth="1"/>
    <col min="1030" max="1030" width="9.28515625" style="368" bestFit="1" customWidth="1"/>
    <col min="1031" max="1272" width="9.140625" style="368"/>
    <col min="1273" max="1273" width="35.7109375" style="368" customWidth="1"/>
    <col min="1274" max="1274" width="10.7109375" style="368" customWidth="1"/>
    <col min="1275" max="1275" width="11" style="368" customWidth="1"/>
    <col min="1276" max="1276" width="10.7109375" style="368" customWidth="1"/>
    <col min="1277" max="1277" width="13.28515625" style="368" customWidth="1"/>
    <col min="1278" max="1278" width="9.28515625" style="368" bestFit="1" customWidth="1"/>
    <col min="1279" max="1285" width="9.140625" style="368" customWidth="1"/>
    <col min="1286" max="1286" width="9.28515625" style="368" bestFit="1" customWidth="1"/>
    <col min="1287" max="1528" width="9.140625" style="368"/>
    <col min="1529" max="1529" width="35.7109375" style="368" customWidth="1"/>
    <col min="1530" max="1530" width="10.7109375" style="368" customWidth="1"/>
    <col min="1531" max="1531" width="11" style="368" customWidth="1"/>
    <col min="1532" max="1532" width="10.7109375" style="368" customWidth="1"/>
    <col min="1533" max="1533" width="13.28515625" style="368" customWidth="1"/>
    <col min="1534" max="1534" width="9.28515625" style="368" bestFit="1" customWidth="1"/>
    <col min="1535" max="1541" width="9.140625" style="368" customWidth="1"/>
    <col min="1542" max="1542" width="9.28515625" style="368" bestFit="1" customWidth="1"/>
    <col min="1543" max="1784" width="9.140625" style="368"/>
    <col min="1785" max="1785" width="35.7109375" style="368" customWidth="1"/>
    <col min="1786" max="1786" width="10.7109375" style="368" customWidth="1"/>
    <col min="1787" max="1787" width="11" style="368" customWidth="1"/>
    <col min="1788" max="1788" width="10.7109375" style="368" customWidth="1"/>
    <col min="1789" max="1789" width="13.28515625" style="368" customWidth="1"/>
    <col min="1790" max="1790" width="9.28515625" style="368" bestFit="1" customWidth="1"/>
    <col min="1791" max="1797" width="9.140625" style="368" customWidth="1"/>
    <col min="1798" max="1798" width="9.28515625" style="368" bestFit="1" customWidth="1"/>
    <col min="1799" max="2040" width="9.140625" style="368"/>
    <col min="2041" max="2041" width="35.7109375" style="368" customWidth="1"/>
    <col min="2042" max="2042" width="10.7109375" style="368" customWidth="1"/>
    <col min="2043" max="2043" width="11" style="368" customWidth="1"/>
    <col min="2044" max="2044" width="10.7109375" style="368" customWidth="1"/>
    <col min="2045" max="2045" width="13.28515625" style="368" customWidth="1"/>
    <col min="2046" max="2046" width="9.28515625" style="368" bestFit="1" customWidth="1"/>
    <col min="2047" max="2053" width="9.140625" style="368" customWidth="1"/>
    <col min="2054" max="2054" width="9.28515625" style="368" bestFit="1" customWidth="1"/>
    <col min="2055" max="2296" width="9.140625" style="368"/>
    <col min="2297" max="2297" width="35.7109375" style="368" customWidth="1"/>
    <col min="2298" max="2298" width="10.7109375" style="368" customWidth="1"/>
    <col min="2299" max="2299" width="11" style="368" customWidth="1"/>
    <col min="2300" max="2300" width="10.7109375" style="368" customWidth="1"/>
    <col min="2301" max="2301" width="13.28515625" style="368" customWidth="1"/>
    <col min="2302" max="2302" width="9.28515625" style="368" bestFit="1" customWidth="1"/>
    <col min="2303" max="2309" width="9.140625" style="368" customWidth="1"/>
    <col min="2310" max="2310" width="9.28515625" style="368" bestFit="1" customWidth="1"/>
    <col min="2311" max="2552" width="9.140625" style="368"/>
    <col min="2553" max="2553" width="35.7109375" style="368" customWidth="1"/>
    <col min="2554" max="2554" width="10.7109375" style="368" customWidth="1"/>
    <col min="2555" max="2555" width="11" style="368" customWidth="1"/>
    <col min="2556" max="2556" width="10.7109375" style="368" customWidth="1"/>
    <col min="2557" max="2557" width="13.28515625" style="368" customWidth="1"/>
    <col min="2558" max="2558" width="9.28515625" style="368" bestFit="1" customWidth="1"/>
    <col min="2559" max="2565" width="9.140625" style="368" customWidth="1"/>
    <col min="2566" max="2566" width="9.28515625" style="368" bestFit="1" customWidth="1"/>
    <col min="2567" max="2808" width="9.140625" style="368"/>
    <col min="2809" max="2809" width="35.7109375" style="368" customWidth="1"/>
    <col min="2810" max="2810" width="10.7109375" style="368" customWidth="1"/>
    <col min="2811" max="2811" width="11" style="368" customWidth="1"/>
    <col min="2812" max="2812" width="10.7109375" style="368" customWidth="1"/>
    <col min="2813" max="2813" width="13.28515625" style="368" customWidth="1"/>
    <col min="2814" max="2814" width="9.28515625" style="368" bestFit="1" customWidth="1"/>
    <col min="2815" max="2821" width="9.140625" style="368" customWidth="1"/>
    <col min="2822" max="2822" width="9.28515625" style="368" bestFit="1" customWidth="1"/>
    <col min="2823" max="3064" width="9.140625" style="368"/>
    <col min="3065" max="3065" width="35.7109375" style="368" customWidth="1"/>
    <col min="3066" max="3066" width="10.7109375" style="368" customWidth="1"/>
    <col min="3067" max="3067" width="11" style="368" customWidth="1"/>
    <col min="3068" max="3068" width="10.7109375" style="368" customWidth="1"/>
    <col min="3069" max="3069" width="13.28515625" style="368" customWidth="1"/>
    <col min="3070" max="3070" width="9.28515625" style="368" bestFit="1" customWidth="1"/>
    <col min="3071" max="3077" width="9.140625" style="368" customWidth="1"/>
    <col min="3078" max="3078" width="9.28515625" style="368" bestFit="1" customWidth="1"/>
    <col min="3079" max="3320" width="9.140625" style="368"/>
    <col min="3321" max="3321" width="35.7109375" style="368" customWidth="1"/>
    <col min="3322" max="3322" width="10.7109375" style="368" customWidth="1"/>
    <col min="3323" max="3323" width="11" style="368" customWidth="1"/>
    <col min="3324" max="3324" width="10.7109375" style="368" customWidth="1"/>
    <col min="3325" max="3325" width="13.28515625" style="368" customWidth="1"/>
    <col min="3326" max="3326" width="9.28515625" style="368" bestFit="1" customWidth="1"/>
    <col min="3327" max="3333" width="9.140625" style="368" customWidth="1"/>
    <col min="3334" max="3334" width="9.28515625" style="368" bestFit="1" customWidth="1"/>
    <col min="3335" max="3576" width="9.140625" style="368"/>
    <col min="3577" max="3577" width="35.7109375" style="368" customWidth="1"/>
    <col min="3578" max="3578" width="10.7109375" style="368" customWidth="1"/>
    <col min="3579" max="3579" width="11" style="368" customWidth="1"/>
    <col min="3580" max="3580" width="10.7109375" style="368" customWidth="1"/>
    <col min="3581" max="3581" width="13.28515625" style="368" customWidth="1"/>
    <col min="3582" max="3582" width="9.28515625" style="368" bestFit="1" customWidth="1"/>
    <col min="3583" max="3589" width="9.140625" style="368" customWidth="1"/>
    <col min="3590" max="3590" width="9.28515625" style="368" bestFit="1" customWidth="1"/>
    <col min="3591" max="3832" width="9.140625" style="368"/>
    <col min="3833" max="3833" width="35.7109375" style="368" customWidth="1"/>
    <col min="3834" max="3834" width="10.7109375" style="368" customWidth="1"/>
    <col min="3835" max="3835" width="11" style="368" customWidth="1"/>
    <col min="3836" max="3836" width="10.7109375" style="368" customWidth="1"/>
    <col min="3837" max="3837" width="13.28515625" style="368" customWidth="1"/>
    <col min="3838" max="3838" width="9.28515625" style="368" bestFit="1" customWidth="1"/>
    <col min="3839" max="3845" width="9.140625" style="368" customWidth="1"/>
    <col min="3846" max="3846" width="9.28515625" style="368" bestFit="1" customWidth="1"/>
    <col min="3847" max="4088" width="9.140625" style="368"/>
    <col min="4089" max="4089" width="35.7109375" style="368" customWidth="1"/>
    <col min="4090" max="4090" width="10.7109375" style="368" customWidth="1"/>
    <col min="4091" max="4091" width="11" style="368" customWidth="1"/>
    <col min="4092" max="4092" width="10.7109375" style="368" customWidth="1"/>
    <col min="4093" max="4093" width="13.28515625" style="368" customWidth="1"/>
    <col min="4094" max="4094" width="9.28515625" style="368" bestFit="1" customWidth="1"/>
    <col min="4095" max="4101" width="9.140625" style="368" customWidth="1"/>
    <col min="4102" max="4102" width="9.28515625" style="368" bestFit="1" customWidth="1"/>
    <col min="4103" max="4344" width="9.140625" style="368"/>
    <col min="4345" max="4345" width="35.7109375" style="368" customWidth="1"/>
    <col min="4346" max="4346" width="10.7109375" style="368" customWidth="1"/>
    <col min="4347" max="4347" width="11" style="368" customWidth="1"/>
    <col min="4348" max="4348" width="10.7109375" style="368" customWidth="1"/>
    <col min="4349" max="4349" width="13.28515625" style="368" customWidth="1"/>
    <col min="4350" max="4350" width="9.28515625" style="368" bestFit="1" customWidth="1"/>
    <col min="4351" max="4357" width="9.140625" style="368" customWidth="1"/>
    <col min="4358" max="4358" width="9.28515625" style="368" bestFit="1" customWidth="1"/>
    <col min="4359" max="4600" width="9.140625" style="368"/>
    <col min="4601" max="4601" width="35.7109375" style="368" customWidth="1"/>
    <col min="4602" max="4602" width="10.7109375" style="368" customWidth="1"/>
    <col min="4603" max="4603" width="11" style="368" customWidth="1"/>
    <col min="4604" max="4604" width="10.7109375" style="368" customWidth="1"/>
    <col min="4605" max="4605" width="13.28515625" style="368" customWidth="1"/>
    <col min="4606" max="4606" width="9.28515625" style="368" bestFit="1" customWidth="1"/>
    <col min="4607" max="4613" width="9.140625" style="368" customWidth="1"/>
    <col min="4614" max="4614" width="9.28515625" style="368" bestFit="1" customWidth="1"/>
    <col min="4615" max="4856" width="9.140625" style="368"/>
    <col min="4857" max="4857" width="35.7109375" style="368" customWidth="1"/>
    <col min="4858" max="4858" width="10.7109375" style="368" customWidth="1"/>
    <col min="4859" max="4859" width="11" style="368" customWidth="1"/>
    <col min="4860" max="4860" width="10.7109375" style="368" customWidth="1"/>
    <col min="4861" max="4861" width="13.28515625" style="368" customWidth="1"/>
    <col min="4862" max="4862" width="9.28515625" style="368" bestFit="1" customWidth="1"/>
    <col min="4863" max="4869" width="9.140625" style="368" customWidth="1"/>
    <col min="4870" max="4870" width="9.28515625" style="368" bestFit="1" customWidth="1"/>
    <col min="4871" max="5112" width="9.140625" style="368"/>
    <col min="5113" max="5113" width="35.7109375" style="368" customWidth="1"/>
    <col min="5114" max="5114" width="10.7109375" style="368" customWidth="1"/>
    <col min="5115" max="5115" width="11" style="368" customWidth="1"/>
    <col min="5116" max="5116" width="10.7109375" style="368" customWidth="1"/>
    <col min="5117" max="5117" width="13.28515625" style="368" customWidth="1"/>
    <col min="5118" max="5118" width="9.28515625" style="368" bestFit="1" customWidth="1"/>
    <col min="5119" max="5125" width="9.140625" style="368" customWidth="1"/>
    <col min="5126" max="5126" width="9.28515625" style="368" bestFit="1" customWidth="1"/>
    <col min="5127" max="5368" width="9.140625" style="368"/>
    <col min="5369" max="5369" width="35.7109375" style="368" customWidth="1"/>
    <col min="5370" max="5370" width="10.7109375" style="368" customWidth="1"/>
    <col min="5371" max="5371" width="11" style="368" customWidth="1"/>
    <col min="5372" max="5372" width="10.7109375" style="368" customWidth="1"/>
    <col min="5373" max="5373" width="13.28515625" style="368" customWidth="1"/>
    <col min="5374" max="5374" width="9.28515625" style="368" bestFit="1" customWidth="1"/>
    <col min="5375" max="5381" width="9.140625" style="368" customWidth="1"/>
    <col min="5382" max="5382" width="9.28515625" style="368" bestFit="1" customWidth="1"/>
    <col min="5383" max="5624" width="9.140625" style="368"/>
    <col min="5625" max="5625" width="35.7109375" style="368" customWidth="1"/>
    <col min="5626" max="5626" width="10.7109375" style="368" customWidth="1"/>
    <col min="5627" max="5627" width="11" style="368" customWidth="1"/>
    <col min="5628" max="5628" width="10.7109375" style="368" customWidth="1"/>
    <col min="5629" max="5629" width="13.28515625" style="368" customWidth="1"/>
    <col min="5630" max="5630" width="9.28515625" style="368" bestFit="1" customWidth="1"/>
    <col min="5631" max="5637" width="9.140625" style="368" customWidth="1"/>
    <col min="5638" max="5638" width="9.28515625" style="368" bestFit="1" customWidth="1"/>
    <col min="5639" max="5880" width="9.140625" style="368"/>
    <col min="5881" max="5881" width="35.7109375" style="368" customWidth="1"/>
    <col min="5882" max="5882" width="10.7109375" style="368" customWidth="1"/>
    <col min="5883" max="5883" width="11" style="368" customWidth="1"/>
    <col min="5884" max="5884" width="10.7109375" style="368" customWidth="1"/>
    <col min="5885" max="5885" width="13.28515625" style="368" customWidth="1"/>
    <col min="5886" max="5886" width="9.28515625" style="368" bestFit="1" customWidth="1"/>
    <col min="5887" max="5893" width="9.140625" style="368" customWidth="1"/>
    <col min="5894" max="5894" width="9.28515625" style="368" bestFit="1" customWidth="1"/>
    <col min="5895" max="6136" width="9.140625" style="368"/>
    <col min="6137" max="6137" width="35.7109375" style="368" customWidth="1"/>
    <col min="6138" max="6138" width="10.7109375" style="368" customWidth="1"/>
    <col min="6139" max="6139" width="11" style="368" customWidth="1"/>
    <col min="6140" max="6140" width="10.7109375" style="368" customWidth="1"/>
    <col min="6141" max="6141" width="13.28515625" style="368" customWidth="1"/>
    <col min="6142" max="6142" width="9.28515625" style="368" bestFit="1" customWidth="1"/>
    <col min="6143" max="6149" width="9.140625" style="368" customWidth="1"/>
    <col min="6150" max="6150" width="9.28515625" style="368" bestFit="1" customWidth="1"/>
    <col min="6151" max="6392" width="9.140625" style="368"/>
    <col min="6393" max="6393" width="35.7109375" style="368" customWidth="1"/>
    <col min="6394" max="6394" width="10.7109375" style="368" customWidth="1"/>
    <col min="6395" max="6395" width="11" style="368" customWidth="1"/>
    <col min="6396" max="6396" width="10.7109375" style="368" customWidth="1"/>
    <col min="6397" max="6397" width="13.28515625" style="368" customWidth="1"/>
    <col min="6398" max="6398" width="9.28515625" style="368" bestFit="1" customWidth="1"/>
    <col min="6399" max="6405" width="9.140625" style="368" customWidth="1"/>
    <col min="6406" max="6406" width="9.28515625" style="368" bestFit="1" customWidth="1"/>
    <col min="6407" max="6648" width="9.140625" style="368"/>
    <col min="6649" max="6649" width="35.7109375" style="368" customWidth="1"/>
    <col min="6650" max="6650" width="10.7109375" style="368" customWidth="1"/>
    <col min="6651" max="6651" width="11" style="368" customWidth="1"/>
    <col min="6652" max="6652" width="10.7109375" style="368" customWidth="1"/>
    <col min="6653" max="6653" width="13.28515625" style="368" customWidth="1"/>
    <col min="6654" max="6654" width="9.28515625" style="368" bestFit="1" customWidth="1"/>
    <col min="6655" max="6661" width="9.140625" style="368" customWidth="1"/>
    <col min="6662" max="6662" width="9.28515625" style="368" bestFit="1" customWidth="1"/>
    <col min="6663" max="6904" width="9.140625" style="368"/>
    <col min="6905" max="6905" width="35.7109375" style="368" customWidth="1"/>
    <col min="6906" max="6906" width="10.7109375" style="368" customWidth="1"/>
    <col min="6907" max="6907" width="11" style="368" customWidth="1"/>
    <col min="6908" max="6908" width="10.7109375" style="368" customWidth="1"/>
    <col min="6909" max="6909" width="13.28515625" style="368" customWidth="1"/>
    <col min="6910" max="6910" width="9.28515625" style="368" bestFit="1" customWidth="1"/>
    <col min="6911" max="6917" width="9.140625" style="368" customWidth="1"/>
    <col min="6918" max="6918" width="9.28515625" style="368" bestFit="1" customWidth="1"/>
    <col min="6919" max="7160" width="9.140625" style="368"/>
    <col min="7161" max="7161" width="35.7109375" style="368" customWidth="1"/>
    <col min="7162" max="7162" width="10.7109375" style="368" customWidth="1"/>
    <col min="7163" max="7163" width="11" style="368" customWidth="1"/>
    <col min="7164" max="7164" width="10.7109375" style="368" customWidth="1"/>
    <col min="7165" max="7165" width="13.28515625" style="368" customWidth="1"/>
    <col min="7166" max="7166" width="9.28515625" style="368" bestFit="1" customWidth="1"/>
    <col min="7167" max="7173" width="9.140625" style="368" customWidth="1"/>
    <col min="7174" max="7174" width="9.28515625" style="368" bestFit="1" customWidth="1"/>
    <col min="7175" max="7416" width="9.140625" style="368"/>
    <col min="7417" max="7417" width="35.7109375" style="368" customWidth="1"/>
    <col min="7418" max="7418" width="10.7109375" style="368" customWidth="1"/>
    <col min="7419" max="7419" width="11" style="368" customWidth="1"/>
    <col min="7420" max="7420" width="10.7109375" style="368" customWidth="1"/>
    <col min="7421" max="7421" width="13.28515625" style="368" customWidth="1"/>
    <col min="7422" max="7422" width="9.28515625" style="368" bestFit="1" customWidth="1"/>
    <col min="7423" max="7429" width="9.140625" style="368" customWidth="1"/>
    <col min="7430" max="7430" width="9.28515625" style="368" bestFit="1" customWidth="1"/>
    <col min="7431" max="7672" width="9.140625" style="368"/>
    <col min="7673" max="7673" width="35.7109375" style="368" customWidth="1"/>
    <col min="7674" max="7674" width="10.7109375" style="368" customWidth="1"/>
    <col min="7675" max="7675" width="11" style="368" customWidth="1"/>
    <col min="7676" max="7676" width="10.7109375" style="368" customWidth="1"/>
    <col min="7677" max="7677" width="13.28515625" style="368" customWidth="1"/>
    <col min="7678" max="7678" width="9.28515625" style="368" bestFit="1" customWidth="1"/>
    <col min="7679" max="7685" width="9.140625" style="368" customWidth="1"/>
    <col min="7686" max="7686" width="9.28515625" style="368" bestFit="1" customWidth="1"/>
    <col min="7687" max="7928" width="9.140625" style="368"/>
    <col min="7929" max="7929" width="35.7109375" style="368" customWidth="1"/>
    <col min="7930" max="7930" width="10.7109375" style="368" customWidth="1"/>
    <col min="7931" max="7931" width="11" style="368" customWidth="1"/>
    <col min="7932" max="7932" width="10.7109375" style="368" customWidth="1"/>
    <col min="7933" max="7933" width="13.28515625" style="368" customWidth="1"/>
    <col min="7934" max="7934" width="9.28515625" style="368" bestFit="1" customWidth="1"/>
    <col min="7935" max="7941" width="9.140625" style="368" customWidth="1"/>
    <col min="7942" max="7942" width="9.28515625" style="368" bestFit="1" customWidth="1"/>
    <col min="7943" max="8184" width="9.140625" style="368"/>
    <col min="8185" max="8185" width="35.7109375" style="368" customWidth="1"/>
    <col min="8186" max="8186" width="10.7109375" style="368" customWidth="1"/>
    <col min="8187" max="8187" width="11" style="368" customWidth="1"/>
    <col min="8188" max="8188" width="10.7109375" style="368" customWidth="1"/>
    <col min="8189" max="8189" width="13.28515625" style="368" customWidth="1"/>
    <col min="8190" max="8190" width="9.28515625" style="368" bestFit="1" customWidth="1"/>
    <col min="8191" max="8197" width="9.140625" style="368" customWidth="1"/>
    <col min="8198" max="8198" width="9.28515625" style="368" bestFit="1" customWidth="1"/>
    <col min="8199" max="8440" width="9.140625" style="368"/>
    <col min="8441" max="8441" width="35.7109375" style="368" customWidth="1"/>
    <col min="8442" max="8442" width="10.7109375" style="368" customWidth="1"/>
    <col min="8443" max="8443" width="11" style="368" customWidth="1"/>
    <col min="8444" max="8444" width="10.7109375" style="368" customWidth="1"/>
    <col min="8445" max="8445" width="13.28515625" style="368" customWidth="1"/>
    <col min="8446" max="8446" width="9.28515625" style="368" bestFit="1" customWidth="1"/>
    <col min="8447" max="8453" width="9.140625" style="368" customWidth="1"/>
    <col min="8454" max="8454" width="9.28515625" style="368" bestFit="1" customWidth="1"/>
    <col min="8455" max="8696" width="9.140625" style="368"/>
    <col min="8697" max="8697" width="35.7109375" style="368" customWidth="1"/>
    <col min="8698" max="8698" width="10.7109375" style="368" customWidth="1"/>
    <col min="8699" max="8699" width="11" style="368" customWidth="1"/>
    <col min="8700" max="8700" width="10.7109375" style="368" customWidth="1"/>
    <col min="8701" max="8701" width="13.28515625" style="368" customWidth="1"/>
    <col min="8702" max="8702" width="9.28515625" style="368" bestFit="1" customWidth="1"/>
    <col min="8703" max="8709" width="9.140625" style="368" customWidth="1"/>
    <col min="8710" max="8710" width="9.28515625" style="368" bestFit="1" customWidth="1"/>
    <col min="8711" max="8952" width="9.140625" style="368"/>
    <col min="8953" max="8953" width="35.7109375" style="368" customWidth="1"/>
    <col min="8954" max="8954" width="10.7109375" style="368" customWidth="1"/>
    <col min="8955" max="8955" width="11" style="368" customWidth="1"/>
    <col min="8956" max="8956" width="10.7109375" style="368" customWidth="1"/>
    <col min="8957" max="8957" width="13.28515625" style="368" customWidth="1"/>
    <col min="8958" max="8958" width="9.28515625" style="368" bestFit="1" customWidth="1"/>
    <col min="8959" max="8965" width="9.140625" style="368" customWidth="1"/>
    <col min="8966" max="8966" width="9.28515625" style="368" bestFit="1" customWidth="1"/>
    <col min="8967" max="9208" width="9.140625" style="368"/>
    <col min="9209" max="9209" width="35.7109375" style="368" customWidth="1"/>
    <col min="9210" max="9210" width="10.7109375" style="368" customWidth="1"/>
    <col min="9211" max="9211" width="11" style="368" customWidth="1"/>
    <col min="9212" max="9212" width="10.7109375" style="368" customWidth="1"/>
    <col min="9213" max="9213" width="13.28515625" style="368" customWidth="1"/>
    <col min="9214" max="9214" width="9.28515625" style="368" bestFit="1" customWidth="1"/>
    <col min="9215" max="9221" width="9.140625" style="368" customWidth="1"/>
    <col min="9222" max="9222" width="9.28515625" style="368" bestFit="1" customWidth="1"/>
    <col min="9223" max="9464" width="9.140625" style="368"/>
    <col min="9465" max="9465" width="35.7109375" style="368" customWidth="1"/>
    <col min="9466" max="9466" width="10.7109375" style="368" customWidth="1"/>
    <col min="9467" max="9467" width="11" style="368" customWidth="1"/>
    <col min="9468" max="9468" width="10.7109375" style="368" customWidth="1"/>
    <col min="9469" max="9469" width="13.28515625" style="368" customWidth="1"/>
    <col min="9470" max="9470" width="9.28515625" style="368" bestFit="1" customWidth="1"/>
    <col min="9471" max="9477" width="9.140625" style="368" customWidth="1"/>
    <col min="9478" max="9478" width="9.28515625" style="368" bestFit="1" customWidth="1"/>
    <col min="9479" max="9720" width="9.140625" style="368"/>
    <col min="9721" max="9721" width="35.7109375" style="368" customWidth="1"/>
    <col min="9722" max="9722" width="10.7109375" style="368" customWidth="1"/>
    <col min="9723" max="9723" width="11" style="368" customWidth="1"/>
    <col min="9724" max="9724" width="10.7109375" style="368" customWidth="1"/>
    <col min="9725" max="9725" width="13.28515625" style="368" customWidth="1"/>
    <col min="9726" max="9726" width="9.28515625" style="368" bestFit="1" customWidth="1"/>
    <col min="9727" max="9733" width="9.140625" style="368" customWidth="1"/>
    <col min="9734" max="9734" width="9.28515625" style="368" bestFit="1" customWidth="1"/>
    <col min="9735" max="9976" width="9.140625" style="368"/>
    <col min="9977" max="9977" width="35.7109375" style="368" customWidth="1"/>
    <col min="9978" max="9978" width="10.7109375" style="368" customWidth="1"/>
    <col min="9979" max="9979" width="11" style="368" customWidth="1"/>
    <col min="9980" max="9980" width="10.7109375" style="368" customWidth="1"/>
    <col min="9981" max="9981" width="13.28515625" style="368" customWidth="1"/>
    <col min="9982" max="9982" width="9.28515625" style="368" bestFit="1" customWidth="1"/>
    <col min="9983" max="9989" width="9.140625" style="368" customWidth="1"/>
    <col min="9990" max="9990" width="9.28515625" style="368" bestFit="1" customWidth="1"/>
    <col min="9991" max="10232" width="9.140625" style="368"/>
    <col min="10233" max="10233" width="35.7109375" style="368" customWidth="1"/>
    <col min="10234" max="10234" width="10.7109375" style="368" customWidth="1"/>
    <col min="10235" max="10235" width="11" style="368" customWidth="1"/>
    <col min="10236" max="10236" width="10.7109375" style="368" customWidth="1"/>
    <col min="10237" max="10237" width="13.28515625" style="368" customWidth="1"/>
    <col min="10238" max="10238" width="9.28515625" style="368" bestFit="1" customWidth="1"/>
    <col min="10239" max="10245" width="9.140625" style="368" customWidth="1"/>
    <col min="10246" max="10246" width="9.28515625" style="368" bestFit="1" customWidth="1"/>
    <col min="10247" max="10488" width="9.140625" style="368"/>
    <col min="10489" max="10489" width="35.7109375" style="368" customWidth="1"/>
    <col min="10490" max="10490" width="10.7109375" style="368" customWidth="1"/>
    <col min="10491" max="10491" width="11" style="368" customWidth="1"/>
    <col min="10492" max="10492" width="10.7109375" style="368" customWidth="1"/>
    <col min="10493" max="10493" width="13.28515625" style="368" customWidth="1"/>
    <col min="10494" max="10494" width="9.28515625" style="368" bestFit="1" customWidth="1"/>
    <col min="10495" max="10501" width="9.140625" style="368" customWidth="1"/>
    <col min="10502" max="10502" width="9.28515625" style="368" bestFit="1" customWidth="1"/>
    <col min="10503" max="10744" width="9.140625" style="368"/>
    <col min="10745" max="10745" width="35.7109375" style="368" customWidth="1"/>
    <col min="10746" max="10746" width="10.7109375" style="368" customWidth="1"/>
    <col min="10747" max="10747" width="11" style="368" customWidth="1"/>
    <col min="10748" max="10748" width="10.7109375" style="368" customWidth="1"/>
    <col min="10749" max="10749" width="13.28515625" style="368" customWidth="1"/>
    <col min="10750" max="10750" width="9.28515625" style="368" bestFit="1" customWidth="1"/>
    <col min="10751" max="10757" width="9.140625" style="368" customWidth="1"/>
    <col min="10758" max="10758" width="9.28515625" style="368" bestFit="1" customWidth="1"/>
    <col min="10759" max="11000" width="9.140625" style="368"/>
    <col min="11001" max="11001" width="35.7109375" style="368" customWidth="1"/>
    <col min="11002" max="11002" width="10.7109375" style="368" customWidth="1"/>
    <col min="11003" max="11003" width="11" style="368" customWidth="1"/>
    <col min="11004" max="11004" width="10.7109375" style="368" customWidth="1"/>
    <col min="11005" max="11005" width="13.28515625" style="368" customWidth="1"/>
    <col min="11006" max="11006" width="9.28515625" style="368" bestFit="1" customWidth="1"/>
    <col min="11007" max="11013" width="9.140625" style="368" customWidth="1"/>
    <col min="11014" max="11014" width="9.28515625" style="368" bestFit="1" customWidth="1"/>
    <col min="11015" max="11256" width="9.140625" style="368"/>
    <col min="11257" max="11257" width="35.7109375" style="368" customWidth="1"/>
    <col min="11258" max="11258" width="10.7109375" style="368" customWidth="1"/>
    <col min="11259" max="11259" width="11" style="368" customWidth="1"/>
    <col min="11260" max="11260" width="10.7109375" style="368" customWidth="1"/>
    <col min="11261" max="11261" width="13.28515625" style="368" customWidth="1"/>
    <col min="11262" max="11262" width="9.28515625" style="368" bestFit="1" customWidth="1"/>
    <col min="11263" max="11269" width="9.140625" style="368" customWidth="1"/>
    <col min="11270" max="11270" width="9.28515625" style="368" bestFit="1" customWidth="1"/>
    <col min="11271" max="11512" width="9.140625" style="368"/>
    <col min="11513" max="11513" width="35.7109375" style="368" customWidth="1"/>
    <col min="11514" max="11514" width="10.7109375" style="368" customWidth="1"/>
    <col min="11515" max="11515" width="11" style="368" customWidth="1"/>
    <col min="11516" max="11516" width="10.7109375" style="368" customWidth="1"/>
    <col min="11517" max="11517" width="13.28515625" style="368" customWidth="1"/>
    <col min="11518" max="11518" width="9.28515625" style="368" bestFit="1" customWidth="1"/>
    <col min="11519" max="11525" width="9.140625" style="368" customWidth="1"/>
    <col min="11526" max="11526" width="9.28515625" style="368" bestFit="1" customWidth="1"/>
    <col min="11527" max="11768" width="9.140625" style="368"/>
    <col min="11769" max="11769" width="35.7109375" style="368" customWidth="1"/>
    <col min="11770" max="11770" width="10.7109375" style="368" customWidth="1"/>
    <col min="11771" max="11771" width="11" style="368" customWidth="1"/>
    <col min="11772" max="11772" width="10.7109375" style="368" customWidth="1"/>
    <col min="11773" max="11773" width="13.28515625" style="368" customWidth="1"/>
    <col min="11774" max="11774" width="9.28515625" style="368" bestFit="1" customWidth="1"/>
    <col min="11775" max="11781" width="9.140625" style="368" customWidth="1"/>
    <col min="11782" max="11782" width="9.28515625" style="368" bestFit="1" customWidth="1"/>
    <col min="11783" max="12024" width="9.140625" style="368"/>
    <col min="12025" max="12025" width="35.7109375" style="368" customWidth="1"/>
    <col min="12026" max="12026" width="10.7109375" style="368" customWidth="1"/>
    <col min="12027" max="12027" width="11" style="368" customWidth="1"/>
    <col min="12028" max="12028" width="10.7109375" style="368" customWidth="1"/>
    <col min="12029" max="12029" width="13.28515625" style="368" customWidth="1"/>
    <col min="12030" max="12030" width="9.28515625" style="368" bestFit="1" customWidth="1"/>
    <col min="12031" max="12037" width="9.140625" style="368" customWidth="1"/>
    <col min="12038" max="12038" width="9.28515625" style="368" bestFit="1" customWidth="1"/>
    <col min="12039" max="12280" width="9.140625" style="368"/>
    <col min="12281" max="12281" width="35.7109375" style="368" customWidth="1"/>
    <col min="12282" max="12282" width="10.7109375" style="368" customWidth="1"/>
    <col min="12283" max="12283" width="11" style="368" customWidth="1"/>
    <col min="12284" max="12284" width="10.7109375" style="368" customWidth="1"/>
    <col min="12285" max="12285" width="13.28515625" style="368" customWidth="1"/>
    <col min="12286" max="12286" width="9.28515625" style="368" bestFit="1" customWidth="1"/>
    <col min="12287" max="12293" width="9.140625" style="368" customWidth="1"/>
    <col min="12294" max="12294" width="9.28515625" style="368" bestFit="1" customWidth="1"/>
    <col min="12295" max="12536" width="9.140625" style="368"/>
    <col min="12537" max="12537" width="35.7109375" style="368" customWidth="1"/>
    <col min="12538" max="12538" width="10.7109375" style="368" customWidth="1"/>
    <col min="12539" max="12539" width="11" style="368" customWidth="1"/>
    <col min="12540" max="12540" width="10.7109375" style="368" customWidth="1"/>
    <col min="12541" max="12541" width="13.28515625" style="368" customWidth="1"/>
    <col min="12542" max="12542" width="9.28515625" style="368" bestFit="1" customWidth="1"/>
    <col min="12543" max="12549" width="9.140625" style="368" customWidth="1"/>
    <col min="12550" max="12550" width="9.28515625" style="368" bestFit="1" customWidth="1"/>
    <col min="12551" max="12792" width="9.140625" style="368"/>
    <col min="12793" max="12793" width="35.7109375" style="368" customWidth="1"/>
    <col min="12794" max="12794" width="10.7109375" style="368" customWidth="1"/>
    <col min="12795" max="12795" width="11" style="368" customWidth="1"/>
    <col min="12796" max="12796" width="10.7109375" style="368" customWidth="1"/>
    <col min="12797" max="12797" width="13.28515625" style="368" customWidth="1"/>
    <col min="12798" max="12798" width="9.28515625" style="368" bestFit="1" customWidth="1"/>
    <col min="12799" max="12805" width="9.140625" style="368" customWidth="1"/>
    <col min="12806" max="12806" width="9.28515625" style="368" bestFit="1" customWidth="1"/>
    <col min="12807" max="13048" width="9.140625" style="368"/>
    <col min="13049" max="13049" width="35.7109375" style="368" customWidth="1"/>
    <col min="13050" max="13050" width="10.7109375" style="368" customWidth="1"/>
    <col min="13051" max="13051" width="11" style="368" customWidth="1"/>
    <col min="13052" max="13052" width="10.7109375" style="368" customWidth="1"/>
    <col min="13053" max="13053" width="13.28515625" style="368" customWidth="1"/>
    <col min="13054" max="13054" width="9.28515625" style="368" bestFit="1" customWidth="1"/>
    <col min="13055" max="13061" width="9.140625" style="368" customWidth="1"/>
    <col min="13062" max="13062" width="9.28515625" style="368" bestFit="1" customWidth="1"/>
    <col min="13063" max="13304" width="9.140625" style="368"/>
    <col min="13305" max="13305" width="35.7109375" style="368" customWidth="1"/>
    <col min="13306" max="13306" width="10.7109375" style="368" customWidth="1"/>
    <col min="13307" max="13307" width="11" style="368" customWidth="1"/>
    <col min="13308" max="13308" width="10.7109375" style="368" customWidth="1"/>
    <col min="13309" max="13309" width="13.28515625" style="368" customWidth="1"/>
    <col min="13310" max="13310" width="9.28515625" style="368" bestFit="1" customWidth="1"/>
    <col min="13311" max="13317" width="9.140625" style="368" customWidth="1"/>
    <col min="13318" max="13318" width="9.28515625" style="368" bestFit="1" customWidth="1"/>
    <col min="13319" max="13560" width="9.140625" style="368"/>
    <col min="13561" max="13561" width="35.7109375" style="368" customWidth="1"/>
    <col min="13562" max="13562" width="10.7109375" style="368" customWidth="1"/>
    <col min="13563" max="13563" width="11" style="368" customWidth="1"/>
    <col min="13564" max="13564" width="10.7109375" style="368" customWidth="1"/>
    <col min="13565" max="13565" width="13.28515625" style="368" customWidth="1"/>
    <col min="13566" max="13566" width="9.28515625" style="368" bestFit="1" customWidth="1"/>
    <col min="13567" max="13573" width="9.140625" style="368" customWidth="1"/>
    <col min="13574" max="13574" width="9.28515625" style="368" bestFit="1" customWidth="1"/>
    <col min="13575" max="13816" width="9.140625" style="368"/>
    <col min="13817" max="13817" width="35.7109375" style="368" customWidth="1"/>
    <col min="13818" max="13818" width="10.7109375" style="368" customWidth="1"/>
    <col min="13819" max="13819" width="11" style="368" customWidth="1"/>
    <col min="13820" max="13820" width="10.7109375" style="368" customWidth="1"/>
    <col min="13821" max="13821" width="13.28515625" style="368" customWidth="1"/>
    <col min="13822" max="13822" width="9.28515625" style="368" bestFit="1" customWidth="1"/>
    <col min="13823" max="13829" width="9.140625" style="368" customWidth="1"/>
    <col min="13830" max="13830" width="9.28515625" style="368" bestFit="1" customWidth="1"/>
    <col min="13831" max="14072" width="9.140625" style="368"/>
    <col min="14073" max="14073" width="35.7109375" style="368" customWidth="1"/>
    <col min="14074" max="14074" width="10.7109375" style="368" customWidth="1"/>
    <col min="14075" max="14075" width="11" style="368" customWidth="1"/>
    <col min="14076" max="14076" width="10.7109375" style="368" customWidth="1"/>
    <col min="14077" max="14077" width="13.28515625" style="368" customWidth="1"/>
    <col min="14078" max="14078" width="9.28515625" style="368" bestFit="1" customWidth="1"/>
    <col min="14079" max="14085" width="9.140625" style="368" customWidth="1"/>
    <col min="14086" max="14086" width="9.28515625" style="368" bestFit="1" customWidth="1"/>
    <col min="14087" max="14328" width="9.140625" style="368"/>
    <col min="14329" max="14329" width="35.7109375" style="368" customWidth="1"/>
    <col min="14330" max="14330" width="10.7109375" style="368" customWidth="1"/>
    <col min="14331" max="14331" width="11" style="368" customWidth="1"/>
    <col min="14332" max="14332" width="10.7109375" style="368" customWidth="1"/>
    <col min="14333" max="14333" width="13.28515625" style="368" customWidth="1"/>
    <col min="14334" max="14334" width="9.28515625" style="368" bestFit="1" customWidth="1"/>
    <col min="14335" max="14341" width="9.140625" style="368" customWidth="1"/>
    <col min="14342" max="14342" width="9.28515625" style="368" bestFit="1" customWidth="1"/>
    <col min="14343" max="14584" width="9.140625" style="368"/>
    <col min="14585" max="14585" width="35.7109375" style="368" customWidth="1"/>
    <col min="14586" max="14586" width="10.7109375" style="368" customWidth="1"/>
    <col min="14587" max="14587" width="11" style="368" customWidth="1"/>
    <col min="14588" max="14588" width="10.7109375" style="368" customWidth="1"/>
    <col min="14589" max="14589" width="13.28515625" style="368" customWidth="1"/>
    <col min="14590" max="14590" width="9.28515625" style="368" bestFit="1" customWidth="1"/>
    <col min="14591" max="14597" width="9.140625" style="368" customWidth="1"/>
    <col min="14598" max="14598" width="9.28515625" style="368" bestFit="1" customWidth="1"/>
    <col min="14599" max="14840" width="9.140625" style="368"/>
    <col min="14841" max="14841" width="35.7109375" style="368" customWidth="1"/>
    <col min="14842" max="14842" width="10.7109375" style="368" customWidth="1"/>
    <col min="14843" max="14843" width="11" style="368" customWidth="1"/>
    <col min="14844" max="14844" width="10.7109375" style="368" customWidth="1"/>
    <col min="14845" max="14845" width="13.28515625" style="368" customWidth="1"/>
    <col min="14846" max="14846" width="9.28515625" style="368" bestFit="1" customWidth="1"/>
    <col min="14847" max="14853" width="9.140625" style="368" customWidth="1"/>
    <col min="14854" max="14854" width="9.28515625" style="368" bestFit="1" customWidth="1"/>
    <col min="14855" max="15096" width="9.140625" style="368"/>
    <col min="15097" max="15097" width="35.7109375" style="368" customWidth="1"/>
    <col min="15098" max="15098" width="10.7109375" style="368" customWidth="1"/>
    <col min="15099" max="15099" width="11" style="368" customWidth="1"/>
    <col min="15100" max="15100" width="10.7109375" style="368" customWidth="1"/>
    <col min="15101" max="15101" width="13.28515625" style="368" customWidth="1"/>
    <col min="15102" max="15102" width="9.28515625" style="368" bestFit="1" customWidth="1"/>
    <col min="15103" max="15109" width="9.140625" style="368" customWidth="1"/>
    <col min="15110" max="15110" width="9.28515625" style="368" bestFit="1" customWidth="1"/>
    <col min="15111" max="15352" width="9.140625" style="368"/>
    <col min="15353" max="15353" width="35.7109375" style="368" customWidth="1"/>
    <col min="15354" max="15354" width="10.7109375" style="368" customWidth="1"/>
    <col min="15355" max="15355" width="11" style="368" customWidth="1"/>
    <col min="15356" max="15356" width="10.7109375" style="368" customWidth="1"/>
    <col min="15357" max="15357" width="13.28515625" style="368" customWidth="1"/>
    <col min="15358" max="15358" width="9.28515625" style="368" bestFit="1" customWidth="1"/>
    <col min="15359" max="15365" width="9.140625" style="368" customWidth="1"/>
    <col min="15366" max="15366" width="9.28515625" style="368" bestFit="1" customWidth="1"/>
    <col min="15367" max="15608" width="9.140625" style="368"/>
    <col min="15609" max="15609" width="35.7109375" style="368" customWidth="1"/>
    <col min="15610" max="15610" width="10.7109375" style="368" customWidth="1"/>
    <col min="15611" max="15611" width="11" style="368" customWidth="1"/>
    <col min="15612" max="15612" width="10.7109375" style="368" customWidth="1"/>
    <col min="15613" max="15613" width="13.28515625" style="368" customWidth="1"/>
    <col min="15614" max="15614" width="9.28515625" style="368" bestFit="1" customWidth="1"/>
    <col min="15615" max="15621" width="9.140625" style="368" customWidth="1"/>
    <col min="15622" max="15622" width="9.28515625" style="368" bestFit="1" customWidth="1"/>
    <col min="15623" max="15864" width="9.140625" style="368"/>
    <col min="15865" max="15865" width="35.7109375" style="368" customWidth="1"/>
    <col min="15866" max="15866" width="10.7109375" style="368" customWidth="1"/>
    <col min="15867" max="15867" width="11" style="368" customWidth="1"/>
    <col min="15868" max="15868" width="10.7109375" style="368" customWidth="1"/>
    <col min="15869" max="15869" width="13.28515625" style="368" customWidth="1"/>
    <col min="15870" max="15870" width="9.28515625" style="368" bestFit="1" customWidth="1"/>
    <col min="15871" max="15877" width="9.140625" style="368" customWidth="1"/>
    <col min="15878" max="15878" width="9.28515625" style="368" bestFit="1" customWidth="1"/>
    <col min="15879" max="16120" width="9.140625" style="368"/>
    <col min="16121" max="16121" width="35.7109375" style="368" customWidth="1"/>
    <col min="16122" max="16122" width="10.7109375" style="368" customWidth="1"/>
    <col min="16123" max="16123" width="11" style="368" customWidth="1"/>
    <col min="16124" max="16124" width="10.7109375" style="368" customWidth="1"/>
    <col min="16125" max="16125" width="13.28515625" style="368" customWidth="1"/>
    <col min="16126" max="16126" width="9.28515625" style="368" bestFit="1" customWidth="1"/>
    <col min="16127" max="16133" width="9.140625" style="368" customWidth="1"/>
    <col min="16134" max="16134" width="9.28515625" style="368" bestFit="1" customWidth="1"/>
    <col min="16135" max="16384" width="9.140625" style="368"/>
  </cols>
  <sheetData>
    <row r="1" spans="1:9" ht="16.5" x14ac:dyDescent="0.3">
      <c r="A1" s="494" t="s">
        <v>244</v>
      </c>
      <c r="B1" s="494"/>
      <c r="C1" s="494"/>
      <c r="D1" s="494"/>
      <c r="E1" s="494"/>
    </row>
    <row r="2" spans="1:9" ht="15" x14ac:dyDescent="0.25">
      <c r="A2" s="494" t="s">
        <v>41</v>
      </c>
      <c r="B2" s="494"/>
      <c r="C2" s="494"/>
      <c r="D2" s="494"/>
      <c r="E2" s="494"/>
    </row>
    <row r="3" spans="1:9" s="372" customFormat="1" ht="15.75" thickBot="1" x14ac:dyDescent="0.3">
      <c r="A3" s="369" t="s">
        <v>0</v>
      </c>
      <c r="B3" s="370"/>
      <c r="C3" s="370"/>
      <c r="D3" s="370"/>
      <c r="E3" s="371"/>
    </row>
    <row r="4" spans="1:9" s="376" customFormat="1" ht="68.25" customHeight="1" thickBot="1" x14ac:dyDescent="0.25">
      <c r="A4" s="373" t="s">
        <v>42</v>
      </c>
      <c r="B4" s="374" t="s">
        <v>204</v>
      </c>
      <c r="C4" s="374" t="s">
        <v>205</v>
      </c>
      <c r="D4" s="374" t="s">
        <v>242</v>
      </c>
      <c r="E4" s="375" t="s">
        <v>252</v>
      </c>
    </row>
    <row r="5" spans="1:9" s="381" customFormat="1" ht="15.75" thickTop="1" x14ac:dyDescent="0.2">
      <c r="A5" s="377"/>
      <c r="B5" s="378"/>
      <c r="C5" s="378"/>
      <c r="D5" s="379"/>
      <c r="E5" s="380"/>
    </row>
    <row r="6" spans="1:9" s="381" customFormat="1" ht="12.75" customHeight="1" x14ac:dyDescent="0.2">
      <c r="A6" s="491" t="s">
        <v>203</v>
      </c>
      <c r="B6" s="492"/>
      <c r="C6" s="492"/>
      <c r="D6" s="492"/>
      <c r="E6" s="493"/>
    </row>
    <row r="7" spans="1:9" s="381" customFormat="1" x14ac:dyDescent="0.2">
      <c r="A7" s="382" t="s">
        <v>254</v>
      </c>
      <c r="B7" s="383">
        <f>'5-6 - EU ID 113 - DSI TCI'!K61</f>
        <v>2535000</v>
      </c>
      <c r="C7" s="383">
        <f>'5-7 - EU ID 113 - DSI CE'!K29</f>
        <v>1559582.0725803049</v>
      </c>
      <c r="D7" s="383">
        <f>'5-7 - EU ID 113 - DSI CE'!K19</f>
        <v>1235160</v>
      </c>
      <c r="E7" s="384">
        <f>'5-7 - EU ID 113 - DSI CE'!K35</f>
        <v>8031.8376339915285</v>
      </c>
    </row>
    <row r="8" spans="1:9" s="381" customFormat="1" x14ac:dyDescent="0.2">
      <c r="A8" s="382" t="s">
        <v>255</v>
      </c>
      <c r="B8" s="385">
        <f>'5-4 - EU ID 113 - SDA TCI'!K61</f>
        <v>15600000</v>
      </c>
      <c r="C8" s="385">
        <f>'5-5 - EU ID 113 - SDA CE'!K29</f>
        <v>2578107.5235711075</v>
      </c>
      <c r="D8" s="385">
        <f>'5-5 - EU ID 113 - SDA CE'!K19</f>
        <v>581664</v>
      </c>
      <c r="E8" s="386">
        <f>'5-5 - EU ID 113 - SDA CE'!K35</f>
        <v>10823.834633025624</v>
      </c>
      <c r="I8" s="381" t="s">
        <v>0</v>
      </c>
    </row>
    <row r="9" spans="1:9" s="381" customFormat="1" ht="16.5" x14ac:dyDescent="0.2">
      <c r="A9" s="387" t="s">
        <v>261</v>
      </c>
      <c r="B9" s="385" t="s">
        <v>43</v>
      </c>
      <c r="C9" s="385" t="s">
        <v>43</v>
      </c>
      <c r="D9" s="385" t="s">
        <v>43</v>
      </c>
      <c r="E9" s="386" t="s">
        <v>43</v>
      </c>
    </row>
    <row r="10" spans="1:9" s="381" customFormat="1" x14ac:dyDescent="0.2">
      <c r="A10" s="388"/>
      <c r="B10" s="389"/>
      <c r="C10" s="389"/>
      <c r="D10" s="389"/>
      <c r="E10" s="390"/>
    </row>
    <row r="11" spans="1:9" s="381" customFormat="1" ht="12.75" customHeight="1" x14ac:dyDescent="0.2">
      <c r="A11" s="491" t="s">
        <v>233</v>
      </c>
      <c r="B11" s="492"/>
      <c r="C11" s="492"/>
      <c r="D11" s="492"/>
      <c r="E11" s="493"/>
    </row>
    <row r="12" spans="1:9" s="381" customFormat="1" ht="12.75" customHeight="1" x14ac:dyDescent="0.2">
      <c r="A12" s="391" t="str">
        <f>'5-3'!C9</f>
        <v>ULSD</v>
      </c>
      <c r="B12" s="385" t="s">
        <v>43</v>
      </c>
      <c r="C12" s="385">
        <f>'5-8 - EU ID 3 - ULSD CE'!K26</f>
        <v>443711.52</v>
      </c>
      <c r="D12" s="385">
        <f>'5-8 - EU ID 3 - ULSD CE'!K16</f>
        <v>443711.52</v>
      </c>
      <c r="E12" s="386">
        <f>'5-8 - EU ID 3 - ULSD CE'!K32</f>
        <v>1083.809281875916</v>
      </c>
    </row>
    <row r="13" spans="1:9" s="381" customFormat="1" ht="12.75" customHeight="1" x14ac:dyDescent="0.2">
      <c r="A13" s="388" t="str">
        <f>'5-3'!C10</f>
        <v>Good Combustion Practices</v>
      </c>
      <c r="B13" s="385" t="s">
        <v>43</v>
      </c>
      <c r="C13" s="385" t="s">
        <v>43</v>
      </c>
      <c r="D13" s="385" t="s">
        <v>43</v>
      </c>
      <c r="E13" s="386" t="s">
        <v>43</v>
      </c>
    </row>
    <row r="14" spans="1:9" s="381" customFormat="1" ht="12.75" customHeight="1" x14ac:dyDescent="0.2">
      <c r="A14" s="388"/>
      <c r="B14" s="389"/>
      <c r="C14" s="389"/>
      <c r="D14" s="389"/>
      <c r="E14" s="390"/>
    </row>
    <row r="15" spans="1:9" s="381" customFormat="1" ht="12.75" customHeight="1" x14ac:dyDescent="0.2">
      <c r="A15" s="491" t="s">
        <v>234</v>
      </c>
      <c r="B15" s="492"/>
      <c r="C15" s="492"/>
      <c r="D15" s="492"/>
      <c r="E15" s="493"/>
    </row>
    <row r="16" spans="1:9" s="381" customFormat="1" ht="12.75" customHeight="1" x14ac:dyDescent="0.2">
      <c r="A16" s="391" t="str">
        <f>'5-3'!C13</f>
        <v>ULSD + (Limited Operation)</v>
      </c>
      <c r="B16" s="385" t="s">
        <v>43</v>
      </c>
      <c r="C16" s="385">
        <f>'5-9 - EU ID 4 - ULSD CE'!K26</f>
        <v>43183.602919708035</v>
      </c>
      <c r="D16" s="385">
        <f>'5-9 - EU ID 4 - ULSD CE'!K16</f>
        <v>43183.602919708035</v>
      </c>
      <c r="E16" s="386">
        <f>'5-9 - EU ID 4 - ULSD CE'!K32</f>
        <v>1082.2958125240109</v>
      </c>
    </row>
    <row r="17" spans="1:5" s="381" customFormat="1" ht="16.899999999999999" customHeight="1" x14ac:dyDescent="0.2">
      <c r="A17" s="388" t="s">
        <v>243</v>
      </c>
      <c r="B17" s="385" t="s">
        <v>43</v>
      </c>
      <c r="C17" s="385" t="s">
        <v>43</v>
      </c>
      <c r="D17" s="385" t="s">
        <v>43</v>
      </c>
      <c r="E17" s="386" t="s">
        <v>43</v>
      </c>
    </row>
    <row r="18" spans="1:5" s="381" customFormat="1" ht="12.75" customHeight="1" x14ac:dyDescent="0.2">
      <c r="A18" s="388"/>
      <c r="B18" s="389"/>
      <c r="C18" s="389"/>
      <c r="D18" s="389"/>
      <c r="E18" s="390"/>
    </row>
    <row r="19" spans="1:5" s="381" customFormat="1" ht="12.75" customHeight="1" x14ac:dyDescent="0.2">
      <c r="A19" s="491" t="s">
        <v>228</v>
      </c>
      <c r="B19" s="492"/>
      <c r="C19" s="492"/>
      <c r="D19" s="492"/>
      <c r="E19" s="493"/>
    </row>
    <row r="20" spans="1:5" s="381" customFormat="1" x14ac:dyDescent="0.2">
      <c r="A20" s="392" t="str">
        <f>'5-3'!C13</f>
        <v>ULSD + (Limited Operation)</v>
      </c>
      <c r="B20" s="385" t="s">
        <v>43</v>
      </c>
      <c r="C20" s="385">
        <f>'5-10 - EU ID 8 - ULSD CE'!K26</f>
        <v>38732.86330935252</v>
      </c>
      <c r="D20" s="385">
        <f>'5-10 - EU ID 8 - ULSD CE'!K16</f>
        <v>38732.86330935252</v>
      </c>
      <c r="E20" s="386">
        <f>'5-10 - EU ID 8 - ULSD CE'!K32</f>
        <v>970.74845386848426</v>
      </c>
    </row>
    <row r="21" spans="1:5" s="381" customFormat="1" ht="16.899999999999999" customHeight="1" thickBot="1" x14ac:dyDescent="0.25">
      <c r="A21" s="393" t="s">
        <v>243</v>
      </c>
      <c r="B21" s="394" t="s">
        <v>43</v>
      </c>
      <c r="C21" s="394" t="s">
        <v>43</v>
      </c>
      <c r="D21" s="394" t="s">
        <v>43</v>
      </c>
      <c r="E21" s="395" t="s">
        <v>43</v>
      </c>
    </row>
    <row r="22" spans="1:5" s="398" customFormat="1" x14ac:dyDescent="0.2">
      <c r="A22" s="396"/>
      <c r="B22" s="397"/>
      <c r="C22" s="397"/>
      <c r="D22" s="397"/>
      <c r="E22" s="397"/>
    </row>
    <row r="23" spans="1:5" ht="16.5" x14ac:dyDescent="0.2">
      <c r="A23" s="332" t="s">
        <v>44</v>
      </c>
      <c r="B23" s="490" t="s">
        <v>0</v>
      </c>
      <c r="C23" s="490"/>
      <c r="D23" s="490"/>
      <c r="E23" s="490"/>
    </row>
    <row r="24" spans="1:5" ht="16.5" x14ac:dyDescent="0.2">
      <c r="A24" s="305" t="s">
        <v>238</v>
      </c>
      <c r="B24" s="399"/>
      <c r="C24" s="399"/>
      <c r="D24" s="399"/>
    </row>
    <row r="25" spans="1:5" ht="16.5" x14ac:dyDescent="0.2">
      <c r="A25" s="305" t="s">
        <v>0</v>
      </c>
    </row>
  </sheetData>
  <mergeCells count="7">
    <mergeCell ref="B23:E23"/>
    <mergeCell ref="A11:E11"/>
    <mergeCell ref="A1:E1"/>
    <mergeCell ref="A2:E2"/>
    <mergeCell ref="A6:E6"/>
    <mergeCell ref="A19:E19"/>
    <mergeCell ref="A15:E15"/>
  </mergeCells>
  <printOptions horizontalCentered="1"/>
  <pageMargins left="0.75" right="0.75" top="1" bottom="1" header="0.5" footer="0.5"/>
  <pageSetup scale="69" orientation="portrait" r:id="rId1"/>
  <headerFooter alignWithMargins="0">
    <oddFooter>&amp;L&amp;8UAF
PM&amp;Y2.5&amp;Y Serious NAA BACT Analysis&amp;C&amp;8Page 137&amp;R&amp;8January 2017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A28" zoomScale="80" zoomScaleNormal="80" workbookViewId="0">
      <selection activeCell="C56" sqref="C56"/>
    </sheetView>
  </sheetViews>
  <sheetFormatPr defaultRowHeight="14.25" x14ac:dyDescent="0.2"/>
  <cols>
    <col min="1" max="1" width="25.7109375" style="332" customWidth="1"/>
    <col min="2" max="2" width="23.28515625" style="332" customWidth="1"/>
    <col min="3" max="3" width="12.140625" style="332" customWidth="1"/>
    <col min="4" max="4" width="38.5703125" style="332" customWidth="1"/>
    <col min="5" max="5" width="23.7109375" style="332" customWidth="1"/>
    <col min="6" max="6" width="9.28515625" style="332" bestFit="1" customWidth="1"/>
    <col min="7" max="8" width="9.140625" style="332"/>
    <col min="9" max="9" width="38.140625" style="332" customWidth="1"/>
    <col min="10" max="248" width="9.140625" style="332"/>
    <col min="249" max="249" width="15.7109375" style="332" customWidth="1"/>
    <col min="250" max="250" width="23.28515625" style="332" customWidth="1"/>
    <col min="251" max="251" width="12.140625" style="332" customWidth="1"/>
    <col min="252" max="252" width="17.85546875" style="332" customWidth="1"/>
    <col min="253" max="253" width="23.7109375" style="332" customWidth="1"/>
    <col min="254" max="254" width="9.28515625" style="332" bestFit="1" customWidth="1"/>
    <col min="255" max="261" width="9.140625" style="332" customWidth="1"/>
    <col min="262" max="262" width="9.28515625" style="332" bestFit="1" customWidth="1"/>
    <col min="263" max="504" width="9.140625" style="332"/>
    <col min="505" max="505" width="15.7109375" style="332" customWidth="1"/>
    <col min="506" max="506" width="23.28515625" style="332" customWidth="1"/>
    <col min="507" max="507" width="12.140625" style="332" customWidth="1"/>
    <col min="508" max="508" width="17.85546875" style="332" customWidth="1"/>
    <col min="509" max="509" width="23.7109375" style="332" customWidth="1"/>
    <col min="510" max="510" width="9.28515625" style="332" bestFit="1" customWidth="1"/>
    <col min="511" max="517" width="9.140625" style="332" customWidth="1"/>
    <col min="518" max="518" width="9.28515625" style="332" bestFit="1" customWidth="1"/>
    <col min="519" max="760" width="9.140625" style="332"/>
    <col min="761" max="761" width="15.7109375" style="332" customWidth="1"/>
    <col min="762" max="762" width="23.28515625" style="332" customWidth="1"/>
    <col min="763" max="763" width="12.140625" style="332" customWidth="1"/>
    <col min="764" max="764" width="17.85546875" style="332" customWidth="1"/>
    <col min="765" max="765" width="23.7109375" style="332" customWidth="1"/>
    <col min="766" max="766" width="9.28515625" style="332" bestFit="1" customWidth="1"/>
    <col min="767" max="773" width="9.140625" style="332" customWidth="1"/>
    <col min="774" max="774" width="9.28515625" style="332" bestFit="1" customWidth="1"/>
    <col min="775" max="1016" width="9.140625" style="332"/>
    <col min="1017" max="1017" width="15.7109375" style="332" customWidth="1"/>
    <col min="1018" max="1018" width="23.28515625" style="332" customWidth="1"/>
    <col min="1019" max="1019" width="12.140625" style="332" customWidth="1"/>
    <col min="1020" max="1020" width="17.85546875" style="332" customWidth="1"/>
    <col min="1021" max="1021" width="23.7109375" style="332" customWidth="1"/>
    <col min="1022" max="1022" width="9.28515625" style="332" bestFit="1" customWidth="1"/>
    <col min="1023" max="1029" width="9.140625" style="332" customWidth="1"/>
    <col min="1030" max="1030" width="9.28515625" style="332" bestFit="1" customWidth="1"/>
    <col min="1031" max="1272" width="9.140625" style="332"/>
    <col min="1273" max="1273" width="15.7109375" style="332" customWidth="1"/>
    <col min="1274" max="1274" width="23.28515625" style="332" customWidth="1"/>
    <col min="1275" max="1275" width="12.140625" style="332" customWidth="1"/>
    <col min="1276" max="1276" width="17.85546875" style="332" customWidth="1"/>
    <col min="1277" max="1277" width="23.7109375" style="332" customWidth="1"/>
    <col min="1278" max="1278" width="9.28515625" style="332" bestFit="1" customWidth="1"/>
    <col min="1279" max="1285" width="9.140625" style="332" customWidth="1"/>
    <col min="1286" max="1286" width="9.28515625" style="332" bestFit="1" customWidth="1"/>
    <col min="1287" max="1528" width="9.140625" style="332"/>
    <col min="1529" max="1529" width="15.7109375" style="332" customWidth="1"/>
    <col min="1530" max="1530" width="23.28515625" style="332" customWidth="1"/>
    <col min="1531" max="1531" width="12.140625" style="332" customWidth="1"/>
    <col min="1532" max="1532" width="17.85546875" style="332" customWidth="1"/>
    <col min="1533" max="1533" width="23.7109375" style="332" customWidth="1"/>
    <col min="1534" max="1534" width="9.28515625" style="332" bestFit="1" customWidth="1"/>
    <col min="1535" max="1541" width="9.140625" style="332" customWidth="1"/>
    <col min="1542" max="1542" width="9.28515625" style="332" bestFit="1" customWidth="1"/>
    <col min="1543" max="1784" width="9.140625" style="332"/>
    <col min="1785" max="1785" width="15.7109375" style="332" customWidth="1"/>
    <col min="1786" max="1786" width="23.28515625" style="332" customWidth="1"/>
    <col min="1787" max="1787" width="12.140625" style="332" customWidth="1"/>
    <col min="1788" max="1788" width="17.85546875" style="332" customWidth="1"/>
    <col min="1789" max="1789" width="23.7109375" style="332" customWidth="1"/>
    <col min="1790" max="1790" width="9.28515625" style="332" bestFit="1" customWidth="1"/>
    <col min="1791" max="1797" width="9.140625" style="332" customWidth="1"/>
    <col min="1798" max="1798" width="9.28515625" style="332" bestFit="1" customWidth="1"/>
    <col min="1799" max="2040" width="9.140625" style="332"/>
    <col min="2041" max="2041" width="15.7109375" style="332" customWidth="1"/>
    <col min="2042" max="2042" width="23.28515625" style="332" customWidth="1"/>
    <col min="2043" max="2043" width="12.140625" style="332" customWidth="1"/>
    <col min="2044" max="2044" width="17.85546875" style="332" customWidth="1"/>
    <col min="2045" max="2045" width="23.7109375" style="332" customWidth="1"/>
    <col min="2046" max="2046" width="9.28515625" style="332" bestFit="1" customWidth="1"/>
    <col min="2047" max="2053" width="9.140625" style="332" customWidth="1"/>
    <col min="2054" max="2054" width="9.28515625" style="332" bestFit="1" customWidth="1"/>
    <col min="2055" max="2296" width="9.140625" style="332"/>
    <col min="2297" max="2297" width="15.7109375" style="332" customWidth="1"/>
    <col min="2298" max="2298" width="23.28515625" style="332" customWidth="1"/>
    <col min="2299" max="2299" width="12.140625" style="332" customWidth="1"/>
    <col min="2300" max="2300" width="17.85546875" style="332" customWidth="1"/>
    <col min="2301" max="2301" width="23.7109375" style="332" customWidth="1"/>
    <col min="2302" max="2302" width="9.28515625" style="332" bestFit="1" customWidth="1"/>
    <col min="2303" max="2309" width="9.140625" style="332" customWidth="1"/>
    <col min="2310" max="2310" width="9.28515625" style="332" bestFit="1" customWidth="1"/>
    <col min="2311" max="2552" width="9.140625" style="332"/>
    <col min="2553" max="2553" width="15.7109375" style="332" customWidth="1"/>
    <col min="2554" max="2554" width="23.28515625" style="332" customWidth="1"/>
    <col min="2555" max="2555" width="12.140625" style="332" customWidth="1"/>
    <col min="2556" max="2556" width="17.85546875" style="332" customWidth="1"/>
    <col min="2557" max="2557" width="23.7109375" style="332" customWidth="1"/>
    <col min="2558" max="2558" width="9.28515625" style="332" bestFit="1" customWidth="1"/>
    <col min="2559" max="2565" width="9.140625" style="332" customWidth="1"/>
    <col min="2566" max="2566" width="9.28515625" style="332" bestFit="1" customWidth="1"/>
    <col min="2567" max="2808" width="9.140625" style="332"/>
    <col min="2809" max="2809" width="15.7109375" style="332" customWidth="1"/>
    <col min="2810" max="2810" width="23.28515625" style="332" customWidth="1"/>
    <col min="2811" max="2811" width="12.140625" style="332" customWidth="1"/>
    <col min="2812" max="2812" width="17.85546875" style="332" customWidth="1"/>
    <col min="2813" max="2813" width="23.7109375" style="332" customWidth="1"/>
    <col min="2814" max="2814" width="9.28515625" style="332" bestFit="1" customWidth="1"/>
    <col min="2815" max="2821" width="9.140625" style="332" customWidth="1"/>
    <col min="2822" max="2822" width="9.28515625" style="332" bestFit="1" customWidth="1"/>
    <col min="2823" max="3064" width="9.140625" style="332"/>
    <col min="3065" max="3065" width="15.7109375" style="332" customWidth="1"/>
    <col min="3066" max="3066" width="23.28515625" style="332" customWidth="1"/>
    <col min="3067" max="3067" width="12.140625" style="332" customWidth="1"/>
    <col min="3068" max="3068" width="17.85546875" style="332" customWidth="1"/>
    <col min="3069" max="3069" width="23.7109375" style="332" customWidth="1"/>
    <col min="3070" max="3070" width="9.28515625" style="332" bestFit="1" customWidth="1"/>
    <col min="3071" max="3077" width="9.140625" style="332" customWidth="1"/>
    <col min="3078" max="3078" width="9.28515625" style="332" bestFit="1" customWidth="1"/>
    <col min="3079" max="3320" width="9.140625" style="332"/>
    <col min="3321" max="3321" width="15.7109375" style="332" customWidth="1"/>
    <col min="3322" max="3322" width="23.28515625" style="332" customWidth="1"/>
    <col min="3323" max="3323" width="12.140625" style="332" customWidth="1"/>
    <col min="3324" max="3324" width="17.85546875" style="332" customWidth="1"/>
    <col min="3325" max="3325" width="23.7109375" style="332" customWidth="1"/>
    <col min="3326" max="3326" width="9.28515625" style="332" bestFit="1" customWidth="1"/>
    <col min="3327" max="3333" width="9.140625" style="332" customWidth="1"/>
    <col min="3334" max="3334" width="9.28515625" style="332" bestFit="1" customWidth="1"/>
    <col min="3335" max="3576" width="9.140625" style="332"/>
    <col min="3577" max="3577" width="15.7109375" style="332" customWidth="1"/>
    <col min="3578" max="3578" width="23.28515625" style="332" customWidth="1"/>
    <col min="3579" max="3579" width="12.140625" style="332" customWidth="1"/>
    <col min="3580" max="3580" width="17.85546875" style="332" customWidth="1"/>
    <col min="3581" max="3581" width="23.7109375" style="332" customWidth="1"/>
    <col min="3582" max="3582" width="9.28515625" style="332" bestFit="1" customWidth="1"/>
    <col min="3583" max="3589" width="9.140625" style="332" customWidth="1"/>
    <col min="3590" max="3590" width="9.28515625" style="332" bestFit="1" customWidth="1"/>
    <col min="3591" max="3832" width="9.140625" style="332"/>
    <col min="3833" max="3833" width="15.7109375" style="332" customWidth="1"/>
    <col min="3834" max="3834" width="23.28515625" style="332" customWidth="1"/>
    <col min="3835" max="3835" width="12.140625" style="332" customWidth="1"/>
    <col min="3836" max="3836" width="17.85546875" style="332" customWidth="1"/>
    <col min="3837" max="3837" width="23.7109375" style="332" customWidth="1"/>
    <col min="3838" max="3838" width="9.28515625" style="332" bestFit="1" customWidth="1"/>
    <col min="3839" max="3845" width="9.140625" style="332" customWidth="1"/>
    <col min="3846" max="3846" width="9.28515625" style="332" bestFit="1" customWidth="1"/>
    <col min="3847" max="4088" width="9.140625" style="332"/>
    <col min="4089" max="4089" width="15.7109375" style="332" customWidth="1"/>
    <col min="4090" max="4090" width="23.28515625" style="332" customWidth="1"/>
    <col min="4091" max="4091" width="12.140625" style="332" customWidth="1"/>
    <col min="4092" max="4092" width="17.85546875" style="332" customWidth="1"/>
    <col min="4093" max="4093" width="23.7109375" style="332" customWidth="1"/>
    <col min="4094" max="4094" width="9.28515625" style="332" bestFit="1" customWidth="1"/>
    <col min="4095" max="4101" width="9.140625" style="332" customWidth="1"/>
    <col min="4102" max="4102" width="9.28515625" style="332" bestFit="1" customWidth="1"/>
    <col min="4103" max="4344" width="9.140625" style="332"/>
    <col min="4345" max="4345" width="15.7109375" style="332" customWidth="1"/>
    <col min="4346" max="4346" width="23.28515625" style="332" customWidth="1"/>
    <col min="4347" max="4347" width="12.140625" style="332" customWidth="1"/>
    <col min="4348" max="4348" width="17.85546875" style="332" customWidth="1"/>
    <col min="4349" max="4349" width="23.7109375" style="332" customWidth="1"/>
    <col min="4350" max="4350" width="9.28515625" style="332" bestFit="1" customWidth="1"/>
    <col min="4351" max="4357" width="9.140625" style="332" customWidth="1"/>
    <col min="4358" max="4358" width="9.28515625" style="332" bestFit="1" customWidth="1"/>
    <col min="4359" max="4600" width="9.140625" style="332"/>
    <col min="4601" max="4601" width="15.7109375" style="332" customWidth="1"/>
    <col min="4602" max="4602" width="23.28515625" style="332" customWidth="1"/>
    <col min="4603" max="4603" width="12.140625" style="332" customWidth="1"/>
    <col min="4604" max="4604" width="17.85546875" style="332" customWidth="1"/>
    <col min="4605" max="4605" width="23.7109375" style="332" customWidth="1"/>
    <col min="4606" max="4606" width="9.28515625" style="332" bestFit="1" customWidth="1"/>
    <col min="4607" max="4613" width="9.140625" style="332" customWidth="1"/>
    <col min="4614" max="4614" width="9.28515625" style="332" bestFit="1" customWidth="1"/>
    <col min="4615" max="4856" width="9.140625" style="332"/>
    <col min="4857" max="4857" width="15.7109375" style="332" customWidth="1"/>
    <col min="4858" max="4858" width="23.28515625" style="332" customWidth="1"/>
    <col min="4859" max="4859" width="12.140625" style="332" customWidth="1"/>
    <col min="4860" max="4860" width="17.85546875" style="332" customWidth="1"/>
    <col min="4861" max="4861" width="23.7109375" style="332" customWidth="1"/>
    <col min="4862" max="4862" width="9.28515625" style="332" bestFit="1" customWidth="1"/>
    <col min="4863" max="4869" width="9.140625" style="332" customWidth="1"/>
    <col min="4870" max="4870" width="9.28515625" style="332" bestFit="1" customWidth="1"/>
    <col min="4871" max="5112" width="9.140625" style="332"/>
    <col min="5113" max="5113" width="15.7109375" style="332" customWidth="1"/>
    <col min="5114" max="5114" width="23.28515625" style="332" customWidth="1"/>
    <col min="5115" max="5115" width="12.140625" style="332" customWidth="1"/>
    <col min="5116" max="5116" width="17.85546875" style="332" customWidth="1"/>
    <col min="5117" max="5117" width="23.7109375" style="332" customWidth="1"/>
    <col min="5118" max="5118" width="9.28515625" style="332" bestFit="1" customWidth="1"/>
    <col min="5119" max="5125" width="9.140625" style="332" customWidth="1"/>
    <col min="5126" max="5126" width="9.28515625" style="332" bestFit="1" customWidth="1"/>
    <col min="5127" max="5368" width="9.140625" style="332"/>
    <col min="5369" max="5369" width="15.7109375" style="332" customWidth="1"/>
    <col min="5370" max="5370" width="23.28515625" style="332" customWidth="1"/>
    <col min="5371" max="5371" width="12.140625" style="332" customWidth="1"/>
    <col min="5372" max="5372" width="17.85546875" style="332" customWidth="1"/>
    <col min="5373" max="5373" width="23.7109375" style="332" customWidth="1"/>
    <col min="5374" max="5374" width="9.28515625" style="332" bestFit="1" customWidth="1"/>
    <col min="5375" max="5381" width="9.140625" style="332" customWidth="1"/>
    <col min="5382" max="5382" width="9.28515625" style="332" bestFit="1" customWidth="1"/>
    <col min="5383" max="5624" width="9.140625" style="332"/>
    <col min="5625" max="5625" width="15.7109375" style="332" customWidth="1"/>
    <col min="5626" max="5626" width="23.28515625" style="332" customWidth="1"/>
    <col min="5627" max="5627" width="12.140625" style="332" customWidth="1"/>
    <col min="5628" max="5628" width="17.85546875" style="332" customWidth="1"/>
    <col min="5629" max="5629" width="23.7109375" style="332" customWidth="1"/>
    <col min="5630" max="5630" width="9.28515625" style="332" bestFit="1" customWidth="1"/>
    <col min="5631" max="5637" width="9.140625" style="332" customWidth="1"/>
    <col min="5638" max="5638" width="9.28515625" style="332" bestFit="1" customWidth="1"/>
    <col min="5639" max="5880" width="9.140625" style="332"/>
    <col min="5881" max="5881" width="15.7109375" style="332" customWidth="1"/>
    <col min="5882" max="5882" width="23.28515625" style="332" customWidth="1"/>
    <col min="5883" max="5883" width="12.140625" style="332" customWidth="1"/>
    <col min="5884" max="5884" width="17.85546875" style="332" customWidth="1"/>
    <col min="5885" max="5885" width="23.7109375" style="332" customWidth="1"/>
    <col min="5886" max="5886" width="9.28515625" style="332" bestFit="1" customWidth="1"/>
    <col min="5887" max="5893" width="9.140625" style="332" customWidth="1"/>
    <col min="5894" max="5894" width="9.28515625" style="332" bestFit="1" customWidth="1"/>
    <col min="5895" max="6136" width="9.140625" style="332"/>
    <col min="6137" max="6137" width="15.7109375" style="332" customWidth="1"/>
    <col min="6138" max="6138" width="23.28515625" style="332" customWidth="1"/>
    <col min="6139" max="6139" width="12.140625" style="332" customWidth="1"/>
    <col min="6140" max="6140" width="17.85546875" style="332" customWidth="1"/>
    <col min="6141" max="6141" width="23.7109375" style="332" customWidth="1"/>
    <col min="6142" max="6142" width="9.28515625" style="332" bestFit="1" customWidth="1"/>
    <col min="6143" max="6149" width="9.140625" style="332" customWidth="1"/>
    <col min="6150" max="6150" width="9.28515625" style="332" bestFit="1" customWidth="1"/>
    <col min="6151" max="6392" width="9.140625" style="332"/>
    <col min="6393" max="6393" width="15.7109375" style="332" customWidth="1"/>
    <col min="6394" max="6394" width="23.28515625" style="332" customWidth="1"/>
    <col min="6395" max="6395" width="12.140625" style="332" customWidth="1"/>
    <col min="6396" max="6396" width="17.85546875" style="332" customWidth="1"/>
    <col min="6397" max="6397" width="23.7109375" style="332" customWidth="1"/>
    <col min="6398" max="6398" width="9.28515625" style="332" bestFit="1" customWidth="1"/>
    <col min="6399" max="6405" width="9.140625" style="332" customWidth="1"/>
    <col min="6406" max="6406" width="9.28515625" style="332" bestFit="1" customWidth="1"/>
    <col min="6407" max="6648" width="9.140625" style="332"/>
    <col min="6649" max="6649" width="15.7109375" style="332" customWidth="1"/>
    <col min="6650" max="6650" width="23.28515625" style="332" customWidth="1"/>
    <col min="6651" max="6651" width="12.140625" style="332" customWidth="1"/>
    <col min="6652" max="6652" width="17.85546875" style="332" customWidth="1"/>
    <col min="6653" max="6653" width="23.7109375" style="332" customWidth="1"/>
    <col min="6654" max="6654" width="9.28515625" style="332" bestFit="1" customWidth="1"/>
    <col min="6655" max="6661" width="9.140625" style="332" customWidth="1"/>
    <col min="6662" max="6662" width="9.28515625" style="332" bestFit="1" customWidth="1"/>
    <col min="6663" max="6904" width="9.140625" style="332"/>
    <col min="6905" max="6905" width="15.7109375" style="332" customWidth="1"/>
    <col min="6906" max="6906" width="23.28515625" style="332" customWidth="1"/>
    <col min="6907" max="6907" width="12.140625" style="332" customWidth="1"/>
    <col min="6908" max="6908" width="17.85546875" style="332" customWidth="1"/>
    <col min="6909" max="6909" width="23.7109375" style="332" customWidth="1"/>
    <col min="6910" max="6910" width="9.28515625" style="332" bestFit="1" customWidth="1"/>
    <col min="6911" max="6917" width="9.140625" style="332" customWidth="1"/>
    <col min="6918" max="6918" width="9.28515625" style="332" bestFit="1" customWidth="1"/>
    <col min="6919" max="7160" width="9.140625" style="332"/>
    <col min="7161" max="7161" width="15.7109375" style="332" customWidth="1"/>
    <col min="7162" max="7162" width="23.28515625" style="332" customWidth="1"/>
    <col min="7163" max="7163" width="12.140625" style="332" customWidth="1"/>
    <col min="7164" max="7164" width="17.85546875" style="332" customWidth="1"/>
    <col min="7165" max="7165" width="23.7109375" style="332" customWidth="1"/>
    <col min="7166" max="7166" width="9.28515625" style="332" bestFit="1" customWidth="1"/>
    <col min="7167" max="7173" width="9.140625" style="332" customWidth="1"/>
    <col min="7174" max="7174" width="9.28515625" style="332" bestFit="1" customWidth="1"/>
    <col min="7175" max="7416" width="9.140625" style="332"/>
    <col min="7417" max="7417" width="15.7109375" style="332" customWidth="1"/>
    <col min="7418" max="7418" width="23.28515625" style="332" customWidth="1"/>
    <col min="7419" max="7419" width="12.140625" style="332" customWidth="1"/>
    <col min="7420" max="7420" width="17.85546875" style="332" customWidth="1"/>
    <col min="7421" max="7421" width="23.7109375" style="332" customWidth="1"/>
    <col min="7422" max="7422" width="9.28515625" style="332" bestFit="1" customWidth="1"/>
    <col min="7423" max="7429" width="9.140625" style="332" customWidth="1"/>
    <col min="7430" max="7430" width="9.28515625" style="332" bestFit="1" customWidth="1"/>
    <col min="7431" max="7672" width="9.140625" style="332"/>
    <col min="7673" max="7673" width="15.7109375" style="332" customWidth="1"/>
    <col min="7674" max="7674" width="23.28515625" style="332" customWidth="1"/>
    <col min="7675" max="7675" width="12.140625" style="332" customWidth="1"/>
    <col min="7676" max="7676" width="17.85546875" style="332" customWidth="1"/>
    <col min="7677" max="7677" width="23.7109375" style="332" customWidth="1"/>
    <col min="7678" max="7678" width="9.28515625" style="332" bestFit="1" customWidth="1"/>
    <col min="7679" max="7685" width="9.140625" style="332" customWidth="1"/>
    <col min="7686" max="7686" width="9.28515625" style="332" bestFit="1" customWidth="1"/>
    <col min="7687" max="7928" width="9.140625" style="332"/>
    <col min="7929" max="7929" width="15.7109375" style="332" customWidth="1"/>
    <col min="7930" max="7930" width="23.28515625" style="332" customWidth="1"/>
    <col min="7931" max="7931" width="12.140625" style="332" customWidth="1"/>
    <col min="7932" max="7932" width="17.85546875" style="332" customWidth="1"/>
    <col min="7933" max="7933" width="23.7109375" style="332" customWidth="1"/>
    <col min="7934" max="7934" width="9.28515625" style="332" bestFit="1" customWidth="1"/>
    <col min="7935" max="7941" width="9.140625" style="332" customWidth="1"/>
    <col min="7942" max="7942" width="9.28515625" style="332" bestFit="1" customWidth="1"/>
    <col min="7943" max="8184" width="9.140625" style="332"/>
    <col min="8185" max="8185" width="15.7109375" style="332" customWidth="1"/>
    <col min="8186" max="8186" width="23.28515625" style="332" customWidth="1"/>
    <col min="8187" max="8187" width="12.140625" style="332" customWidth="1"/>
    <col min="8188" max="8188" width="17.85546875" style="332" customWidth="1"/>
    <col min="8189" max="8189" width="23.7109375" style="332" customWidth="1"/>
    <col min="8190" max="8190" width="9.28515625" style="332" bestFit="1" customWidth="1"/>
    <col min="8191" max="8197" width="9.140625" style="332" customWidth="1"/>
    <col min="8198" max="8198" width="9.28515625" style="332" bestFit="1" customWidth="1"/>
    <col min="8199" max="8440" width="9.140625" style="332"/>
    <col min="8441" max="8441" width="15.7109375" style="332" customWidth="1"/>
    <col min="8442" max="8442" width="23.28515625" style="332" customWidth="1"/>
    <col min="8443" max="8443" width="12.140625" style="332" customWidth="1"/>
    <col min="8444" max="8444" width="17.85546875" style="332" customWidth="1"/>
    <col min="8445" max="8445" width="23.7109375" style="332" customWidth="1"/>
    <col min="8446" max="8446" width="9.28515625" style="332" bestFit="1" customWidth="1"/>
    <col min="8447" max="8453" width="9.140625" style="332" customWidth="1"/>
    <col min="8454" max="8454" width="9.28515625" style="332" bestFit="1" customWidth="1"/>
    <col min="8455" max="8696" width="9.140625" style="332"/>
    <col min="8697" max="8697" width="15.7109375" style="332" customWidth="1"/>
    <col min="8698" max="8698" width="23.28515625" style="332" customWidth="1"/>
    <col min="8699" max="8699" width="12.140625" style="332" customWidth="1"/>
    <col min="8700" max="8700" width="17.85546875" style="332" customWidth="1"/>
    <col min="8701" max="8701" width="23.7109375" style="332" customWidth="1"/>
    <col min="8702" max="8702" width="9.28515625" style="332" bestFit="1" customWidth="1"/>
    <col min="8703" max="8709" width="9.140625" style="332" customWidth="1"/>
    <col min="8710" max="8710" width="9.28515625" style="332" bestFit="1" customWidth="1"/>
    <col min="8711" max="8952" width="9.140625" style="332"/>
    <col min="8953" max="8953" width="15.7109375" style="332" customWidth="1"/>
    <col min="8954" max="8954" width="23.28515625" style="332" customWidth="1"/>
    <col min="8955" max="8955" width="12.140625" style="332" customWidth="1"/>
    <col min="8956" max="8956" width="17.85546875" style="332" customWidth="1"/>
    <col min="8957" max="8957" width="23.7109375" style="332" customWidth="1"/>
    <col min="8958" max="8958" width="9.28515625" style="332" bestFit="1" customWidth="1"/>
    <col min="8959" max="8965" width="9.140625" style="332" customWidth="1"/>
    <col min="8966" max="8966" width="9.28515625" style="332" bestFit="1" customWidth="1"/>
    <col min="8967" max="9208" width="9.140625" style="332"/>
    <col min="9209" max="9209" width="15.7109375" style="332" customWidth="1"/>
    <col min="9210" max="9210" width="23.28515625" style="332" customWidth="1"/>
    <col min="9211" max="9211" width="12.140625" style="332" customWidth="1"/>
    <col min="9212" max="9212" width="17.85546875" style="332" customWidth="1"/>
    <col min="9213" max="9213" width="23.7109375" style="332" customWidth="1"/>
    <col min="9214" max="9214" width="9.28515625" style="332" bestFit="1" customWidth="1"/>
    <col min="9215" max="9221" width="9.140625" style="332" customWidth="1"/>
    <col min="9222" max="9222" width="9.28515625" style="332" bestFit="1" customWidth="1"/>
    <col min="9223" max="9464" width="9.140625" style="332"/>
    <col min="9465" max="9465" width="15.7109375" style="332" customWidth="1"/>
    <col min="9466" max="9466" width="23.28515625" style="332" customWidth="1"/>
    <col min="9467" max="9467" width="12.140625" style="332" customWidth="1"/>
    <col min="9468" max="9468" width="17.85546875" style="332" customWidth="1"/>
    <col min="9469" max="9469" width="23.7109375" style="332" customWidth="1"/>
    <col min="9470" max="9470" width="9.28515625" style="332" bestFit="1" customWidth="1"/>
    <col min="9471" max="9477" width="9.140625" style="332" customWidth="1"/>
    <col min="9478" max="9478" width="9.28515625" style="332" bestFit="1" customWidth="1"/>
    <col min="9479" max="9720" width="9.140625" style="332"/>
    <col min="9721" max="9721" width="15.7109375" style="332" customWidth="1"/>
    <col min="9722" max="9722" width="23.28515625" style="332" customWidth="1"/>
    <col min="9723" max="9723" width="12.140625" style="332" customWidth="1"/>
    <col min="9724" max="9724" width="17.85546875" style="332" customWidth="1"/>
    <col min="9725" max="9725" width="23.7109375" style="332" customWidth="1"/>
    <col min="9726" max="9726" width="9.28515625" style="332" bestFit="1" customWidth="1"/>
    <col min="9727" max="9733" width="9.140625" style="332" customWidth="1"/>
    <col min="9734" max="9734" width="9.28515625" style="332" bestFit="1" customWidth="1"/>
    <col min="9735" max="9976" width="9.140625" style="332"/>
    <col min="9977" max="9977" width="15.7109375" style="332" customWidth="1"/>
    <col min="9978" max="9978" width="23.28515625" style="332" customWidth="1"/>
    <col min="9979" max="9979" width="12.140625" style="332" customWidth="1"/>
    <col min="9980" max="9980" width="17.85546875" style="332" customWidth="1"/>
    <col min="9981" max="9981" width="23.7109375" style="332" customWidth="1"/>
    <col min="9982" max="9982" width="9.28515625" style="332" bestFit="1" customWidth="1"/>
    <col min="9983" max="9989" width="9.140625" style="332" customWidth="1"/>
    <col min="9990" max="9990" width="9.28515625" style="332" bestFit="1" customWidth="1"/>
    <col min="9991" max="10232" width="9.140625" style="332"/>
    <col min="10233" max="10233" width="15.7109375" style="332" customWidth="1"/>
    <col min="10234" max="10234" width="23.28515625" style="332" customWidth="1"/>
    <col min="10235" max="10235" width="12.140625" style="332" customWidth="1"/>
    <col min="10236" max="10236" width="17.85546875" style="332" customWidth="1"/>
    <col min="10237" max="10237" width="23.7109375" style="332" customWidth="1"/>
    <col min="10238" max="10238" width="9.28515625" style="332" bestFit="1" customWidth="1"/>
    <col min="10239" max="10245" width="9.140625" style="332" customWidth="1"/>
    <col min="10246" max="10246" width="9.28515625" style="332" bestFit="1" customWidth="1"/>
    <col min="10247" max="10488" width="9.140625" style="332"/>
    <col min="10489" max="10489" width="15.7109375" style="332" customWidth="1"/>
    <col min="10490" max="10490" width="23.28515625" style="332" customWidth="1"/>
    <col min="10491" max="10491" width="12.140625" style="332" customWidth="1"/>
    <col min="10492" max="10492" width="17.85546875" style="332" customWidth="1"/>
    <col min="10493" max="10493" width="23.7109375" style="332" customWidth="1"/>
    <col min="10494" max="10494" width="9.28515625" style="332" bestFit="1" customWidth="1"/>
    <col min="10495" max="10501" width="9.140625" style="332" customWidth="1"/>
    <col min="10502" max="10502" width="9.28515625" style="332" bestFit="1" customWidth="1"/>
    <col min="10503" max="10744" width="9.140625" style="332"/>
    <col min="10745" max="10745" width="15.7109375" style="332" customWidth="1"/>
    <col min="10746" max="10746" width="23.28515625" style="332" customWidth="1"/>
    <col min="10747" max="10747" width="12.140625" style="332" customWidth="1"/>
    <col min="10748" max="10748" width="17.85546875" style="332" customWidth="1"/>
    <col min="10749" max="10749" width="23.7109375" style="332" customWidth="1"/>
    <col min="10750" max="10750" width="9.28515625" style="332" bestFit="1" customWidth="1"/>
    <col min="10751" max="10757" width="9.140625" style="332" customWidth="1"/>
    <col min="10758" max="10758" width="9.28515625" style="332" bestFit="1" customWidth="1"/>
    <col min="10759" max="11000" width="9.140625" style="332"/>
    <col min="11001" max="11001" width="15.7109375" style="332" customWidth="1"/>
    <col min="11002" max="11002" width="23.28515625" style="332" customWidth="1"/>
    <col min="11003" max="11003" width="12.140625" style="332" customWidth="1"/>
    <col min="11004" max="11004" width="17.85546875" style="332" customWidth="1"/>
    <col min="11005" max="11005" width="23.7109375" style="332" customWidth="1"/>
    <col min="11006" max="11006" width="9.28515625" style="332" bestFit="1" customWidth="1"/>
    <col min="11007" max="11013" width="9.140625" style="332" customWidth="1"/>
    <col min="11014" max="11014" width="9.28515625" style="332" bestFit="1" customWidth="1"/>
    <col min="11015" max="11256" width="9.140625" style="332"/>
    <col min="11257" max="11257" width="15.7109375" style="332" customWidth="1"/>
    <col min="11258" max="11258" width="23.28515625" style="332" customWidth="1"/>
    <col min="11259" max="11259" width="12.140625" style="332" customWidth="1"/>
    <col min="11260" max="11260" width="17.85546875" style="332" customWidth="1"/>
    <col min="11261" max="11261" width="23.7109375" style="332" customWidth="1"/>
    <col min="11262" max="11262" width="9.28515625" style="332" bestFit="1" customWidth="1"/>
    <col min="11263" max="11269" width="9.140625" style="332" customWidth="1"/>
    <col min="11270" max="11270" width="9.28515625" style="332" bestFit="1" customWidth="1"/>
    <col min="11271" max="11512" width="9.140625" style="332"/>
    <col min="11513" max="11513" width="15.7109375" style="332" customWidth="1"/>
    <col min="11514" max="11514" width="23.28515625" style="332" customWidth="1"/>
    <col min="11515" max="11515" width="12.140625" style="332" customWidth="1"/>
    <col min="11516" max="11516" width="17.85546875" style="332" customWidth="1"/>
    <col min="11517" max="11517" width="23.7109375" style="332" customWidth="1"/>
    <col min="11518" max="11518" width="9.28515625" style="332" bestFit="1" customWidth="1"/>
    <col min="11519" max="11525" width="9.140625" style="332" customWidth="1"/>
    <col min="11526" max="11526" width="9.28515625" style="332" bestFit="1" customWidth="1"/>
    <col min="11527" max="11768" width="9.140625" style="332"/>
    <col min="11769" max="11769" width="15.7109375" style="332" customWidth="1"/>
    <col min="11770" max="11770" width="23.28515625" style="332" customWidth="1"/>
    <col min="11771" max="11771" width="12.140625" style="332" customWidth="1"/>
    <col min="11772" max="11772" width="17.85546875" style="332" customWidth="1"/>
    <col min="11773" max="11773" width="23.7109375" style="332" customWidth="1"/>
    <col min="11774" max="11774" width="9.28515625" style="332" bestFit="1" customWidth="1"/>
    <col min="11775" max="11781" width="9.140625" style="332" customWidth="1"/>
    <col min="11782" max="11782" width="9.28515625" style="332" bestFit="1" customWidth="1"/>
    <col min="11783" max="12024" width="9.140625" style="332"/>
    <col min="12025" max="12025" width="15.7109375" style="332" customWidth="1"/>
    <col min="12026" max="12026" width="23.28515625" style="332" customWidth="1"/>
    <col min="12027" max="12027" width="12.140625" style="332" customWidth="1"/>
    <col min="12028" max="12028" width="17.85546875" style="332" customWidth="1"/>
    <col min="12029" max="12029" width="23.7109375" style="332" customWidth="1"/>
    <col min="12030" max="12030" width="9.28515625" style="332" bestFit="1" customWidth="1"/>
    <col min="12031" max="12037" width="9.140625" style="332" customWidth="1"/>
    <col min="12038" max="12038" width="9.28515625" style="332" bestFit="1" customWidth="1"/>
    <col min="12039" max="12280" width="9.140625" style="332"/>
    <col min="12281" max="12281" width="15.7109375" style="332" customWidth="1"/>
    <col min="12282" max="12282" width="23.28515625" style="332" customWidth="1"/>
    <col min="12283" max="12283" width="12.140625" style="332" customWidth="1"/>
    <col min="12284" max="12284" width="17.85546875" style="332" customWidth="1"/>
    <col min="12285" max="12285" width="23.7109375" style="332" customWidth="1"/>
    <col min="12286" max="12286" width="9.28515625" style="332" bestFit="1" customWidth="1"/>
    <col min="12287" max="12293" width="9.140625" style="332" customWidth="1"/>
    <col min="12294" max="12294" width="9.28515625" style="332" bestFit="1" customWidth="1"/>
    <col min="12295" max="12536" width="9.140625" style="332"/>
    <col min="12537" max="12537" width="15.7109375" style="332" customWidth="1"/>
    <col min="12538" max="12538" width="23.28515625" style="332" customWidth="1"/>
    <col min="12539" max="12539" width="12.140625" style="332" customWidth="1"/>
    <col min="12540" max="12540" width="17.85546875" style="332" customWidth="1"/>
    <col min="12541" max="12541" width="23.7109375" style="332" customWidth="1"/>
    <col min="12542" max="12542" width="9.28515625" style="332" bestFit="1" customWidth="1"/>
    <col min="12543" max="12549" width="9.140625" style="332" customWidth="1"/>
    <col min="12550" max="12550" width="9.28515625" style="332" bestFit="1" customWidth="1"/>
    <col min="12551" max="12792" width="9.140625" style="332"/>
    <col min="12793" max="12793" width="15.7109375" style="332" customWidth="1"/>
    <col min="12794" max="12794" width="23.28515625" style="332" customWidth="1"/>
    <col min="12795" max="12795" width="12.140625" style="332" customWidth="1"/>
    <col min="12796" max="12796" width="17.85546875" style="332" customWidth="1"/>
    <col min="12797" max="12797" width="23.7109375" style="332" customWidth="1"/>
    <col min="12798" max="12798" width="9.28515625" style="332" bestFit="1" customWidth="1"/>
    <col min="12799" max="12805" width="9.140625" style="332" customWidth="1"/>
    <col min="12806" max="12806" width="9.28515625" style="332" bestFit="1" customWidth="1"/>
    <col min="12807" max="13048" width="9.140625" style="332"/>
    <col min="13049" max="13049" width="15.7109375" style="332" customWidth="1"/>
    <col min="13050" max="13050" width="23.28515625" style="332" customWidth="1"/>
    <col min="13051" max="13051" width="12.140625" style="332" customWidth="1"/>
    <col min="13052" max="13052" width="17.85546875" style="332" customWidth="1"/>
    <col min="13053" max="13053" width="23.7109375" style="332" customWidth="1"/>
    <col min="13054" max="13054" width="9.28515625" style="332" bestFit="1" customWidth="1"/>
    <col min="13055" max="13061" width="9.140625" style="332" customWidth="1"/>
    <col min="13062" max="13062" width="9.28515625" style="332" bestFit="1" customWidth="1"/>
    <col min="13063" max="13304" width="9.140625" style="332"/>
    <col min="13305" max="13305" width="15.7109375" style="332" customWidth="1"/>
    <col min="13306" max="13306" width="23.28515625" style="332" customWidth="1"/>
    <col min="13307" max="13307" width="12.140625" style="332" customWidth="1"/>
    <col min="13308" max="13308" width="17.85546875" style="332" customWidth="1"/>
    <col min="13309" max="13309" width="23.7109375" style="332" customWidth="1"/>
    <col min="13310" max="13310" width="9.28515625" style="332" bestFit="1" customWidth="1"/>
    <col min="13311" max="13317" width="9.140625" style="332" customWidth="1"/>
    <col min="13318" max="13318" width="9.28515625" style="332" bestFit="1" customWidth="1"/>
    <col min="13319" max="13560" width="9.140625" style="332"/>
    <col min="13561" max="13561" width="15.7109375" style="332" customWidth="1"/>
    <col min="13562" max="13562" width="23.28515625" style="332" customWidth="1"/>
    <col min="13563" max="13563" width="12.140625" style="332" customWidth="1"/>
    <col min="13564" max="13564" width="17.85546875" style="332" customWidth="1"/>
    <col min="13565" max="13565" width="23.7109375" style="332" customWidth="1"/>
    <col min="13566" max="13566" width="9.28515625" style="332" bestFit="1" customWidth="1"/>
    <col min="13567" max="13573" width="9.140625" style="332" customWidth="1"/>
    <col min="13574" max="13574" width="9.28515625" style="332" bestFit="1" customWidth="1"/>
    <col min="13575" max="13816" width="9.140625" style="332"/>
    <col min="13817" max="13817" width="15.7109375" style="332" customWidth="1"/>
    <col min="13818" max="13818" width="23.28515625" style="332" customWidth="1"/>
    <col min="13819" max="13819" width="12.140625" style="332" customWidth="1"/>
    <col min="13820" max="13820" width="17.85546875" style="332" customWidth="1"/>
    <col min="13821" max="13821" width="23.7109375" style="332" customWidth="1"/>
    <col min="13822" max="13822" width="9.28515625" style="332" bestFit="1" customWidth="1"/>
    <col min="13823" max="13829" width="9.140625" style="332" customWidth="1"/>
    <col min="13830" max="13830" width="9.28515625" style="332" bestFit="1" customWidth="1"/>
    <col min="13831" max="14072" width="9.140625" style="332"/>
    <col min="14073" max="14073" width="15.7109375" style="332" customWidth="1"/>
    <col min="14074" max="14074" width="23.28515625" style="332" customWidth="1"/>
    <col min="14075" max="14075" width="12.140625" style="332" customWidth="1"/>
    <col min="14076" max="14076" width="17.85546875" style="332" customWidth="1"/>
    <col min="14077" max="14077" width="23.7109375" style="332" customWidth="1"/>
    <col min="14078" max="14078" width="9.28515625" style="332" bestFit="1" customWidth="1"/>
    <col min="14079" max="14085" width="9.140625" style="332" customWidth="1"/>
    <col min="14086" max="14086" width="9.28515625" style="332" bestFit="1" customWidth="1"/>
    <col min="14087" max="14328" width="9.140625" style="332"/>
    <col min="14329" max="14329" width="15.7109375" style="332" customWidth="1"/>
    <col min="14330" max="14330" width="23.28515625" style="332" customWidth="1"/>
    <col min="14331" max="14331" width="12.140625" style="332" customWidth="1"/>
    <col min="14332" max="14332" width="17.85546875" style="332" customWidth="1"/>
    <col min="14333" max="14333" width="23.7109375" style="332" customWidth="1"/>
    <col min="14334" max="14334" width="9.28515625" style="332" bestFit="1" customWidth="1"/>
    <col min="14335" max="14341" width="9.140625" style="332" customWidth="1"/>
    <col min="14342" max="14342" width="9.28515625" style="332" bestFit="1" customWidth="1"/>
    <col min="14343" max="14584" width="9.140625" style="332"/>
    <col min="14585" max="14585" width="15.7109375" style="332" customWidth="1"/>
    <col min="14586" max="14586" width="23.28515625" style="332" customWidth="1"/>
    <col min="14587" max="14587" width="12.140625" style="332" customWidth="1"/>
    <col min="14588" max="14588" width="17.85546875" style="332" customWidth="1"/>
    <col min="14589" max="14589" width="23.7109375" style="332" customWidth="1"/>
    <col min="14590" max="14590" width="9.28515625" style="332" bestFit="1" customWidth="1"/>
    <col min="14591" max="14597" width="9.140625" style="332" customWidth="1"/>
    <col min="14598" max="14598" width="9.28515625" style="332" bestFit="1" customWidth="1"/>
    <col min="14599" max="14840" width="9.140625" style="332"/>
    <col min="14841" max="14841" width="15.7109375" style="332" customWidth="1"/>
    <col min="14842" max="14842" width="23.28515625" style="332" customWidth="1"/>
    <col min="14843" max="14843" width="12.140625" style="332" customWidth="1"/>
    <col min="14844" max="14844" width="17.85546875" style="332" customWidth="1"/>
    <col min="14845" max="14845" width="23.7109375" style="332" customWidth="1"/>
    <col min="14846" max="14846" width="9.28515625" style="332" bestFit="1" customWidth="1"/>
    <col min="14847" max="14853" width="9.140625" style="332" customWidth="1"/>
    <col min="14854" max="14854" width="9.28515625" style="332" bestFit="1" customWidth="1"/>
    <col min="14855" max="15096" width="9.140625" style="332"/>
    <col min="15097" max="15097" width="15.7109375" style="332" customWidth="1"/>
    <col min="15098" max="15098" width="23.28515625" style="332" customWidth="1"/>
    <col min="15099" max="15099" width="12.140625" style="332" customWidth="1"/>
    <col min="15100" max="15100" width="17.85546875" style="332" customWidth="1"/>
    <col min="15101" max="15101" width="23.7109375" style="332" customWidth="1"/>
    <col min="15102" max="15102" width="9.28515625" style="332" bestFit="1" customWidth="1"/>
    <col min="15103" max="15109" width="9.140625" style="332" customWidth="1"/>
    <col min="15110" max="15110" width="9.28515625" style="332" bestFit="1" customWidth="1"/>
    <col min="15111" max="15352" width="9.140625" style="332"/>
    <col min="15353" max="15353" width="15.7109375" style="332" customWidth="1"/>
    <col min="15354" max="15354" width="23.28515625" style="332" customWidth="1"/>
    <col min="15355" max="15355" width="12.140625" style="332" customWidth="1"/>
    <col min="15356" max="15356" width="17.85546875" style="332" customWidth="1"/>
    <col min="15357" max="15357" width="23.7109375" style="332" customWidth="1"/>
    <col min="15358" max="15358" width="9.28515625" style="332" bestFit="1" customWidth="1"/>
    <col min="15359" max="15365" width="9.140625" style="332" customWidth="1"/>
    <col min="15366" max="15366" width="9.28515625" style="332" bestFit="1" customWidth="1"/>
    <col min="15367" max="15608" width="9.140625" style="332"/>
    <col min="15609" max="15609" width="15.7109375" style="332" customWidth="1"/>
    <col min="15610" max="15610" width="23.28515625" style="332" customWidth="1"/>
    <col min="15611" max="15611" width="12.140625" style="332" customWidth="1"/>
    <col min="15612" max="15612" width="17.85546875" style="332" customWidth="1"/>
    <col min="15613" max="15613" width="23.7109375" style="332" customWidth="1"/>
    <col min="15614" max="15614" width="9.28515625" style="332" bestFit="1" customWidth="1"/>
    <col min="15615" max="15621" width="9.140625" style="332" customWidth="1"/>
    <col min="15622" max="15622" width="9.28515625" style="332" bestFit="1" customWidth="1"/>
    <col min="15623" max="15864" width="9.140625" style="332"/>
    <col min="15865" max="15865" width="15.7109375" style="332" customWidth="1"/>
    <col min="15866" max="15866" width="23.28515625" style="332" customWidth="1"/>
    <col min="15867" max="15867" width="12.140625" style="332" customWidth="1"/>
    <col min="15868" max="15868" width="17.85546875" style="332" customWidth="1"/>
    <col min="15869" max="15869" width="23.7109375" style="332" customWidth="1"/>
    <col min="15870" max="15870" width="9.28515625" style="332" bestFit="1" customWidth="1"/>
    <col min="15871" max="15877" width="9.140625" style="332" customWidth="1"/>
    <col min="15878" max="15878" width="9.28515625" style="332" bestFit="1" customWidth="1"/>
    <col min="15879" max="16120" width="9.140625" style="332"/>
    <col min="16121" max="16121" width="15.7109375" style="332" customWidth="1"/>
    <col min="16122" max="16122" width="23.28515625" style="332" customWidth="1"/>
    <col min="16123" max="16123" width="12.140625" style="332" customWidth="1"/>
    <col min="16124" max="16124" width="17.85546875" style="332" customWidth="1"/>
    <col min="16125" max="16125" width="23.7109375" style="332" customWidth="1"/>
    <col min="16126" max="16126" width="9.28515625" style="332" bestFit="1" customWidth="1"/>
    <col min="16127" max="16133" width="9.140625" style="332" customWidth="1"/>
    <col min="16134" max="16134" width="9.28515625" style="332" bestFit="1" customWidth="1"/>
    <col min="16135" max="16384" width="9.140625" style="332"/>
  </cols>
  <sheetData>
    <row r="1" spans="1:5" ht="15" x14ac:dyDescent="0.25">
      <c r="A1" s="502" t="s">
        <v>239</v>
      </c>
      <c r="B1" s="502"/>
      <c r="C1" s="502"/>
      <c r="D1" s="502"/>
      <c r="E1" s="502"/>
    </row>
    <row r="2" spans="1:5" ht="15" x14ac:dyDescent="0.25">
      <c r="A2" s="502" t="s">
        <v>45</v>
      </c>
      <c r="B2" s="502"/>
      <c r="C2" s="502"/>
      <c r="D2" s="502"/>
      <c r="E2" s="502"/>
    </row>
    <row r="3" spans="1:5" ht="15.75" thickBot="1" x14ac:dyDescent="0.3">
      <c r="A3" s="333" t="s">
        <v>0</v>
      </c>
      <c r="B3" s="333"/>
      <c r="C3" s="334"/>
      <c r="D3" s="334"/>
      <c r="E3" s="334"/>
    </row>
    <row r="4" spans="1:5" ht="16.5" x14ac:dyDescent="0.2">
      <c r="A4" s="335" t="s">
        <v>16</v>
      </c>
      <c r="B4" s="336"/>
      <c r="C4" s="496" t="s">
        <v>17</v>
      </c>
      <c r="D4" s="337" t="s">
        <v>240</v>
      </c>
      <c r="E4" s="338"/>
    </row>
    <row r="5" spans="1:5" ht="33" thickBot="1" x14ac:dyDescent="0.25">
      <c r="A5" s="339" t="s">
        <v>18</v>
      </c>
      <c r="B5" s="340" t="s">
        <v>22</v>
      </c>
      <c r="C5" s="497"/>
      <c r="D5" s="341" t="s">
        <v>22</v>
      </c>
      <c r="E5" s="342" t="s">
        <v>258</v>
      </c>
    </row>
    <row r="6" spans="1:5" ht="15.75" thickTop="1" x14ac:dyDescent="0.2">
      <c r="A6" s="343"/>
      <c r="B6" s="344"/>
      <c r="C6" s="345"/>
      <c r="D6" s="346"/>
      <c r="E6" s="347"/>
    </row>
    <row r="7" spans="1:5" ht="28.5" x14ac:dyDescent="0.2">
      <c r="A7" s="348">
        <v>113</v>
      </c>
      <c r="B7" s="349" t="s">
        <v>81</v>
      </c>
      <c r="C7" s="350" t="s">
        <v>78</v>
      </c>
      <c r="D7" s="351" t="s">
        <v>253</v>
      </c>
      <c r="E7" s="352" t="s">
        <v>212</v>
      </c>
    </row>
    <row r="8" spans="1:5" x14ac:dyDescent="0.2">
      <c r="A8" s="353">
        <v>3</v>
      </c>
      <c r="B8" s="354" t="s">
        <v>79</v>
      </c>
      <c r="C8" s="355" t="s">
        <v>80</v>
      </c>
      <c r="D8" s="355" t="str">
        <f>'5-11'!A12</f>
        <v>ULSD</v>
      </c>
      <c r="E8" s="360" t="s">
        <v>251</v>
      </c>
    </row>
    <row r="9" spans="1:5" x14ac:dyDescent="0.2">
      <c r="A9" s="498">
        <v>4</v>
      </c>
      <c r="B9" s="500" t="s">
        <v>79</v>
      </c>
      <c r="C9" s="354" t="s">
        <v>80</v>
      </c>
      <c r="D9" s="354" t="s">
        <v>77</v>
      </c>
      <c r="E9" s="360" t="s">
        <v>251</v>
      </c>
    </row>
    <row r="10" spans="1:5" x14ac:dyDescent="0.2">
      <c r="A10" s="499"/>
      <c r="B10" s="501"/>
      <c r="C10" s="356" t="s">
        <v>85</v>
      </c>
      <c r="D10" s="357" t="s">
        <v>66</v>
      </c>
      <c r="E10" s="352" t="s">
        <v>257</v>
      </c>
    </row>
    <row r="11" spans="1:5" x14ac:dyDescent="0.2">
      <c r="A11" s="358" t="s">
        <v>246</v>
      </c>
      <c r="B11" s="359" t="s">
        <v>86</v>
      </c>
      <c r="C11" s="356" t="s">
        <v>34</v>
      </c>
      <c r="D11" s="357" t="s">
        <v>77</v>
      </c>
      <c r="E11" s="360" t="s">
        <v>251</v>
      </c>
    </row>
    <row r="12" spans="1:5" x14ac:dyDescent="0.2">
      <c r="A12" s="348">
        <v>8</v>
      </c>
      <c r="B12" s="349" t="s">
        <v>82</v>
      </c>
      <c r="C12" s="361" t="s">
        <v>80</v>
      </c>
      <c r="D12" s="400" t="s">
        <v>77</v>
      </c>
      <c r="E12" s="360" t="s">
        <v>251</v>
      </c>
    </row>
    <row r="13" spans="1:5" x14ac:dyDescent="0.2">
      <c r="A13" s="348">
        <v>27</v>
      </c>
      <c r="B13" s="349" t="s">
        <v>83</v>
      </c>
      <c r="C13" s="361" t="s">
        <v>34</v>
      </c>
      <c r="D13" s="362" t="s">
        <v>77</v>
      </c>
      <c r="E13" s="360" t="s">
        <v>251</v>
      </c>
    </row>
    <row r="14" spans="1:5" ht="29.25" thickBot="1" x14ac:dyDescent="0.25">
      <c r="A14" s="363" t="s">
        <v>68</v>
      </c>
      <c r="B14" s="364" t="s">
        <v>262</v>
      </c>
      <c r="C14" s="365" t="s">
        <v>84</v>
      </c>
      <c r="D14" s="415" t="s">
        <v>77</v>
      </c>
      <c r="E14" s="366" t="s">
        <v>251</v>
      </c>
    </row>
    <row r="16" spans="1:5" x14ac:dyDescent="0.2">
      <c r="A16" s="332" t="s">
        <v>44</v>
      </c>
      <c r="D16" s="414"/>
    </row>
    <row r="17" spans="1:4" ht="16.5" x14ac:dyDescent="0.2">
      <c r="A17" s="495" t="s">
        <v>241</v>
      </c>
      <c r="B17" s="495"/>
      <c r="D17" s="416"/>
    </row>
  </sheetData>
  <mergeCells count="6">
    <mergeCell ref="A17:B17"/>
    <mergeCell ref="C4:C5"/>
    <mergeCell ref="A9:A10"/>
    <mergeCell ref="B9:B10"/>
    <mergeCell ref="A1:E1"/>
    <mergeCell ref="A2:E2"/>
  </mergeCells>
  <printOptions horizontalCentered="1"/>
  <pageMargins left="0.75" right="0.75" top="1" bottom="1" header="0.5" footer="0.5"/>
  <pageSetup scale="73" orientation="portrait" r:id="rId1"/>
  <headerFooter alignWithMargins="0">
    <oddFooter>&amp;L&amp;8UAF
PM&amp;Y2.5&amp;Y Serious NAA BACT Analysis&amp;C&amp;8Page 138&amp;R&amp;8January 2017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A17" sqref="A17"/>
    </sheetView>
  </sheetViews>
  <sheetFormatPr defaultRowHeight="12.75" x14ac:dyDescent="0.2"/>
  <cols>
    <col min="1" max="1" width="15.7109375" style="1" customWidth="1"/>
    <col min="2" max="2" width="23.28515625" style="1" customWidth="1"/>
    <col min="3" max="3" width="12.140625" style="1" customWidth="1"/>
    <col min="4" max="4" width="17.85546875" style="1" customWidth="1"/>
    <col min="5" max="5" width="23.7109375" style="1" customWidth="1"/>
    <col min="6" max="6" width="9.28515625" style="1" bestFit="1" customWidth="1"/>
    <col min="7" max="8" width="9.140625" style="1" customWidth="1"/>
    <col min="9" max="9" width="9.28515625" style="1" bestFit="1" customWidth="1"/>
    <col min="10" max="251" width="9.140625" style="1"/>
    <col min="252" max="252" width="15.7109375" style="1" customWidth="1"/>
    <col min="253" max="253" width="23.28515625" style="1" customWidth="1"/>
    <col min="254" max="254" width="12.140625" style="1" customWidth="1"/>
    <col min="255" max="255" width="17.85546875" style="1" customWidth="1"/>
    <col min="256" max="256" width="23.7109375" style="1" customWidth="1"/>
    <col min="257" max="257" width="9.28515625" style="1" bestFit="1" customWidth="1"/>
    <col min="258" max="264" width="9.140625" style="1" customWidth="1"/>
    <col min="265" max="265" width="9.28515625" style="1" bestFit="1" customWidth="1"/>
    <col min="266" max="507" width="9.140625" style="1"/>
    <col min="508" max="508" width="15.7109375" style="1" customWidth="1"/>
    <col min="509" max="509" width="23.28515625" style="1" customWidth="1"/>
    <col min="510" max="510" width="12.140625" style="1" customWidth="1"/>
    <col min="511" max="511" width="17.85546875" style="1" customWidth="1"/>
    <col min="512" max="512" width="23.7109375" style="1" customWidth="1"/>
    <col min="513" max="513" width="9.28515625" style="1" bestFit="1" customWidth="1"/>
    <col min="514" max="520" width="9.140625" style="1" customWidth="1"/>
    <col min="521" max="521" width="9.28515625" style="1" bestFit="1" customWidth="1"/>
    <col min="522" max="763" width="9.140625" style="1"/>
    <col min="764" max="764" width="15.7109375" style="1" customWidth="1"/>
    <col min="765" max="765" width="23.28515625" style="1" customWidth="1"/>
    <col min="766" max="766" width="12.140625" style="1" customWidth="1"/>
    <col min="767" max="767" width="17.85546875" style="1" customWidth="1"/>
    <col min="768" max="768" width="23.7109375" style="1" customWidth="1"/>
    <col min="769" max="769" width="9.28515625" style="1" bestFit="1" customWidth="1"/>
    <col min="770" max="776" width="9.140625" style="1" customWidth="1"/>
    <col min="777" max="777" width="9.28515625" style="1" bestFit="1" customWidth="1"/>
    <col min="778" max="1019" width="9.140625" style="1"/>
    <col min="1020" max="1020" width="15.7109375" style="1" customWidth="1"/>
    <col min="1021" max="1021" width="23.28515625" style="1" customWidth="1"/>
    <col min="1022" max="1022" width="12.140625" style="1" customWidth="1"/>
    <col min="1023" max="1023" width="17.85546875" style="1" customWidth="1"/>
    <col min="1024" max="1024" width="23.7109375" style="1" customWidth="1"/>
    <col min="1025" max="1025" width="9.28515625" style="1" bestFit="1" customWidth="1"/>
    <col min="1026" max="1032" width="9.140625" style="1" customWidth="1"/>
    <col min="1033" max="1033" width="9.28515625" style="1" bestFit="1" customWidth="1"/>
    <col min="1034" max="1275" width="9.140625" style="1"/>
    <col min="1276" max="1276" width="15.7109375" style="1" customWidth="1"/>
    <col min="1277" max="1277" width="23.28515625" style="1" customWidth="1"/>
    <col min="1278" max="1278" width="12.140625" style="1" customWidth="1"/>
    <col min="1279" max="1279" width="17.85546875" style="1" customWidth="1"/>
    <col min="1280" max="1280" width="23.7109375" style="1" customWidth="1"/>
    <col min="1281" max="1281" width="9.28515625" style="1" bestFit="1" customWidth="1"/>
    <col min="1282" max="1288" width="9.140625" style="1" customWidth="1"/>
    <col min="1289" max="1289" width="9.28515625" style="1" bestFit="1" customWidth="1"/>
    <col min="1290" max="1531" width="9.140625" style="1"/>
    <col min="1532" max="1532" width="15.7109375" style="1" customWidth="1"/>
    <col min="1533" max="1533" width="23.28515625" style="1" customWidth="1"/>
    <col min="1534" max="1534" width="12.140625" style="1" customWidth="1"/>
    <col min="1535" max="1535" width="17.85546875" style="1" customWidth="1"/>
    <col min="1536" max="1536" width="23.7109375" style="1" customWidth="1"/>
    <col min="1537" max="1537" width="9.28515625" style="1" bestFit="1" customWidth="1"/>
    <col min="1538" max="1544" width="9.140625" style="1" customWidth="1"/>
    <col min="1545" max="1545" width="9.28515625" style="1" bestFit="1" customWidth="1"/>
    <col min="1546" max="1787" width="9.140625" style="1"/>
    <col min="1788" max="1788" width="15.7109375" style="1" customWidth="1"/>
    <col min="1789" max="1789" width="23.28515625" style="1" customWidth="1"/>
    <col min="1790" max="1790" width="12.140625" style="1" customWidth="1"/>
    <col min="1791" max="1791" width="17.85546875" style="1" customWidth="1"/>
    <col min="1792" max="1792" width="23.7109375" style="1" customWidth="1"/>
    <col min="1793" max="1793" width="9.28515625" style="1" bestFit="1" customWidth="1"/>
    <col min="1794" max="1800" width="9.140625" style="1" customWidth="1"/>
    <col min="1801" max="1801" width="9.28515625" style="1" bestFit="1" customWidth="1"/>
    <col min="1802" max="2043" width="9.140625" style="1"/>
    <col min="2044" max="2044" width="15.7109375" style="1" customWidth="1"/>
    <col min="2045" max="2045" width="23.28515625" style="1" customWidth="1"/>
    <col min="2046" max="2046" width="12.140625" style="1" customWidth="1"/>
    <col min="2047" max="2047" width="17.85546875" style="1" customWidth="1"/>
    <col min="2048" max="2048" width="23.7109375" style="1" customWidth="1"/>
    <col min="2049" max="2049" width="9.28515625" style="1" bestFit="1" customWidth="1"/>
    <col min="2050" max="2056" width="9.140625" style="1" customWidth="1"/>
    <col min="2057" max="2057" width="9.28515625" style="1" bestFit="1" customWidth="1"/>
    <col min="2058" max="2299" width="9.140625" style="1"/>
    <col min="2300" max="2300" width="15.7109375" style="1" customWidth="1"/>
    <col min="2301" max="2301" width="23.28515625" style="1" customWidth="1"/>
    <col min="2302" max="2302" width="12.140625" style="1" customWidth="1"/>
    <col min="2303" max="2303" width="17.85546875" style="1" customWidth="1"/>
    <col min="2304" max="2304" width="23.7109375" style="1" customWidth="1"/>
    <col min="2305" max="2305" width="9.28515625" style="1" bestFit="1" customWidth="1"/>
    <col min="2306" max="2312" width="9.140625" style="1" customWidth="1"/>
    <col min="2313" max="2313" width="9.28515625" style="1" bestFit="1" customWidth="1"/>
    <col min="2314" max="2555" width="9.140625" style="1"/>
    <col min="2556" max="2556" width="15.7109375" style="1" customWidth="1"/>
    <col min="2557" max="2557" width="23.28515625" style="1" customWidth="1"/>
    <col min="2558" max="2558" width="12.140625" style="1" customWidth="1"/>
    <col min="2559" max="2559" width="17.85546875" style="1" customWidth="1"/>
    <col min="2560" max="2560" width="23.7109375" style="1" customWidth="1"/>
    <col min="2561" max="2561" width="9.28515625" style="1" bestFit="1" customWidth="1"/>
    <col min="2562" max="2568" width="9.140625" style="1" customWidth="1"/>
    <col min="2569" max="2569" width="9.28515625" style="1" bestFit="1" customWidth="1"/>
    <col min="2570" max="2811" width="9.140625" style="1"/>
    <col min="2812" max="2812" width="15.7109375" style="1" customWidth="1"/>
    <col min="2813" max="2813" width="23.28515625" style="1" customWidth="1"/>
    <col min="2814" max="2814" width="12.140625" style="1" customWidth="1"/>
    <col min="2815" max="2815" width="17.85546875" style="1" customWidth="1"/>
    <col min="2816" max="2816" width="23.7109375" style="1" customWidth="1"/>
    <col min="2817" max="2817" width="9.28515625" style="1" bestFit="1" customWidth="1"/>
    <col min="2818" max="2824" width="9.140625" style="1" customWidth="1"/>
    <col min="2825" max="2825" width="9.28515625" style="1" bestFit="1" customWidth="1"/>
    <col min="2826" max="3067" width="9.140625" style="1"/>
    <col min="3068" max="3068" width="15.7109375" style="1" customWidth="1"/>
    <col min="3069" max="3069" width="23.28515625" style="1" customWidth="1"/>
    <col min="3070" max="3070" width="12.140625" style="1" customWidth="1"/>
    <col min="3071" max="3071" width="17.85546875" style="1" customWidth="1"/>
    <col min="3072" max="3072" width="23.7109375" style="1" customWidth="1"/>
    <col min="3073" max="3073" width="9.28515625" style="1" bestFit="1" customWidth="1"/>
    <col min="3074" max="3080" width="9.140625" style="1" customWidth="1"/>
    <col min="3081" max="3081" width="9.28515625" style="1" bestFit="1" customWidth="1"/>
    <col min="3082" max="3323" width="9.140625" style="1"/>
    <col min="3324" max="3324" width="15.7109375" style="1" customWidth="1"/>
    <col min="3325" max="3325" width="23.28515625" style="1" customWidth="1"/>
    <col min="3326" max="3326" width="12.140625" style="1" customWidth="1"/>
    <col min="3327" max="3327" width="17.85546875" style="1" customWidth="1"/>
    <col min="3328" max="3328" width="23.7109375" style="1" customWidth="1"/>
    <col min="3329" max="3329" width="9.28515625" style="1" bestFit="1" customWidth="1"/>
    <col min="3330" max="3336" width="9.140625" style="1" customWidth="1"/>
    <col min="3337" max="3337" width="9.28515625" style="1" bestFit="1" customWidth="1"/>
    <col min="3338" max="3579" width="9.140625" style="1"/>
    <col min="3580" max="3580" width="15.7109375" style="1" customWidth="1"/>
    <col min="3581" max="3581" width="23.28515625" style="1" customWidth="1"/>
    <col min="3582" max="3582" width="12.140625" style="1" customWidth="1"/>
    <col min="3583" max="3583" width="17.85546875" style="1" customWidth="1"/>
    <col min="3584" max="3584" width="23.7109375" style="1" customWidth="1"/>
    <col min="3585" max="3585" width="9.28515625" style="1" bestFit="1" customWidth="1"/>
    <col min="3586" max="3592" width="9.140625" style="1" customWidth="1"/>
    <col min="3593" max="3593" width="9.28515625" style="1" bestFit="1" customWidth="1"/>
    <col min="3594" max="3835" width="9.140625" style="1"/>
    <col min="3836" max="3836" width="15.7109375" style="1" customWidth="1"/>
    <col min="3837" max="3837" width="23.28515625" style="1" customWidth="1"/>
    <col min="3838" max="3838" width="12.140625" style="1" customWidth="1"/>
    <col min="3839" max="3839" width="17.85546875" style="1" customWidth="1"/>
    <col min="3840" max="3840" width="23.7109375" style="1" customWidth="1"/>
    <col min="3841" max="3841" width="9.28515625" style="1" bestFit="1" customWidth="1"/>
    <col min="3842" max="3848" width="9.140625" style="1" customWidth="1"/>
    <col min="3849" max="3849" width="9.28515625" style="1" bestFit="1" customWidth="1"/>
    <col min="3850" max="4091" width="9.140625" style="1"/>
    <col min="4092" max="4092" width="15.7109375" style="1" customWidth="1"/>
    <col min="4093" max="4093" width="23.28515625" style="1" customWidth="1"/>
    <col min="4094" max="4094" width="12.140625" style="1" customWidth="1"/>
    <col min="4095" max="4095" width="17.85546875" style="1" customWidth="1"/>
    <col min="4096" max="4096" width="23.7109375" style="1" customWidth="1"/>
    <col min="4097" max="4097" width="9.28515625" style="1" bestFit="1" customWidth="1"/>
    <col min="4098" max="4104" width="9.140625" style="1" customWidth="1"/>
    <col min="4105" max="4105" width="9.28515625" style="1" bestFit="1" customWidth="1"/>
    <col min="4106" max="4347" width="9.140625" style="1"/>
    <col min="4348" max="4348" width="15.7109375" style="1" customWidth="1"/>
    <col min="4349" max="4349" width="23.28515625" style="1" customWidth="1"/>
    <col min="4350" max="4350" width="12.140625" style="1" customWidth="1"/>
    <col min="4351" max="4351" width="17.85546875" style="1" customWidth="1"/>
    <col min="4352" max="4352" width="23.7109375" style="1" customWidth="1"/>
    <col min="4353" max="4353" width="9.28515625" style="1" bestFit="1" customWidth="1"/>
    <col min="4354" max="4360" width="9.140625" style="1" customWidth="1"/>
    <col min="4361" max="4361" width="9.28515625" style="1" bestFit="1" customWidth="1"/>
    <col min="4362" max="4603" width="9.140625" style="1"/>
    <col min="4604" max="4604" width="15.7109375" style="1" customWidth="1"/>
    <col min="4605" max="4605" width="23.28515625" style="1" customWidth="1"/>
    <col min="4606" max="4606" width="12.140625" style="1" customWidth="1"/>
    <col min="4607" max="4607" width="17.85546875" style="1" customWidth="1"/>
    <col min="4608" max="4608" width="23.7109375" style="1" customWidth="1"/>
    <col min="4609" max="4609" width="9.28515625" style="1" bestFit="1" customWidth="1"/>
    <col min="4610" max="4616" width="9.140625" style="1" customWidth="1"/>
    <col min="4617" max="4617" width="9.28515625" style="1" bestFit="1" customWidth="1"/>
    <col min="4618" max="4859" width="9.140625" style="1"/>
    <col min="4860" max="4860" width="15.7109375" style="1" customWidth="1"/>
    <col min="4861" max="4861" width="23.28515625" style="1" customWidth="1"/>
    <col min="4862" max="4862" width="12.140625" style="1" customWidth="1"/>
    <col min="4863" max="4863" width="17.85546875" style="1" customWidth="1"/>
    <col min="4864" max="4864" width="23.7109375" style="1" customWidth="1"/>
    <col min="4865" max="4865" width="9.28515625" style="1" bestFit="1" customWidth="1"/>
    <col min="4866" max="4872" width="9.140625" style="1" customWidth="1"/>
    <col min="4873" max="4873" width="9.28515625" style="1" bestFit="1" customWidth="1"/>
    <col min="4874" max="5115" width="9.140625" style="1"/>
    <col min="5116" max="5116" width="15.7109375" style="1" customWidth="1"/>
    <col min="5117" max="5117" width="23.28515625" style="1" customWidth="1"/>
    <col min="5118" max="5118" width="12.140625" style="1" customWidth="1"/>
    <col min="5119" max="5119" width="17.85546875" style="1" customWidth="1"/>
    <col min="5120" max="5120" width="23.7109375" style="1" customWidth="1"/>
    <col min="5121" max="5121" width="9.28515625" style="1" bestFit="1" customWidth="1"/>
    <col min="5122" max="5128" width="9.140625" style="1" customWidth="1"/>
    <col min="5129" max="5129" width="9.28515625" style="1" bestFit="1" customWidth="1"/>
    <col min="5130" max="5371" width="9.140625" style="1"/>
    <col min="5372" max="5372" width="15.7109375" style="1" customWidth="1"/>
    <col min="5373" max="5373" width="23.28515625" style="1" customWidth="1"/>
    <col min="5374" max="5374" width="12.140625" style="1" customWidth="1"/>
    <col min="5375" max="5375" width="17.85546875" style="1" customWidth="1"/>
    <col min="5376" max="5376" width="23.7109375" style="1" customWidth="1"/>
    <col min="5377" max="5377" width="9.28515625" style="1" bestFit="1" customWidth="1"/>
    <col min="5378" max="5384" width="9.140625" style="1" customWidth="1"/>
    <col min="5385" max="5385" width="9.28515625" style="1" bestFit="1" customWidth="1"/>
    <col min="5386" max="5627" width="9.140625" style="1"/>
    <col min="5628" max="5628" width="15.7109375" style="1" customWidth="1"/>
    <col min="5629" max="5629" width="23.28515625" style="1" customWidth="1"/>
    <col min="5630" max="5630" width="12.140625" style="1" customWidth="1"/>
    <col min="5631" max="5631" width="17.85546875" style="1" customWidth="1"/>
    <col min="5632" max="5632" width="23.7109375" style="1" customWidth="1"/>
    <col min="5633" max="5633" width="9.28515625" style="1" bestFit="1" customWidth="1"/>
    <col min="5634" max="5640" width="9.140625" style="1" customWidth="1"/>
    <col min="5641" max="5641" width="9.28515625" style="1" bestFit="1" customWidth="1"/>
    <col min="5642" max="5883" width="9.140625" style="1"/>
    <col min="5884" max="5884" width="15.7109375" style="1" customWidth="1"/>
    <col min="5885" max="5885" width="23.28515625" style="1" customWidth="1"/>
    <col min="5886" max="5886" width="12.140625" style="1" customWidth="1"/>
    <col min="5887" max="5887" width="17.85546875" style="1" customWidth="1"/>
    <col min="5888" max="5888" width="23.7109375" style="1" customWidth="1"/>
    <col min="5889" max="5889" width="9.28515625" style="1" bestFit="1" customWidth="1"/>
    <col min="5890" max="5896" width="9.140625" style="1" customWidth="1"/>
    <col min="5897" max="5897" width="9.28515625" style="1" bestFit="1" customWidth="1"/>
    <col min="5898" max="6139" width="9.140625" style="1"/>
    <col min="6140" max="6140" width="15.7109375" style="1" customWidth="1"/>
    <col min="6141" max="6141" width="23.28515625" style="1" customWidth="1"/>
    <col min="6142" max="6142" width="12.140625" style="1" customWidth="1"/>
    <col min="6143" max="6143" width="17.85546875" style="1" customWidth="1"/>
    <col min="6144" max="6144" width="23.7109375" style="1" customWidth="1"/>
    <col min="6145" max="6145" width="9.28515625" style="1" bestFit="1" customWidth="1"/>
    <col min="6146" max="6152" width="9.140625" style="1" customWidth="1"/>
    <col min="6153" max="6153" width="9.28515625" style="1" bestFit="1" customWidth="1"/>
    <col min="6154" max="6395" width="9.140625" style="1"/>
    <col min="6396" max="6396" width="15.7109375" style="1" customWidth="1"/>
    <col min="6397" max="6397" width="23.28515625" style="1" customWidth="1"/>
    <col min="6398" max="6398" width="12.140625" style="1" customWidth="1"/>
    <col min="6399" max="6399" width="17.85546875" style="1" customWidth="1"/>
    <col min="6400" max="6400" width="23.7109375" style="1" customWidth="1"/>
    <col min="6401" max="6401" width="9.28515625" style="1" bestFit="1" customWidth="1"/>
    <col min="6402" max="6408" width="9.140625" style="1" customWidth="1"/>
    <col min="6409" max="6409" width="9.28515625" style="1" bestFit="1" customWidth="1"/>
    <col min="6410" max="6651" width="9.140625" style="1"/>
    <col min="6652" max="6652" width="15.7109375" style="1" customWidth="1"/>
    <col min="6653" max="6653" width="23.28515625" style="1" customWidth="1"/>
    <col min="6654" max="6654" width="12.140625" style="1" customWidth="1"/>
    <col min="6655" max="6655" width="17.85546875" style="1" customWidth="1"/>
    <col min="6656" max="6656" width="23.7109375" style="1" customWidth="1"/>
    <col min="6657" max="6657" width="9.28515625" style="1" bestFit="1" customWidth="1"/>
    <col min="6658" max="6664" width="9.140625" style="1" customWidth="1"/>
    <col min="6665" max="6665" width="9.28515625" style="1" bestFit="1" customWidth="1"/>
    <col min="6666" max="6907" width="9.140625" style="1"/>
    <col min="6908" max="6908" width="15.7109375" style="1" customWidth="1"/>
    <col min="6909" max="6909" width="23.28515625" style="1" customWidth="1"/>
    <col min="6910" max="6910" width="12.140625" style="1" customWidth="1"/>
    <col min="6911" max="6911" width="17.85546875" style="1" customWidth="1"/>
    <col min="6912" max="6912" width="23.7109375" style="1" customWidth="1"/>
    <col min="6913" max="6913" width="9.28515625" style="1" bestFit="1" customWidth="1"/>
    <col min="6914" max="6920" width="9.140625" style="1" customWidth="1"/>
    <col min="6921" max="6921" width="9.28515625" style="1" bestFit="1" customWidth="1"/>
    <col min="6922" max="7163" width="9.140625" style="1"/>
    <col min="7164" max="7164" width="15.7109375" style="1" customWidth="1"/>
    <col min="7165" max="7165" width="23.28515625" style="1" customWidth="1"/>
    <col min="7166" max="7166" width="12.140625" style="1" customWidth="1"/>
    <col min="7167" max="7167" width="17.85546875" style="1" customWidth="1"/>
    <col min="7168" max="7168" width="23.7109375" style="1" customWidth="1"/>
    <col min="7169" max="7169" width="9.28515625" style="1" bestFit="1" customWidth="1"/>
    <col min="7170" max="7176" width="9.140625" style="1" customWidth="1"/>
    <col min="7177" max="7177" width="9.28515625" style="1" bestFit="1" customWidth="1"/>
    <col min="7178" max="7419" width="9.140625" style="1"/>
    <col min="7420" max="7420" width="15.7109375" style="1" customWidth="1"/>
    <col min="7421" max="7421" width="23.28515625" style="1" customWidth="1"/>
    <col min="7422" max="7422" width="12.140625" style="1" customWidth="1"/>
    <col min="7423" max="7423" width="17.85546875" style="1" customWidth="1"/>
    <col min="7424" max="7424" width="23.7109375" style="1" customWidth="1"/>
    <col min="7425" max="7425" width="9.28515625" style="1" bestFit="1" customWidth="1"/>
    <col min="7426" max="7432" width="9.140625" style="1" customWidth="1"/>
    <col min="7433" max="7433" width="9.28515625" style="1" bestFit="1" customWidth="1"/>
    <col min="7434" max="7675" width="9.140625" style="1"/>
    <col min="7676" max="7676" width="15.7109375" style="1" customWidth="1"/>
    <col min="7677" max="7677" width="23.28515625" style="1" customWidth="1"/>
    <col min="7678" max="7678" width="12.140625" style="1" customWidth="1"/>
    <col min="7679" max="7679" width="17.85546875" style="1" customWidth="1"/>
    <col min="7680" max="7680" width="23.7109375" style="1" customWidth="1"/>
    <col min="7681" max="7681" width="9.28515625" style="1" bestFit="1" customWidth="1"/>
    <col min="7682" max="7688" width="9.140625" style="1" customWidth="1"/>
    <col min="7689" max="7689" width="9.28515625" style="1" bestFit="1" customWidth="1"/>
    <col min="7690" max="7931" width="9.140625" style="1"/>
    <col min="7932" max="7932" width="15.7109375" style="1" customWidth="1"/>
    <col min="7933" max="7933" width="23.28515625" style="1" customWidth="1"/>
    <col min="7934" max="7934" width="12.140625" style="1" customWidth="1"/>
    <col min="7935" max="7935" width="17.85546875" style="1" customWidth="1"/>
    <col min="7936" max="7936" width="23.7109375" style="1" customWidth="1"/>
    <col min="7937" max="7937" width="9.28515625" style="1" bestFit="1" customWidth="1"/>
    <col min="7938" max="7944" width="9.140625" style="1" customWidth="1"/>
    <col min="7945" max="7945" width="9.28515625" style="1" bestFit="1" customWidth="1"/>
    <col min="7946" max="8187" width="9.140625" style="1"/>
    <col min="8188" max="8188" width="15.7109375" style="1" customWidth="1"/>
    <col min="8189" max="8189" width="23.28515625" style="1" customWidth="1"/>
    <col min="8190" max="8190" width="12.140625" style="1" customWidth="1"/>
    <col min="8191" max="8191" width="17.85546875" style="1" customWidth="1"/>
    <col min="8192" max="8192" width="23.7109375" style="1" customWidth="1"/>
    <col min="8193" max="8193" width="9.28515625" style="1" bestFit="1" customWidth="1"/>
    <col min="8194" max="8200" width="9.140625" style="1" customWidth="1"/>
    <col min="8201" max="8201" width="9.28515625" style="1" bestFit="1" customWidth="1"/>
    <col min="8202" max="8443" width="9.140625" style="1"/>
    <col min="8444" max="8444" width="15.7109375" style="1" customWidth="1"/>
    <col min="8445" max="8445" width="23.28515625" style="1" customWidth="1"/>
    <col min="8446" max="8446" width="12.140625" style="1" customWidth="1"/>
    <col min="8447" max="8447" width="17.85546875" style="1" customWidth="1"/>
    <col min="8448" max="8448" width="23.7109375" style="1" customWidth="1"/>
    <col min="8449" max="8449" width="9.28515625" style="1" bestFit="1" customWidth="1"/>
    <col min="8450" max="8456" width="9.140625" style="1" customWidth="1"/>
    <col min="8457" max="8457" width="9.28515625" style="1" bestFit="1" customWidth="1"/>
    <col min="8458" max="8699" width="9.140625" style="1"/>
    <col min="8700" max="8700" width="15.7109375" style="1" customWidth="1"/>
    <col min="8701" max="8701" width="23.28515625" style="1" customWidth="1"/>
    <col min="8702" max="8702" width="12.140625" style="1" customWidth="1"/>
    <col min="8703" max="8703" width="17.85546875" style="1" customWidth="1"/>
    <col min="8704" max="8704" width="23.7109375" style="1" customWidth="1"/>
    <col min="8705" max="8705" width="9.28515625" style="1" bestFit="1" customWidth="1"/>
    <col min="8706" max="8712" width="9.140625" style="1" customWidth="1"/>
    <col min="8713" max="8713" width="9.28515625" style="1" bestFit="1" customWidth="1"/>
    <col min="8714" max="8955" width="9.140625" style="1"/>
    <col min="8956" max="8956" width="15.7109375" style="1" customWidth="1"/>
    <col min="8957" max="8957" width="23.28515625" style="1" customWidth="1"/>
    <col min="8958" max="8958" width="12.140625" style="1" customWidth="1"/>
    <col min="8959" max="8959" width="17.85546875" style="1" customWidth="1"/>
    <col min="8960" max="8960" width="23.7109375" style="1" customWidth="1"/>
    <col min="8961" max="8961" width="9.28515625" style="1" bestFit="1" customWidth="1"/>
    <col min="8962" max="8968" width="9.140625" style="1" customWidth="1"/>
    <col min="8969" max="8969" width="9.28515625" style="1" bestFit="1" customWidth="1"/>
    <col min="8970" max="9211" width="9.140625" style="1"/>
    <col min="9212" max="9212" width="15.7109375" style="1" customWidth="1"/>
    <col min="9213" max="9213" width="23.28515625" style="1" customWidth="1"/>
    <col min="9214" max="9214" width="12.140625" style="1" customWidth="1"/>
    <col min="9215" max="9215" width="17.85546875" style="1" customWidth="1"/>
    <col min="9216" max="9216" width="23.7109375" style="1" customWidth="1"/>
    <col min="9217" max="9217" width="9.28515625" style="1" bestFit="1" customWidth="1"/>
    <col min="9218" max="9224" width="9.140625" style="1" customWidth="1"/>
    <col min="9225" max="9225" width="9.28515625" style="1" bestFit="1" customWidth="1"/>
    <col min="9226" max="9467" width="9.140625" style="1"/>
    <col min="9468" max="9468" width="15.7109375" style="1" customWidth="1"/>
    <col min="9469" max="9469" width="23.28515625" style="1" customWidth="1"/>
    <col min="9470" max="9470" width="12.140625" style="1" customWidth="1"/>
    <col min="9471" max="9471" width="17.85546875" style="1" customWidth="1"/>
    <col min="9472" max="9472" width="23.7109375" style="1" customWidth="1"/>
    <col min="9473" max="9473" width="9.28515625" style="1" bestFit="1" customWidth="1"/>
    <col min="9474" max="9480" width="9.140625" style="1" customWidth="1"/>
    <col min="9481" max="9481" width="9.28515625" style="1" bestFit="1" customWidth="1"/>
    <col min="9482" max="9723" width="9.140625" style="1"/>
    <col min="9724" max="9724" width="15.7109375" style="1" customWidth="1"/>
    <col min="9725" max="9725" width="23.28515625" style="1" customWidth="1"/>
    <col min="9726" max="9726" width="12.140625" style="1" customWidth="1"/>
    <col min="9727" max="9727" width="17.85546875" style="1" customWidth="1"/>
    <col min="9728" max="9728" width="23.7109375" style="1" customWidth="1"/>
    <col min="9729" max="9729" width="9.28515625" style="1" bestFit="1" customWidth="1"/>
    <col min="9730" max="9736" width="9.140625" style="1" customWidth="1"/>
    <col min="9737" max="9737" width="9.28515625" style="1" bestFit="1" customWidth="1"/>
    <col min="9738" max="9979" width="9.140625" style="1"/>
    <col min="9980" max="9980" width="15.7109375" style="1" customWidth="1"/>
    <col min="9981" max="9981" width="23.28515625" style="1" customWidth="1"/>
    <col min="9982" max="9982" width="12.140625" style="1" customWidth="1"/>
    <col min="9983" max="9983" width="17.85546875" style="1" customWidth="1"/>
    <col min="9984" max="9984" width="23.7109375" style="1" customWidth="1"/>
    <col min="9985" max="9985" width="9.28515625" style="1" bestFit="1" customWidth="1"/>
    <col min="9986" max="9992" width="9.140625" style="1" customWidth="1"/>
    <col min="9993" max="9993" width="9.28515625" style="1" bestFit="1" customWidth="1"/>
    <col min="9994" max="10235" width="9.140625" style="1"/>
    <col min="10236" max="10236" width="15.7109375" style="1" customWidth="1"/>
    <col min="10237" max="10237" width="23.28515625" style="1" customWidth="1"/>
    <col min="10238" max="10238" width="12.140625" style="1" customWidth="1"/>
    <col min="10239" max="10239" width="17.85546875" style="1" customWidth="1"/>
    <col min="10240" max="10240" width="23.7109375" style="1" customWidth="1"/>
    <col min="10241" max="10241" width="9.28515625" style="1" bestFit="1" customWidth="1"/>
    <col min="10242" max="10248" width="9.140625" style="1" customWidth="1"/>
    <col min="10249" max="10249" width="9.28515625" style="1" bestFit="1" customWidth="1"/>
    <col min="10250" max="10491" width="9.140625" style="1"/>
    <col min="10492" max="10492" width="15.7109375" style="1" customWidth="1"/>
    <col min="10493" max="10493" width="23.28515625" style="1" customWidth="1"/>
    <col min="10494" max="10494" width="12.140625" style="1" customWidth="1"/>
    <col min="10495" max="10495" width="17.85546875" style="1" customWidth="1"/>
    <col min="10496" max="10496" width="23.7109375" style="1" customWidth="1"/>
    <col min="10497" max="10497" width="9.28515625" style="1" bestFit="1" customWidth="1"/>
    <col min="10498" max="10504" width="9.140625" style="1" customWidth="1"/>
    <col min="10505" max="10505" width="9.28515625" style="1" bestFit="1" customWidth="1"/>
    <col min="10506" max="10747" width="9.140625" style="1"/>
    <col min="10748" max="10748" width="15.7109375" style="1" customWidth="1"/>
    <col min="10749" max="10749" width="23.28515625" style="1" customWidth="1"/>
    <col min="10750" max="10750" width="12.140625" style="1" customWidth="1"/>
    <col min="10751" max="10751" width="17.85546875" style="1" customWidth="1"/>
    <col min="10752" max="10752" width="23.7109375" style="1" customWidth="1"/>
    <col min="10753" max="10753" width="9.28515625" style="1" bestFit="1" customWidth="1"/>
    <col min="10754" max="10760" width="9.140625" style="1" customWidth="1"/>
    <col min="10761" max="10761" width="9.28515625" style="1" bestFit="1" customWidth="1"/>
    <col min="10762" max="11003" width="9.140625" style="1"/>
    <col min="11004" max="11004" width="15.7109375" style="1" customWidth="1"/>
    <col min="11005" max="11005" width="23.28515625" style="1" customWidth="1"/>
    <col min="11006" max="11006" width="12.140625" style="1" customWidth="1"/>
    <col min="11007" max="11007" width="17.85546875" style="1" customWidth="1"/>
    <col min="11008" max="11008" width="23.7109375" style="1" customWidth="1"/>
    <col min="11009" max="11009" width="9.28515625" style="1" bestFit="1" customWidth="1"/>
    <col min="11010" max="11016" width="9.140625" style="1" customWidth="1"/>
    <col min="11017" max="11017" width="9.28515625" style="1" bestFit="1" customWidth="1"/>
    <col min="11018" max="11259" width="9.140625" style="1"/>
    <col min="11260" max="11260" width="15.7109375" style="1" customWidth="1"/>
    <col min="11261" max="11261" width="23.28515625" style="1" customWidth="1"/>
    <col min="11262" max="11262" width="12.140625" style="1" customWidth="1"/>
    <col min="11263" max="11263" width="17.85546875" style="1" customWidth="1"/>
    <col min="11264" max="11264" width="23.7109375" style="1" customWidth="1"/>
    <col min="11265" max="11265" width="9.28515625" style="1" bestFit="1" customWidth="1"/>
    <col min="11266" max="11272" width="9.140625" style="1" customWidth="1"/>
    <col min="11273" max="11273" width="9.28515625" style="1" bestFit="1" customWidth="1"/>
    <col min="11274" max="11515" width="9.140625" style="1"/>
    <col min="11516" max="11516" width="15.7109375" style="1" customWidth="1"/>
    <col min="11517" max="11517" width="23.28515625" style="1" customWidth="1"/>
    <col min="11518" max="11518" width="12.140625" style="1" customWidth="1"/>
    <col min="11519" max="11519" width="17.85546875" style="1" customWidth="1"/>
    <col min="11520" max="11520" width="23.7109375" style="1" customWidth="1"/>
    <col min="11521" max="11521" width="9.28515625" style="1" bestFit="1" customWidth="1"/>
    <col min="11522" max="11528" width="9.140625" style="1" customWidth="1"/>
    <col min="11529" max="11529" width="9.28515625" style="1" bestFit="1" customWidth="1"/>
    <col min="11530" max="11771" width="9.140625" style="1"/>
    <col min="11772" max="11772" width="15.7109375" style="1" customWidth="1"/>
    <col min="11773" max="11773" width="23.28515625" style="1" customWidth="1"/>
    <col min="11774" max="11774" width="12.140625" style="1" customWidth="1"/>
    <col min="11775" max="11775" width="17.85546875" style="1" customWidth="1"/>
    <col min="11776" max="11776" width="23.7109375" style="1" customWidth="1"/>
    <col min="11777" max="11777" width="9.28515625" style="1" bestFit="1" customWidth="1"/>
    <col min="11778" max="11784" width="9.140625" style="1" customWidth="1"/>
    <col min="11785" max="11785" width="9.28515625" style="1" bestFit="1" customWidth="1"/>
    <col min="11786" max="12027" width="9.140625" style="1"/>
    <col min="12028" max="12028" width="15.7109375" style="1" customWidth="1"/>
    <col min="12029" max="12029" width="23.28515625" style="1" customWidth="1"/>
    <col min="12030" max="12030" width="12.140625" style="1" customWidth="1"/>
    <col min="12031" max="12031" width="17.85546875" style="1" customWidth="1"/>
    <col min="12032" max="12032" width="23.7109375" style="1" customWidth="1"/>
    <col min="12033" max="12033" width="9.28515625" style="1" bestFit="1" customWidth="1"/>
    <col min="12034" max="12040" width="9.140625" style="1" customWidth="1"/>
    <col min="12041" max="12041" width="9.28515625" style="1" bestFit="1" customWidth="1"/>
    <col min="12042" max="12283" width="9.140625" style="1"/>
    <col min="12284" max="12284" width="15.7109375" style="1" customWidth="1"/>
    <col min="12285" max="12285" width="23.28515625" style="1" customWidth="1"/>
    <col min="12286" max="12286" width="12.140625" style="1" customWidth="1"/>
    <col min="12287" max="12287" width="17.85546875" style="1" customWidth="1"/>
    <col min="12288" max="12288" width="23.7109375" style="1" customWidth="1"/>
    <col min="12289" max="12289" width="9.28515625" style="1" bestFit="1" customWidth="1"/>
    <col min="12290" max="12296" width="9.140625" style="1" customWidth="1"/>
    <col min="12297" max="12297" width="9.28515625" style="1" bestFit="1" customWidth="1"/>
    <col min="12298" max="12539" width="9.140625" style="1"/>
    <col min="12540" max="12540" width="15.7109375" style="1" customWidth="1"/>
    <col min="12541" max="12541" width="23.28515625" style="1" customWidth="1"/>
    <col min="12542" max="12542" width="12.140625" style="1" customWidth="1"/>
    <col min="12543" max="12543" width="17.85546875" style="1" customWidth="1"/>
    <col min="12544" max="12544" width="23.7109375" style="1" customWidth="1"/>
    <col min="12545" max="12545" width="9.28515625" style="1" bestFit="1" customWidth="1"/>
    <col min="12546" max="12552" width="9.140625" style="1" customWidth="1"/>
    <col min="12553" max="12553" width="9.28515625" style="1" bestFit="1" customWidth="1"/>
    <col min="12554" max="12795" width="9.140625" style="1"/>
    <col min="12796" max="12796" width="15.7109375" style="1" customWidth="1"/>
    <col min="12797" max="12797" width="23.28515625" style="1" customWidth="1"/>
    <col min="12798" max="12798" width="12.140625" style="1" customWidth="1"/>
    <col min="12799" max="12799" width="17.85546875" style="1" customWidth="1"/>
    <col min="12800" max="12800" width="23.7109375" style="1" customWidth="1"/>
    <col min="12801" max="12801" width="9.28515625" style="1" bestFit="1" customWidth="1"/>
    <col min="12802" max="12808" width="9.140625" style="1" customWidth="1"/>
    <col min="12809" max="12809" width="9.28515625" style="1" bestFit="1" customWidth="1"/>
    <col min="12810" max="13051" width="9.140625" style="1"/>
    <col min="13052" max="13052" width="15.7109375" style="1" customWidth="1"/>
    <col min="13053" max="13053" width="23.28515625" style="1" customWidth="1"/>
    <col min="13054" max="13054" width="12.140625" style="1" customWidth="1"/>
    <col min="13055" max="13055" width="17.85546875" style="1" customWidth="1"/>
    <col min="13056" max="13056" width="23.7109375" style="1" customWidth="1"/>
    <col min="13057" max="13057" width="9.28515625" style="1" bestFit="1" customWidth="1"/>
    <col min="13058" max="13064" width="9.140625" style="1" customWidth="1"/>
    <col min="13065" max="13065" width="9.28515625" style="1" bestFit="1" customWidth="1"/>
    <col min="13066" max="13307" width="9.140625" style="1"/>
    <col min="13308" max="13308" width="15.7109375" style="1" customWidth="1"/>
    <col min="13309" max="13309" width="23.28515625" style="1" customWidth="1"/>
    <col min="13310" max="13310" width="12.140625" style="1" customWidth="1"/>
    <col min="13311" max="13311" width="17.85546875" style="1" customWidth="1"/>
    <col min="13312" max="13312" width="23.7109375" style="1" customWidth="1"/>
    <col min="13313" max="13313" width="9.28515625" style="1" bestFit="1" customWidth="1"/>
    <col min="13314" max="13320" width="9.140625" style="1" customWidth="1"/>
    <col min="13321" max="13321" width="9.28515625" style="1" bestFit="1" customWidth="1"/>
    <col min="13322" max="13563" width="9.140625" style="1"/>
    <col min="13564" max="13564" width="15.7109375" style="1" customWidth="1"/>
    <col min="13565" max="13565" width="23.28515625" style="1" customWidth="1"/>
    <col min="13566" max="13566" width="12.140625" style="1" customWidth="1"/>
    <col min="13567" max="13567" width="17.85546875" style="1" customWidth="1"/>
    <col min="13568" max="13568" width="23.7109375" style="1" customWidth="1"/>
    <col min="13569" max="13569" width="9.28515625" style="1" bestFit="1" customWidth="1"/>
    <col min="13570" max="13576" width="9.140625" style="1" customWidth="1"/>
    <col min="13577" max="13577" width="9.28515625" style="1" bestFit="1" customWidth="1"/>
    <col min="13578" max="13819" width="9.140625" style="1"/>
    <col min="13820" max="13820" width="15.7109375" style="1" customWidth="1"/>
    <col min="13821" max="13821" width="23.28515625" style="1" customWidth="1"/>
    <col min="13822" max="13822" width="12.140625" style="1" customWidth="1"/>
    <col min="13823" max="13823" width="17.85546875" style="1" customWidth="1"/>
    <col min="13824" max="13824" width="23.7109375" style="1" customWidth="1"/>
    <col min="13825" max="13825" width="9.28515625" style="1" bestFit="1" customWidth="1"/>
    <col min="13826" max="13832" width="9.140625" style="1" customWidth="1"/>
    <col min="13833" max="13833" width="9.28515625" style="1" bestFit="1" customWidth="1"/>
    <col min="13834" max="14075" width="9.140625" style="1"/>
    <col min="14076" max="14076" width="15.7109375" style="1" customWidth="1"/>
    <col min="14077" max="14077" width="23.28515625" style="1" customWidth="1"/>
    <col min="14078" max="14078" width="12.140625" style="1" customWidth="1"/>
    <col min="14079" max="14079" width="17.85546875" style="1" customWidth="1"/>
    <col min="14080" max="14080" width="23.7109375" style="1" customWidth="1"/>
    <col min="14081" max="14081" width="9.28515625" style="1" bestFit="1" customWidth="1"/>
    <col min="14082" max="14088" width="9.140625" style="1" customWidth="1"/>
    <col min="14089" max="14089" width="9.28515625" style="1" bestFit="1" customWidth="1"/>
    <col min="14090" max="14331" width="9.140625" style="1"/>
    <col min="14332" max="14332" width="15.7109375" style="1" customWidth="1"/>
    <col min="14333" max="14333" width="23.28515625" style="1" customWidth="1"/>
    <col min="14334" max="14334" width="12.140625" style="1" customWidth="1"/>
    <col min="14335" max="14335" width="17.85546875" style="1" customWidth="1"/>
    <col min="14336" max="14336" width="23.7109375" style="1" customWidth="1"/>
    <col min="14337" max="14337" width="9.28515625" style="1" bestFit="1" customWidth="1"/>
    <col min="14338" max="14344" width="9.140625" style="1" customWidth="1"/>
    <col min="14345" max="14345" width="9.28515625" style="1" bestFit="1" customWidth="1"/>
    <col min="14346" max="14587" width="9.140625" style="1"/>
    <col min="14588" max="14588" width="15.7109375" style="1" customWidth="1"/>
    <col min="14589" max="14589" width="23.28515625" style="1" customWidth="1"/>
    <col min="14590" max="14590" width="12.140625" style="1" customWidth="1"/>
    <col min="14591" max="14591" width="17.85546875" style="1" customWidth="1"/>
    <col min="14592" max="14592" width="23.7109375" style="1" customWidth="1"/>
    <col min="14593" max="14593" width="9.28515625" style="1" bestFit="1" customWidth="1"/>
    <col min="14594" max="14600" width="9.140625" style="1" customWidth="1"/>
    <col min="14601" max="14601" width="9.28515625" style="1" bestFit="1" customWidth="1"/>
    <col min="14602" max="14843" width="9.140625" style="1"/>
    <col min="14844" max="14844" width="15.7109375" style="1" customWidth="1"/>
    <col min="14845" max="14845" width="23.28515625" style="1" customWidth="1"/>
    <col min="14846" max="14846" width="12.140625" style="1" customWidth="1"/>
    <col min="14847" max="14847" width="17.85546875" style="1" customWidth="1"/>
    <col min="14848" max="14848" width="23.7109375" style="1" customWidth="1"/>
    <col min="14849" max="14849" width="9.28515625" style="1" bestFit="1" customWidth="1"/>
    <col min="14850" max="14856" width="9.140625" style="1" customWidth="1"/>
    <col min="14857" max="14857" width="9.28515625" style="1" bestFit="1" customWidth="1"/>
    <col min="14858" max="15099" width="9.140625" style="1"/>
    <col min="15100" max="15100" width="15.7109375" style="1" customWidth="1"/>
    <col min="15101" max="15101" width="23.28515625" style="1" customWidth="1"/>
    <col min="15102" max="15102" width="12.140625" style="1" customWidth="1"/>
    <col min="15103" max="15103" width="17.85546875" style="1" customWidth="1"/>
    <col min="15104" max="15104" width="23.7109375" style="1" customWidth="1"/>
    <col min="15105" max="15105" width="9.28515625" style="1" bestFit="1" customWidth="1"/>
    <col min="15106" max="15112" width="9.140625" style="1" customWidth="1"/>
    <col min="15113" max="15113" width="9.28515625" style="1" bestFit="1" customWidth="1"/>
    <col min="15114" max="15355" width="9.140625" style="1"/>
    <col min="15356" max="15356" width="15.7109375" style="1" customWidth="1"/>
    <col min="15357" max="15357" width="23.28515625" style="1" customWidth="1"/>
    <col min="15358" max="15358" width="12.140625" style="1" customWidth="1"/>
    <col min="15359" max="15359" width="17.85546875" style="1" customWidth="1"/>
    <col min="15360" max="15360" width="23.7109375" style="1" customWidth="1"/>
    <col min="15361" max="15361" width="9.28515625" style="1" bestFit="1" customWidth="1"/>
    <col min="15362" max="15368" width="9.140625" style="1" customWidth="1"/>
    <col min="15369" max="15369" width="9.28515625" style="1" bestFit="1" customWidth="1"/>
    <col min="15370" max="15611" width="9.140625" style="1"/>
    <col min="15612" max="15612" width="15.7109375" style="1" customWidth="1"/>
    <col min="15613" max="15613" width="23.28515625" style="1" customWidth="1"/>
    <col min="15614" max="15614" width="12.140625" style="1" customWidth="1"/>
    <col min="15615" max="15615" width="17.85546875" style="1" customWidth="1"/>
    <col min="15616" max="15616" width="23.7109375" style="1" customWidth="1"/>
    <col min="15617" max="15617" width="9.28515625" style="1" bestFit="1" customWidth="1"/>
    <col min="15618" max="15624" width="9.140625" style="1" customWidth="1"/>
    <col min="15625" max="15625" width="9.28515625" style="1" bestFit="1" customWidth="1"/>
    <col min="15626" max="15867" width="9.140625" style="1"/>
    <col min="15868" max="15868" width="15.7109375" style="1" customWidth="1"/>
    <col min="15869" max="15869" width="23.28515625" style="1" customWidth="1"/>
    <col min="15870" max="15870" width="12.140625" style="1" customWidth="1"/>
    <col min="15871" max="15871" width="17.85546875" style="1" customWidth="1"/>
    <col min="15872" max="15872" width="23.7109375" style="1" customWidth="1"/>
    <col min="15873" max="15873" width="9.28515625" style="1" bestFit="1" customWidth="1"/>
    <col min="15874" max="15880" width="9.140625" style="1" customWidth="1"/>
    <col min="15881" max="15881" width="9.28515625" style="1" bestFit="1" customWidth="1"/>
    <col min="15882" max="16123" width="9.140625" style="1"/>
    <col min="16124" max="16124" width="15.7109375" style="1" customWidth="1"/>
    <col min="16125" max="16125" width="23.28515625" style="1" customWidth="1"/>
    <col min="16126" max="16126" width="12.140625" style="1" customWidth="1"/>
    <col min="16127" max="16127" width="17.85546875" style="1" customWidth="1"/>
    <col min="16128" max="16128" width="23.7109375" style="1" customWidth="1"/>
    <col min="16129" max="16129" width="9.28515625" style="1" bestFit="1" customWidth="1"/>
    <col min="16130" max="16136" width="9.140625" style="1" customWidth="1"/>
    <col min="16137" max="16137" width="9.28515625" style="1" bestFit="1" customWidth="1"/>
    <col min="16138" max="16384" width="9.140625" style="1"/>
  </cols>
  <sheetData>
    <row r="1" spans="1:6" ht="15" x14ac:dyDescent="0.25">
      <c r="A1" s="503" t="s">
        <v>58</v>
      </c>
      <c r="B1" s="503"/>
      <c r="C1" s="503"/>
      <c r="D1" s="503"/>
      <c r="E1" s="503"/>
    </row>
    <row r="2" spans="1:6" ht="15" x14ac:dyDescent="0.25">
      <c r="A2" s="503" t="s">
        <v>45</v>
      </c>
      <c r="B2" s="503"/>
      <c r="C2" s="503"/>
      <c r="D2" s="503"/>
      <c r="E2" s="503"/>
    </row>
    <row r="3" spans="1:6" ht="16.5" thickBot="1" x14ac:dyDescent="0.3">
      <c r="A3" s="12" t="s">
        <v>0</v>
      </c>
      <c r="B3" s="12"/>
      <c r="C3" s="3"/>
      <c r="D3" s="3"/>
      <c r="E3" s="3"/>
    </row>
    <row r="4" spans="1:6" s="7" customFormat="1" x14ac:dyDescent="0.2">
      <c r="A4" s="13" t="s">
        <v>16</v>
      </c>
      <c r="B4" s="14"/>
      <c r="C4" s="4" t="s">
        <v>17</v>
      </c>
      <c r="D4" s="15" t="s">
        <v>55</v>
      </c>
      <c r="E4" s="16"/>
    </row>
    <row r="5" spans="1:6" s="7" customFormat="1" ht="13.5" thickBot="1" x14ac:dyDescent="0.25">
      <c r="A5" s="17" t="s">
        <v>18</v>
      </c>
      <c r="B5" s="18" t="s">
        <v>22</v>
      </c>
      <c r="C5" s="19"/>
      <c r="D5" s="20" t="s">
        <v>22</v>
      </c>
      <c r="E5" s="21" t="s">
        <v>46</v>
      </c>
    </row>
    <row r="6" spans="1:6" s="7" customFormat="1" ht="13.5" thickTop="1" x14ac:dyDescent="0.2">
      <c r="A6" s="22"/>
      <c r="B6" s="5"/>
      <c r="C6" s="23"/>
      <c r="D6" s="24"/>
      <c r="E6" s="6"/>
    </row>
    <row r="7" spans="1:6" s="7" customFormat="1" ht="28.5" customHeight="1" x14ac:dyDescent="0.2">
      <c r="A7" s="28" t="s">
        <v>38</v>
      </c>
      <c r="B7" s="29" t="str">
        <f>'[4]5-1'!B6</f>
        <v>Solar Taurus Turbine</v>
      </c>
      <c r="C7" s="30" t="s">
        <v>20</v>
      </c>
      <c r="D7" s="30" t="s">
        <v>53</v>
      </c>
      <c r="E7" s="31" t="s">
        <v>49</v>
      </c>
    </row>
    <row r="8" spans="1:6" s="7" customFormat="1" ht="28.5" customHeight="1" x14ac:dyDescent="0.2">
      <c r="A8" s="28" t="s">
        <v>40</v>
      </c>
      <c r="B8" s="29" t="s">
        <v>19</v>
      </c>
      <c r="C8" s="32" t="s">
        <v>39</v>
      </c>
      <c r="D8" s="30" t="s">
        <v>53</v>
      </c>
      <c r="E8" s="31" t="s">
        <v>52</v>
      </c>
    </row>
    <row r="9" spans="1:6" s="7" customFormat="1" ht="25.5" x14ac:dyDescent="0.2">
      <c r="A9" s="28">
        <v>105</v>
      </c>
      <c r="B9" s="29" t="s">
        <v>33</v>
      </c>
      <c r="C9" s="32" t="s">
        <v>34</v>
      </c>
      <c r="D9" s="30" t="s">
        <v>37</v>
      </c>
      <c r="E9" s="37" t="s">
        <v>47</v>
      </c>
    </row>
    <row r="10" spans="1:6" s="7" customFormat="1" ht="25.5" x14ac:dyDescent="0.2">
      <c r="A10" s="28" t="s">
        <v>51</v>
      </c>
      <c r="B10" s="29" t="s">
        <v>24</v>
      </c>
      <c r="C10" s="32" t="s">
        <v>34</v>
      </c>
      <c r="D10" s="30" t="s">
        <v>37</v>
      </c>
      <c r="E10" s="39" t="s">
        <v>60</v>
      </c>
    </row>
    <row r="11" spans="1:6" s="7" customFormat="1" ht="25.5" x14ac:dyDescent="0.2">
      <c r="A11" s="28" t="s">
        <v>56</v>
      </c>
      <c r="B11" s="29" t="s">
        <v>57</v>
      </c>
      <c r="C11" s="32" t="s">
        <v>34</v>
      </c>
      <c r="D11" s="30" t="s">
        <v>37</v>
      </c>
      <c r="E11" s="39" t="s">
        <v>59</v>
      </c>
    </row>
    <row r="12" spans="1:6" s="7" customFormat="1" ht="28.5" customHeight="1" thickBot="1" x14ac:dyDescent="0.25">
      <c r="A12" s="33" t="s">
        <v>35</v>
      </c>
      <c r="B12" s="34" t="s">
        <v>36</v>
      </c>
      <c r="C12" s="35" t="s">
        <v>20</v>
      </c>
      <c r="D12" s="36" t="s">
        <v>54</v>
      </c>
      <c r="E12" s="38" t="s">
        <v>50</v>
      </c>
    </row>
    <row r="13" spans="1:6" ht="12.75" customHeight="1" x14ac:dyDescent="0.2">
      <c r="C13" s="8"/>
      <c r="D13" s="8"/>
      <c r="E13" s="8"/>
      <c r="F13" s="8"/>
    </row>
    <row r="14" spans="1:6" x14ac:dyDescent="0.2">
      <c r="A14" s="8" t="s">
        <v>44</v>
      </c>
      <c r="D14" s="11"/>
      <c r="E14" s="11"/>
    </row>
    <row r="15" spans="1:6" ht="14.25" customHeight="1" x14ac:dyDescent="0.2">
      <c r="A15" s="504" t="s">
        <v>48</v>
      </c>
      <c r="B15" s="504"/>
      <c r="C15" s="11"/>
      <c r="D15" s="25"/>
      <c r="E15" s="25"/>
      <c r="F15" s="2"/>
    </row>
    <row r="16" spans="1:6" ht="14.25" x14ac:dyDescent="0.2">
      <c r="A16" s="9" t="s">
        <v>61</v>
      </c>
      <c r="B16" s="10"/>
      <c r="C16" s="11"/>
      <c r="D16" s="25"/>
      <c r="E16" s="26"/>
      <c r="F16" s="27"/>
    </row>
  </sheetData>
  <mergeCells count="3">
    <mergeCell ref="A1:E1"/>
    <mergeCell ref="A2:E2"/>
    <mergeCell ref="A15:B15"/>
  </mergeCells>
  <printOptions horizontalCentered="1"/>
  <pageMargins left="0.75" right="0.75" top="1" bottom="1" header="0.5" footer="0.5"/>
  <pageSetup orientation="landscape" r:id="rId1"/>
  <headerFooter alignWithMargins="0">
    <oddFooter>&amp;L&amp;8Point Thomson Project
PSD Permit Application&amp;C&amp;8Page 50&amp;R&amp;8December 2010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view="pageLayout" zoomScaleNormal="100" workbookViewId="0">
      <selection activeCell="C56" sqref="C56"/>
    </sheetView>
  </sheetViews>
  <sheetFormatPr defaultRowHeight="14.25" x14ac:dyDescent="0.2"/>
  <cols>
    <col min="1" max="1" width="30.42578125" style="283" customWidth="1"/>
    <col min="2" max="3" width="30.42578125" style="282" customWidth="1"/>
    <col min="4" max="256" width="8.85546875" style="283"/>
    <col min="257" max="257" width="14.5703125" style="283" customWidth="1"/>
    <col min="258" max="258" width="23.7109375" style="283" customWidth="1"/>
    <col min="259" max="259" width="30.7109375" style="283" customWidth="1"/>
    <col min="260" max="512" width="8.85546875" style="283"/>
    <col min="513" max="513" width="14.5703125" style="283" customWidth="1"/>
    <col min="514" max="514" width="23.7109375" style="283" customWidth="1"/>
    <col min="515" max="515" width="30.7109375" style="283" customWidth="1"/>
    <col min="516" max="768" width="8.85546875" style="283"/>
    <col min="769" max="769" width="14.5703125" style="283" customWidth="1"/>
    <col min="770" max="770" width="23.7109375" style="283" customWidth="1"/>
    <col min="771" max="771" width="30.7109375" style="283" customWidth="1"/>
    <col min="772" max="1024" width="8.85546875" style="283"/>
    <col min="1025" max="1025" width="14.5703125" style="283" customWidth="1"/>
    <col min="1026" max="1026" width="23.7109375" style="283" customWidth="1"/>
    <col min="1027" max="1027" width="30.7109375" style="283" customWidth="1"/>
    <col min="1028" max="1280" width="8.85546875" style="283"/>
    <col min="1281" max="1281" width="14.5703125" style="283" customWidth="1"/>
    <col min="1282" max="1282" width="23.7109375" style="283" customWidth="1"/>
    <col min="1283" max="1283" width="30.7109375" style="283" customWidth="1"/>
    <col min="1284" max="1536" width="8.85546875" style="283"/>
    <col min="1537" max="1537" width="14.5703125" style="283" customWidth="1"/>
    <col min="1538" max="1538" width="23.7109375" style="283" customWidth="1"/>
    <col min="1539" max="1539" width="30.7109375" style="283" customWidth="1"/>
    <col min="1540" max="1792" width="8.85546875" style="283"/>
    <col min="1793" max="1793" width="14.5703125" style="283" customWidth="1"/>
    <col min="1794" max="1794" width="23.7109375" style="283" customWidth="1"/>
    <col min="1795" max="1795" width="30.7109375" style="283" customWidth="1"/>
    <col min="1796" max="2048" width="8.85546875" style="283"/>
    <col min="2049" max="2049" width="14.5703125" style="283" customWidth="1"/>
    <col min="2050" max="2050" width="23.7109375" style="283" customWidth="1"/>
    <col min="2051" max="2051" width="30.7109375" style="283" customWidth="1"/>
    <col min="2052" max="2304" width="8.85546875" style="283"/>
    <col min="2305" max="2305" width="14.5703125" style="283" customWidth="1"/>
    <col min="2306" max="2306" width="23.7109375" style="283" customWidth="1"/>
    <col min="2307" max="2307" width="30.7109375" style="283" customWidth="1"/>
    <col min="2308" max="2560" width="8.85546875" style="283"/>
    <col min="2561" max="2561" width="14.5703125" style="283" customWidth="1"/>
    <col min="2562" max="2562" width="23.7109375" style="283" customWidth="1"/>
    <col min="2563" max="2563" width="30.7109375" style="283" customWidth="1"/>
    <col min="2564" max="2816" width="8.85546875" style="283"/>
    <col min="2817" max="2817" width="14.5703125" style="283" customWidth="1"/>
    <col min="2818" max="2818" width="23.7109375" style="283" customWidth="1"/>
    <col min="2819" max="2819" width="30.7109375" style="283" customWidth="1"/>
    <col min="2820" max="3072" width="8.85546875" style="283"/>
    <col min="3073" max="3073" width="14.5703125" style="283" customWidth="1"/>
    <col min="3074" max="3074" width="23.7109375" style="283" customWidth="1"/>
    <col min="3075" max="3075" width="30.7109375" style="283" customWidth="1"/>
    <col min="3076" max="3328" width="8.85546875" style="283"/>
    <col min="3329" max="3329" width="14.5703125" style="283" customWidth="1"/>
    <col min="3330" max="3330" width="23.7109375" style="283" customWidth="1"/>
    <col min="3331" max="3331" width="30.7109375" style="283" customWidth="1"/>
    <col min="3332" max="3584" width="8.85546875" style="283"/>
    <col min="3585" max="3585" width="14.5703125" style="283" customWidth="1"/>
    <col min="3586" max="3586" width="23.7109375" style="283" customWidth="1"/>
    <col min="3587" max="3587" width="30.7109375" style="283" customWidth="1"/>
    <col min="3588" max="3840" width="8.85546875" style="283"/>
    <col min="3841" max="3841" width="14.5703125" style="283" customWidth="1"/>
    <col min="3842" max="3842" width="23.7109375" style="283" customWidth="1"/>
    <col min="3843" max="3843" width="30.7109375" style="283" customWidth="1"/>
    <col min="3844" max="4096" width="8.85546875" style="283"/>
    <col min="4097" max="4097" width="14.5703125" style="283" customWidth="1"/>
    <col min="4098" max="4098" width="23.7109375" style="283" customWidth="1"/>
    <col min="4099" max="4099" width="30.7109375" style="283" customWidth="1"/>
    <col min="4100" max="4352" width="8.85546875" style="283"/>
    <col min="4353" max="4353" width="14.5703125" style="283" customWidth="1"/>
    <col min="4354" max="4354" width="23.7109375" style="283" customWidth="1"/>
    <col min="4355" max="4355" width="30.7109375" style="283" customWidth="1"/>
    <col min="4356" max="4608" width="8.85546875" style="283"/>
    <col min="4609" max="4609" width="14.5703125" style="283" customWidth="1"/>
    <col min="4610" max="4610" width="23.7109375" style="283" customWidth="1"/>
    <col min="4611" max="4611" width="30.7109375" style="283" customWidth="1"/>
    <col min="4612" max="4864" width="8.85546875" style="283"/>
    <col min="4865" max="4865" width="14.5703125" style="283" customWidth="1"/>
    <col min="4866" max="4866" width="23.7109375" style="283" customWidth="1"/>
    <col min="4867" max="4867" width="30.7109375" style="283" customWidth="1"/>
    <col min="4868" max="5120" width="8.85546875" style="283"/>
    <col min="5121" max="5121" width="14.5703125" style="283" customWidth="1"/>
    <col min="5122" max="5122" width="23.7109375" style="283" customWidth="1"/>
    <col min="5123" max="5123" width="30.7109375" style="283" customWidth="1"/>
    <col min="5124" max="5376" width="8.85546875" style="283"/>
    <col min="5377" max="5377" width="14.5703125" style="283" customWidth="1"/>
    <col min="5378" max="5378" width="23.7109375" style="283" customWidth="1"/>
    <col min="5379" max="5379" width="30.7109375" style="283" customWidth="1"/>
    <col min="5380" max="5632" width="8.85546875" style="283"/>
    <col min="5633" max="5633" width="14.5703125" style="283" customWidth="1"/>
    <col min="5634" max="5634" width="23.7109375" style="283" customWidth="1"/>
    <col min="5635" max="5635" width="30.7109375" style="283" customWidth="1"/>
    <col min="5636" max="5888" width="8.85546875" style="283"/>
    <col min="5889" max="5889" width="14.5703125" style="283" customWidth="1"/>
    <col min="5890" max="5890" width="23.7109375" style="283" customWidth="1"/>
    <col min="5891" max="5891" width="30.7109375" style="283" customWidth="1"/>
    <col min="5892" max="6144" width="8.85546875" style="283"/>
    <col min="6145" max="6145" width="14.5703125" style="283" customWidth="1"/>
    <col min="6146" max="6146" width="23.7109375" style="283" customWidth="1"/>
    <col min="6147" max="6147" width="30.7109375" style="283" customWidth="1"/>
    <col min="6148" max="6400" width="8.85546875" style="283"/>
    <col min="6401" max="6401" width="14.5703125" style="283" customWidth="1"/>
    <col min="6402" max="6402" width="23.7109375" style="283" customWidth="1"/>
    <col min="6403" max="6403" width="30.7109375" style="283" customWidth="1"/>
    <col min="6404" max="6656" width="8.85546875" style="283"/>
    <col min="6657" max="6657" width="14.5703125" style="283" customWidth="1"/>
    <col min="6658" max="6658" width="23.7109375" style="283" customWidth="1"/>
    <col min="6659" max="6659" width="30.7109375" style="283" customWidth="1"/>
    <col min="6660" max="6912" width="8.85546875" style="283"/>
    <col min="6913" max="6913" width="14.5703125" style="283" customWidth="1"/>
    <col min="6914" max="6914" width="23.7109375" style="283" customWidth="1"/>
    <col min="6915" max="6915" width="30.7109375" style="283" customWidth="1"/>
    <col min="6916" max="7168" width="8.85546875" style="283"/>
    <col min="7169" max="7169" width="14.5703125" style="283" customWidth="1"/>
    <col min="7170" max="7170" width="23.7109375" style="283" customWidth="1"/>
    <col min="7171" max="7171" width="30.7109375" style="283" customWidth="1"/>
    <col min="7172" max="7424" width="8.85546875" style="283"/>
    <col min="7425" max="7425" width="14.5703125" style="283" customWidth="1"/>
    <col min="7426" max="7426" width="23.7109375" style="283" customWidth="1"/>
    <col min="7427" max="7427" width="30.7109375" style="283" customWidth="1"/>
    <col min="7428" max="7680" width="8.85546875" style="283"/>
    <col min="7681" max="7681" width="14.5703125" style="283" customWidth="1"/>
    <col min="7682" max="7682" width="23.7109375" style="283" customWidth="1"/>
    <col min="7683" max="7683" width="30.7109375" style="283" customWidth="1"/>
    <col min="7684" max="7936" width="8.85546875" style="283"/>
    <col min="7937" max="7937" width="14.5703125" style="283" customWidth="1"/>
    <col min="7938" max="7938" width="23.7109375" style="283" customWidth="1"/>
    <col min="7939" max="7939" width="30.7109375" style="283" customWidth="1"/>
    <col min="7940" max="8192" width="8.85546875" style="283"/>
    <col min="8193" max="8193" width="14.5703125" style="283" customWidth="1"/>
    <col min="8194" max="8194" width="23.7109375" style="283" customWidth="1"/>
    <col min="8195" max="8195" width="30.7109375" style="283" customWidth="1"/>
    <col min="8196" max="8448" width="8.85546875" style="283"/>
    <col min="8449" max="8449" width="14.5703125" style="283" customWidth="1"/>
    <col min="8450" max="8450" width="23.7109375" style="283" customWidth="1"/>
    <col min="8451" max="8451" width="30.7109375" style="283" customWidth="1"/>
    <col min="8452" max="8704" width="8.85546875" style="283"/>
    <col min="8705" max="8705" width="14.5703125" style="283" customWidth="1"/>
    <col min="8706" max="8706" width="23.7109375" style="283" customWidth="1"/>
    <col min="8707" max="8707" width="30.7109375" style="283" customWidth="1"/>
    <col min="8708" max="8960" width="8.85546875" style="283"/>
    <col min="8961" max="8961" width="14.5703125" style="283" customWidth="1"/>
    <col min="8962" max="8962" width="23.7109375" style="283" customWidth="1"/>
    <col min="8963" max="8963" width="30.7109375" style="283" customWidth="1"/>
    <col min="8964" max="9216" width="8.85546875" style="283"/>
    <col min="9217" max="9217" width="14.5703125" style="283" customWidth="1"/>
    <col min="9218" max="9218" width="23.7109375" style="283" customWidth="1"/>
    <col min="9219" max="9219" width="30.7109375" style="283" customWidth="1"/>
    <col min="9220" max="9472" width="8.85546875" style="283"/>
    <col min="9473" max="9473" width="14.5703125" style="283" customWidth="1"/>
    <col min="9474" max="9474" width="23.7109375" style="283" customWidth="1"/>
    <col min="9475" max="9475" width="30.7109375" style="283" customWidth="1"/>
    <col min="9476" max="9728" width="8.85546875" style="283"/>
    <col min="9729" max="9729" width="14.5703125" style="283" customWidth="1"/>
    <col min="9730" max="9730" width="23.7109375" style="283" customWidth="1"/>
    <col min="9731" max="9731" width="30.7109375" style="283" customWidth="1"/>
    <col min="9732" max="9984" width="8.85546875" style="283"/>
    <col min="9985" max="9985" width="14.5703125" style="283" customWidth="1"/>
    <col min="9986" max="9986" width="23.7109375" style="283" customWidth="1"/>
    <col min="9987" max="9987" width="30.7109375" style="283" customWidth="1"/>
    <col min="9988" max="10240" width="8.85546875" style="283"/>
    <col min="10241" max="10241" width="14.5703125" style="283" customWidth="1"/>
    <col min="10242" max="10242" width="23.7109375" style="283" customWidth="1"/>
    <col min="10243" max="10243" width="30.7109375" style="283" customWidth="1"/>
    <col min="10244" max="10496" width="8.85546875" style="283"/>
    <col min="10497" max="10497" width="14.5703125" style="283" customWidth="1"/>
    <col min="10498" max="10498" width="23.7109375" style="283" customWidth="1"/>
    <col min="10499" max="10499" width="30.7109375" style="283" customWidth="1"/>
    <col min="10500" max="10752" width="8.85546875" style="283"/>
    <col min="10753" max="10753" width="14.5703125" style="283" customWidth="1"/>
    <col min="10754" max="10754" width="23.7109375" style="283" customWidth="1"/>
    <col min="10755" max="10755" width="30.7109375" style="283" customWidth="1"/>
    <col min="10756" max="11008" width="8.85546875" style="283"/>
    <col min="11009" max="11009" width="14.5703125" style="283" customWidth="1"/>
    <col min="11010" max="11010" width="23.7109375" style="283" customWidth="1"/>
    <col min="11011" max="11011" width="30.7109375" style="283" customWidth="1"/>
    <col min="11012" max="11264" width="8.85546875" style="283"/>
    <col min="11265" max="11265" width="14.5703125" style="283" customWidth="1"/>
    <col min="11266" max="11266" width="23.7109375" style="283" customWidth="1"/>
    <col min="11267" max="11267" width="30.7109375" style="283" customWidth="1"/>
    <col min="11268" max="11520" width="8.85546875" style="283"/>
    <col min="11521" max="11521" width="14.5703125" style="283" customWidth="1"/>
    <col min="11522" max="11522" width="23.7109375" style="283" customWidth="1"/>
    <col min="11523" max="11523" width="30.7109375" style="283" customWidth="1"/>
    <col min="11524" max="11776" width="8.85546875" style="283"/>
    <col min="11777" max="11777" width="14.5703125" style="283" customWidth="1"/>
    <col min="11778" max="11778" width="23.7109375" style="283" customWidth="1"/>
    <col min="11779" max="11779" width="30.7109375" style="283" customWidth="1"/>
    <col min="11780" max="12032" width="8.85546875" style="283"/>
    <col min="12033" max="12033" width="14.5703125" style="283" customWidth="1"/>
    <col min="12034" max="12034" width="23.7109375" style="283" customWidth="1"/>
    <col min="12035" max="12035" width="30.7109375" style="283" customWidth="1"/>
    <col min="12036" max="12288" width="8.85546875" style="283"/>
    <col min="12289" max="12289" width="14.5703125" style="283" customWidth="1"/>
    <col min="12290" max="12290" width="23.7109375" style="283" customWidth="1"/>
    <col min="12291" max="12291" width="30.7109375" style="283" customWidth="1"/>
    <col min="12292" max="12544" width="8.85546875" style="283"/>
    <col min="12545" max="12545" width="14.5703125" style="283" customWidth="1"/>
    <col min="12546" max="12546" width="23.7109375" style="283" customWidth="1"/>
    <col min="12547" max="12547" width="30.7109375" style="283" customWidth="1"/>
    <col min="12548" max="12800" width="8.85546875" style="283"/>
    <col min="12801" max="12801" width="14.5703125" style="283" customWidth="1"/>
    <col min="12802" max="12802" width="23.7109375" style="283" customWidth="1"/>
    <col min="12803" max="12803" width="30.7109375" style="283" customWidth="1"/>
    <col min="12804" max="13056" width="8.85546875" style="283"/>
    <col min="13057" max="13057" width="14.5703125" style="283" customWidth="1"/>
    <col min="13058" max="13058" width="23.7109375" style="283" customWidth="1"/>
    <col min="13059" max="13059" width="30.7109375" style="283" customWidth="1"/>
    <col min="13060" max="13312" width="8.85546875" style="283"/>
    <col min="13313" max="13313" width="14.5703125" style="283" customWidth="1"/>
    <col min="13314" max="13314" width="23.7109375" style="283" customWidth="1"/>
    <col min="13315" max="13315" width="30.7109375" style="283" customWidth="1"/>
    <col min="13316" max="13568" width="8.85546875" style="283"/>
    <col min="13569" max="13569" width="14.5703125" style="283" customWidth="1"/>
    <col min="13570" max="13570" width="23.7109375" style="283" customWidth="1"/>
    <col min="13571" max="13571" width="30.7109375" style="283" customWidth="1"/>
    <col min="13572" max="13824" width="8.85546875" style="283"/>
    <col min="13825" max="13825" width="14.5703125" style="283" customWidth="1"/>
    <col min="13826" max="13826" width="23.7109375" style="283" customWidth="1"/>
    <col min="13827" max="13827" width="30.7109375" style="283" customWidth="1"/>
    <col min="13828" max="14080" width="8.85546875" style="283"/>
    <col min="14081" max="14081" width="14.5703125" style="283" customWidth="1"/>
    <col min="14082" max="14082" width="23.7109375" style="283" customWidth="1"/>
    <col min="14083" max="14083" width="30.7109375" style="283" customWidth="1"/>
    <col min="14084" max="14336" width="8.85546875" style="283"/>
    <col min="14337" max="14337" width="14.5703125" style="283" customWidth="1"/>
    <col min="14338" max="14338" width="23.7109375" style="283" customWidth="1"/>
    <col min="14339" max="14339" width="30.7109375" style="283" customWidth="1"/>
    <col min="14340" max="14592" width="8.85546875" style="283"/>
    <col min="14593" max="14593" width="14.5703125" style="283" customWidth="1"/>
    <col min="14594" max="14594" width="23.7109375" style="283" customWidth="1"/>
    <col min="14595" max="14595" width="30.7109375" style="283" customWidth="1"/>
    <col min="14596" max="14848" width="8.85546875" style="283"/>
    <col min="14849" max="14849" width="14.5703125" style="283" customWidth="1"/>
    <col min="14850" max="14850" width="23.7109375" style="283" customWidth="1"/>
    <col min="14851" max="14851" width="30.7109375" style="283" customWidth="1"/>
    <col min="14852" max="15104" width="8.85546875" style="283"/>
    <col min="15105" max="15105" width="14.5703125" style="283" customWidth="1"/>
    <col min="15106" max="15106" width="23.7109375" style="283" customWidth="1"/>
    <col min="15107" max="15107" width="30.7109375" style="283" customWidth="1"/>
    <col min="15108" max="15360" width="8.85546875" style="283"/>
    <col min="15361" max="15361" width="14.5703125" style="283" customWidth="1"/>
    <col min="15362" max="15362" width="23.7109375" style="283" customWidth="1"/>
    <col min="15363" max="15363" width="30.7109375" style="283" customWidth="1"/>
    <col min="15364" max="15616" width="8.85546875" style="283"/>
    <col min="15617" max="15617" width="14.5703125" style="283" customWidth="1"/>
    <col min="15618" max="15618" width="23.7109375" style="283" customWidth="1"/>
    <col min="15619" max="15619" width="30.7109375" style="283" customWidth="1"/>
    <col min="15620" max="15872" width="8.85546875" style="283"/>
    <col min="15873" max="15873" width="14.5703125" style="283" customWidth="1"/>
    <col min="15874" max="15874" width="23.7109375" style="283" customWidth="1"/>
    <col min="15875" max="15875" width="30.7109375" style="283" customWidth="1"/>
    <col min="15876" max="16128" width="8.85546875" style="283"/>
    <col min="16129" max="16129" width="14.5703125" style="283" customWidth="1"/>
    <col min="16130" max="16130" width="23.7109375" style="283" customWidth="1"/>
    <col min="16131" max="16131" width="30.7109375" style="283" customWidth="1"/>
    <col min="16132" max="16384" width="8.85546875" style="283"/>
  </cols>
  <sheetData>
    <row r="1" spans="1:5" ht="16.5" x14ac:dyDescent="0.3">
      <c r="A1" s="281" t="s">
        <v>235</v>
      </c>
      <c r="B1" s="281"/>
      <c r="C1" s="281"/>
    </row>
    <row r="2" spans="1:5" ht="15.75" thickBot="1" x14ac:dyDescent="0.3">
      <c r="A2" s="284"/>
      <c r="B2" s="284"/>
    </row>
    <row r="3" spans="1:5" ht="12.75" customHeight="1" x14ac:dyDescent="0.2">
      <c r="A3" s="306" t="s">
        <v>16</v>
      </c>
      <c r="B3" s="307"/>
      <c r="C3" s="288" t="s">
        <v>25</v>
      </c>
    </row>
    <row r="4" spans="1:5" ht="15.75" thickBot="1" x14ac:dyDescent="0.25">
      <c r="A4" s="308" t="s">
        <v>18</v>
      </c>
      <c r="B4" s="309" t="s">
        <v>22</v>
      </c>
      <c r="C4" s="310" t="s">
        <v>26</v>
      </c>
    </row>
    <row r="5" spans="1:5" ht="15.75" thickTop="1" x14ac:dyDescent="0.2">
      <c r="A5" s="311"/>
      <c r="B5" s="312"/>
      <c r="C5" s="313"/>
    </row>
    <row r="6" spans="1:5" ht="28.5" x14ac:dyDescent="0.2">
      <c r="A6" s="441">
        <f>'5-1'!A6:A10</f>
        <v>113</v>
      </c>
      <c r="B6" s="446" t="str">
        <f>'5-1'!B6:B10</f>
        <v>Large Coal-fired Boiler</v>
      </c>
      <c r="C6" s="314" t="s">
        <v>255</v>
      </c>
    </row>
    <row r="7" spans="1:5" ht="28.5" x14ac:dyDescent="0.2">
      <c r="A7" s="445"/>
      <c r="B7" s="447"/>
      <c r="C7" s="314" t="s">
        <v>254</v>
      </c>
    </row>
    <row r="8" spans="1:5" ht="29.25" thickBot="1" x14ac:dyDescent="0.25">
      <c r="A8" s="442"/>
      <c r="B8" s="448"/>
      <c r="C8" s="407" t="s">
        <v>253</v>
      </c>
      <c r="E8" s="283" t="s">
        <v>0</v>
      </c>
    </row>
    <row r="9" spans="1:5" ht="16.5" customHeight="1" x14ac:dyDescent="0.2">
      <c r="A9" s="449">
        <v>3</v>
      </c>
      <c r="B9" s="443" t="s">
        <v>75</v>
      </c>
      <c r="C9" s="316" t="str">
        <f>'5-1'!C11</f>
        <v>ULSD</v>
      </c>
    </row>
    <row r="10" spans="1:5" ht="17.25" customHeight="1" thickBot="1" x14ac:dyDescent="0.25">
      <c r="A10" s="442"/>
      <c r="B10" s="444"/>
      <c r="C10" s="315" t="str">
        <f>'5-1'!C13</f>
        <v>Good Combustion Practices</v>
      </c>
    </row>
    <row r="11" spans="1:5" ht="13.15" customHeight="1" x14ac:dyDescent="0.2">
      <c r="A11" s="449">
        <v>4</v>
      </c>
      <c r="B11" s="443" t="s">
        <v>75</v>
      </c>
      <c r="C11" s="316" t="str">
        <f>'5-1'!C14</f>
        <v>ULSD</v>
      </c>
    </row>
    <row r="12" spans="1:5" ht="17.45" customHeight="1" thickBot="1" x14ac:dyDescent="0.25">
      <c r="A12" s="442"/>
      <c r="B12" s="444"/>
      <c r="C12" s="315" t="s">
        <v>66</v>
      </c>
    </row>
    <row r="13" spans="1:5" ht="17.45" customHeight="1" x14ac:dyDescent="0.2">
      <c r="A13" s="433" t="s">
        <v>246</v>
      </c>
      <c r="B13" s="434" t="s">
        <v>63</v>
      </c>
      <c r="C13" s="317" t="str">
        <f>'5-1'!C14</f>
        <v>ULSD</v>
      </c>
    </row>
    <row r="14" spans="1:5" ht="17.45" customHeight="1" thickBot="1" x14ac:dyDescent="0.25">
      <c r="A14" s="429"/>
      <c r="B14" s="432"/>
      <c r="C14" s="318" t="s">
        <v>66</v>
      </c>
    </row>
    <row r="15" spans="1:5" ht="19.149999999999999" customHeight="1" x14ac:dyDescent="0.2">
      <c r="A15" s="433">
        <v>8</v>
      </c>
      <c r="B15" s="434" t="s">
        <v>65</v>
      </c>
      <c r="C15" s="317" t="s">
        <v>34</v>
      </c>
      <c r="D15" s="283" t="s">
        <v>0</v>
      </c>
    </row>
    <row r="16" spans="1:5" ht="19.149999999999999" customHeight="1" thickBot="1" x14ac:dyDescent="0.25">
      <c r="A16" s="429"/>
      <c r="B16" s="432"/>
      <c r="C16" s="318" t="s">
        <v>66</v>
      </c>
    </row>
    <row r="17" spans="1:3" ht="15" thickBot="1" x14ac:dyDescent="0.25">
      <c r="A17" s="319">
        <v>27</v>
      </c>
      <c r="B17" s="320" t="s">
        <v>69</v>
      </c>
      <c r="C17" s="321" t="s">
        <v>77</v>
      </c>
    </row>
    <row r="18" spans="1:3" s="323" customFormat="1" x14ac:dyDescent="0.2">
      <c r="A18" s="441" t="s">
        <v>68</v>
      </c>
      <c r="B18" s="443" t="s">
        <v>262</v>
      </c>
      <c r="C18" s="314" t="str">
        <f>'5-1'!C23</f>
        <v>ULSD</v>
      </c>
    </row>
    <row r="19" spans="1:3" s="323" customFormat="1" ht="15" thickBot="1" x14ac:dyDescent="0.25">
      <c r="A19" s="442"/>
      <c r="B19" s="444"/>
      <c r="C19" s="407" t="s">
        <v>66</v>
      </c>
    </row>
    <row r="20" spans="1:3" s="323" customFormat="1" x14ac:dyDescent="0.2">
      <c r="B20" s="324"/>
      <c r="C20" s="414"/>
    </row>
    <row r="21" spans="1:3" x14ac:dyDescent="0.2">
      <c r="C21" s="414"/>
    </row>
  </sheetData>
  <mergeCells count="12">
    <mergeCell ref="A18:A19"/>
    <mergeCell ref="B18:B19"/>
    <mergeCell ref="A15:A16"/>
    <mergeCell ref="B15:B16"/>
    <mergeCell ref="A6:A8"/>
    <mergeCell ref="B6:B8"/>
    <mergeCell ref="A9:A10"/>
    <mergeCell ref="B9:B10"/>
    <mergeCell ref="A11:A12"/>
    <mergeCell ref="B11:B12"/>
    <mergeCell ref="A13:A14"/>
    <mergeCell ref="B13:B14"/>
  </mergeCells>
  <printOptions horizontalCentered="1"/>
  <pageMargins left="0.75" right="0.75" top="1" bottom="1" header="0.5" footer="0.5"/>
  <pageSetup scale="97" orientation="portrait" r:id="rId1"/>
  <headerFooter alignWithMargins="0">
    <oddFooter>&amp;L&amp;8UAF
PM&amp;Y2.5 &amp;YSerious NAA BACT Analysis&amp;C&amp;8Page 128&amp;R&amp;8January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view="pageLayout" zoomScaleNormal="100" workbookViewId="0">
      <selection activeCell="C56" sqref="C56"/>
    </sheetView>
  </sheetViews>
  <sheetFormatPr defaultRowHeight="14.25" x14ac:dyDescent="0.2"/>
  <cols>
    <col min="1" max="1" width="13.7109375" style="283" customWidth="1"/>
    <col min="2" max="2" width="24.28515625" style="283" customWidth="1"/>
    <col min="3" max="3" width="28.42578125" style="283" customWidth="1"/>
    <col min="4" max="4" width="18.42578125" style="282" customWidth="1"/>
    <col min="5" max="5" width="18" style="282" customWidth="1"/>
    <col min="6" max="6" width="17.28515625" style="282" customWidth="1"/>
    <col min="7" max="7" width="7.7109375" style="282" customWidth="1"/>
    <col min="8" max="8" width="22.42578125" style="282" customWidth="1"/>
    <col min="9" max="256" width="8.85546875" style="283"/>
    <col min="257" max="257" width="13.7109375" style="283" customWidth="1"/>
    <col min="258" max="258" width="16.28515625" style="283" customWidth="1"/>
    <col min="259" max="259" width="30.7109375" style="283" customWidth="1"/>
    <col min="260" max="260" width="16.28515625" style="283" customWidth="1"/>
    <col min="261" max="261" width="15.85546875" style="283" customWidth="1"/>
    <col min="262" max="262" width="17.28515625" style="283" customWidth="1"/>
    <col min="263" max="264" width="22.42578125" style="283" customWidth="1"/>
    <col min="265" max="512" width="8.85546875" style="283"/>
    <col min="513" max="513" width="13.7109375" style="283" customWidth="1"/>
    <col min="514" max="514" width="16.28515625" style="283" customWidth="1"/>
    <col min="515" max="515" width="30.7109375" style="283" customWidth="1"/>
    <col min="516" max="516" width="16.28515625" style="283" customWidth="1"/>
    <col min="517" max="517" width="15.85546875" style="283" customWidth="1"/>
    <col min="518" max="518" width="17.28515625" style="283" customWidth="1"/>
    <col min="519" max="520" width="22.42578125" style="283" customWidth="1"/>
    <col min="521" max="768" width="8.85546875" style="283"/>
    <col min="769" max="769" width="13.7109375" style="283" customWidth="1"/>
    <col min="770" max="770" width="16.28515625" style="283" customWidth="1"/>
    <col min="771" max="771" width="30.7109375" style="283" customWidth="1"/>
    <col min="772" max="772" width="16.28515625" style="283" customWidth="1"/>
    <col min="773" max="773" width="15.85546875" style="283" customWidth="1"/>
    <col min="774" max="774" width="17.28515625" style="283" customWidth="1"/>
    <col min="775" max="776" width="22.42578125" style="283" customWidth="1"/>
    <col min="777" max="1024" width="8.85546875" style="283"/>
    <col min="1025" max="1025" width="13.7109375" style="283" customWidth="1"/>
    <col min="1026" max="1026" width="16.28515625" style="283" customWidth="1"/>
    <col min="1027" max="1027" width="30.7109375" style="283" customWidth="1"/>
    <col min="1028" max="1028" width="16.28515625" style="283" customWidth="1"/>
    <col min="1029" max="1029" width="15.85546875" style="283" customWidth="1"/>
    <col min="1030" max="1030" width="17.28515625" style="283" customWidth="1"/>
    <col min="1031" max="1032" width="22.42578125" style="283" customWidth="1"/>
    <col min="1033" max="1280" width="8.85546875" style="283"/>
    <col min="1281" max="1281" width="13.7109375" style="283" customWidth="1"/>
    <col min="1282" max="1282" width="16.28515625" style="283" customWidth="1"/>
    <col min="1283" max="1283" width="30.7109375" style="283" customWidth="1"/>
    <col min="1284" max="1284" width="16.28515625" style="283" customWidth="1"/>
    <col min="1285" max="1285" width="15.85546875" style="283" customWidth="1"/>
    <col min="1286" max="1286" width="17.28515625" style="283" customWidth="1"/>
    <col min="1287" max="1288" width="22.42578125" style="283" customWidth="1"/>
    <col min="1289" max="1536" width="8.85546875" style="283"/>
    <col min="1537" max="1537" width="13.7109375" style="283" customWidth="1"/>
    <col min="1538" max="1538" width="16.28515625" style="283" customWidth="1"/>
    <col min="1539" max="1539" width="30.7109375" style="283" customWidth="1"/>
    <col min="1540" max="1540" width="16.28515625" style="283" customWidth="1"/>
    <col min="1541" max="1541" width="15.85546875" style="283" customWidth="1"/>
    <col min="1542" max="1542" width="17.28515625" style="283" customWidth="1"/>
    <col min="1543" max="1544" width="22.42578125" style="283" customWidth="1"/>
    <col min="1545" max="1792" width="8.85546875" style="283"/>
    <col min="1793" max="1793" width="13.7109375" style="283" customWidth="1"/>
    <col min="1794" max="1794" width="16.28515625" style="283" customWidth="1"/>
    <col min="1795" max="1795" width="30.7109375" style="283" customWidth="1"/>
    <col min="1796" max="1796" width="16.28515625" style="283" customWidth="1"/>
    <col min="1797" max="1797" width="15.85546875" style="283" customWidth="1"/>
    <col min="1798" max="1798" width="17.28515625" style="283" customWidth="1"/>
    <col min="1799" max="1800" width="22.42578125" style="283" customWidth="1"/>
    <col min="1801" max="2048" width="8.85546875" style="283"/>
    <col min="2049" max="2049" width="13.7109375" style="283" customWidth="1"/>
    <col min="2050" max="2050" width="16.28515625" style="283" customWidth="1"/>
    <col min="2051" max="2051" width="30.7109375" style="283" customWidth="1"/>
    <col min="2052" max="2052" width="16.28515625" style="283" customWidth="1"/>
    <col min="2053" max="2053" width="15.85546875" style="283" customWidth="1"/>
    <col min="2054" max="2054" width="17.28515625" style="283" customWidth="1"/>
    <col min="2055" max="2056" width="22.42578125" style="283" customWidth="1"/>
    <col min="2057" max="2304" width="8.85546875" style="283"/>
    <col min="2305" max="2305" width="13.7109375" style="283" customWidth="1"/>
    <col min="2306" max="2306" width="16.28515625" style="283" customWidth="1"/>
    <col min="2307" max="2307" width="30.7109375" style="283" customWidth="1"/>
    <col min="2308" max="2308" width="16.28515625" style="283" customWidth="1"/>
    <col min="2309" max="2309" width="15.85546875" style="283" customWidth="1"/>
    <col min="2310" max="2310" width="17.28515625" style="283" customWidth="1"/>
    <col min="2311" max="2312" width="22.42578125" style="283" customWidth="1"/>
    <col min="2313" max="2560" width="8.85546875" style="283"/>
    <col min="2561" max="2561" width="13.7109375" style="283" customWidth="1"/>
    <col min="2562" max="2562" width="16.28515625" style="283" customWidth="1"/>
    <col min="2563" max="2563" width="30.7109375" style="283" customWidth="1"/>
    <col min="2564" max="2564" width="16.28515625" style="283" customWidth="1"/>
    <col min="2565" max="2565" width="15.85546875" style="283" customWidth="1"/>
    <col min="2566" max="2566" width="17.28515625" style="283" customWidth="1"/>
    <col min="2567" max="2568" width="22.42578125" style="283" customWidth="1"/>
    <col min="2569" max="2816" width="8.85546875" style="283"/>
    <col min="2817" max="2817" width="13.7109375" style="283" customWidth="1"/>
    <col min="2818" max="2818" width="16.28515625" style="283" customWidth="1"/>
    <col min="2819" max="2819" width="30.7109375" style="283" customWidth="1"/>
    <col min="2820" max="2820" width="16.28515625" style="283" customWidth="1"/>
    <col min="2821" max="2821" width="15.85546875" style="283" customWidth="1"/>
    <col min="2822" max="2822" width="17.28515625" style="283" customWidth="1"/>
    <col min="2823" max="2824" width="22.42578125" style="283" customWidth="1"/>
    <col min="2825" max="3072" width="8.85546875" style="283"/>
    <col min="3073" max="3073" width="13.7109375" style="283" customWidth="1"/>
    <col min="3074" max="3074" width="16.28515625" style="283" customWidth="1"/>
    <col min="3075" max="3075" width="30.7109375" style="283" customWidth="1"/>
    <col min="3076" max="3076" width="16.28515625" style="283" customWidth="1"/>
    <col min="3077" max="3077" width="15.85546875" style="283" customWidth="1"/>
    <col min="3078" max="3078" width="17.28515625" style="283" customWidth="1"/>
    <col min="3079" max="3080" width="22.42578125" style="283" customWidth="1"/>
    <col min="3081" max="3328" width="8.85546875" style="283"/>
    <col min="3329" max="3329" width="13.7109375" style="283" customWidth="1"/>
    <col min="3330" max="3330" width="16.28515625" style="283" customWidth="1"/>
    <col min="3331" max="3331" width="30.7109375" style="283" customWidth="1"/>
    <col min="3332" max="3332" width="16.28515625" style="283" customWidth="1"/>
    <col min="3333" max="3333" width="15.85546875" style="283" customWidth="1"/>
    <col min="3334" max="3334" width="17.28515625" style="283" customWidth="1"/>
    <col min="3335" max="3336" width="22.42578125" style="283" customWidth="1"/>
    <col min="3337" max="3584" width="8.85546875" style="283"/>
    <col min="3585" max="3585" width="13.7109375" style="283" customWidth="1"/>
    <col min="3586" max="3586" width="16.28515625" style="283" customWidth="1"/>
    <col min="3587" max="3587" width="30.7109375" style="283" customWidth="1"/>
    <col min="3588" max="3588" width="16.28515625" style="283" customWidth="1"/>
    <col min="3589" max="3589" width="15.85546875" style="283" customWidth="1"/>
    <col min="3590" max="3590" width="17.28515625" style="283" customWidth="1"/>
    <col min="3591" max="3592" width="22.42578125" style="283" customWidth="1"/>
    <col min="3593" max="3840" width="8.85546875" style="283"/>
    <col min="3841" max="3841" width="13.7109375" style="283" customWidth="1"/>
    <col min="3842" max="3842" width="16.28515625" style="283" customWidth="1"/>
    <col min="3843" max="3843" width="30.7109375" style="283" customWidth="1"/>
    <col min="3844" max="3844" width="16.28515625" style="283" customWidth="1"/>
    <col min="3845" max="3845" width="15.85546875" style="283" customWidth="1"/>
    <col min="3846" max="3846" width="17.28515625" style="283" customWidth="1"/>
    <col min="3847" max="3848" width="22.42578125" style="283" customWidth="1"/>
    <col min="3849" max="4096" width="8.85546875" style="283"/>
    <col min="4097" max="4097" width="13.7109375" style="283" customWidth="1"/>
    <col min="4098" max="4098" width="16.28515625" style="283" customWidth="1"/>
    <col min="4099" max="4099" width="30.7109375" style="283" customWidth="1"/>
    <col min="4100" max="4100" width="16.28515625" style="283" customWidth="1"/>
    <col min="4101" max="4101" width="15.85546875" style="283" customWidth="1"/>
    <col min="4102" max="4102" width="17.28515625" style="283" customWidth="1"/>
    <col min="4103" max="4104" width="22.42578125" style="283" customWidth="1"/>
    <col min="4105" max="4352" width="8.85546875" style="283"/>
    <col min="4353" max="4353" width="13.7109375" style="283" customWidth="1"/>
    <col min="4354" max="4354" width="16.28515625" style="283" customWidth="1"/>
    <col min="4355" max="4355" width="30.7109375" style="283" customWidth="1"/>
    <col min="4356" max="4356" width="16.28515625" style="283" customWidth="1"/>
    <col min="4357" max="4357" width="15.85546875" style="283" customWidth="1"/>
    <col min="4358" max="4358" width="17.28515625" style="283" customWidth="1"/>
    <col min="4359" max="4360" width="22.42578125" style="283" customWidth="1"/>
    <col min="4361" max="4608" width="8.85546875" style="283"/>
    <col min="4609" max="4609" width="13.7109375" style="283" customWidth="1"/>
    <col min="4610" max="4610" width="16.28515625" style="283" customWidth="1"/>
    <col min="4611" max="4611" width="30.7109375" style="283" customWidth="1"/>
    <col min="4612" max="4612" width="16.28515625" style="283" customWidth="1"/>
    <col min="4613" max="4613" width="15.85546875" style="283" customWidth="1"/>
    <col min="4614" max="4614" width="17.28515625" style="283" customWidth="1"/>
    <col min="4615" max="4616" width="22.42578125" style="283" customWidth="1"/>
    <col min="4617" max="4864" width="8.85546875" style="283"/>
    <col min="4865" max="4865" width="13.7109375" style="283" customWidth="1"/>
    <col min="4866" max="4866" width="16.28515625" style="283" customWidth="1"/>
    <col min="4867" max="4867" width="30.7109375" style="283" customWidth="1"/>
    <col min="4868" max="4868" width="16.28515625" style="283" customWidth="1"/>
    <col min="4869" max="4869" width="15.85546875" style="283" customWidth="1"/>
    <col min="4870" max="4870" width="17.28515625" style="283" customWidth="1"/>
    <col min="4871" max="4872" width="22.42578125" style="283" customWidth="1"/>
    <col min="4873" max="5120" width="8.85546875" style="283"/>
    <col min="5121" max="5121" width="13.7109375" style="283" customWidth="1"/>
    <col min="5122" max="5122" width="16.28515625" style="283" customWidth="1"/>
    <col min="5123" max="5123" width="30.7109375" style="283" customWidth="1"/>
    <col min="5124" max="5124" width="16.28515625" style="283" customWidth="1"/>
    <col min="5125" max="5125" width="15.85546875" style="283" customWidth="1"/>
    <col min="5126" max="5126" width="17.28515625" style="283" customWidth="1"/>
    <col min="5127" max="5128" width="22.42578125" style="283" customWidth="1"/>
    <col min="5129" max="5376" width="8.85546875" style="283"/>
    <col min="5377" max="5377" width="13.7109375" style="283" customWidth="1"/>
    <col min="5378" max="5378" width="16.28515625" style="283" customWidth="1"/>
    <col min="5379" max="5379" width="30.7109375" style="283" customWidth="1"/>
    <col min="5380" max="5380" width="16.28515625" style="283" customWidth="1"/>
    <col min="5381" max="5381" width="15.85546875" style="283" customWidth="1"/>
    <col min="5382" max="5382" width="17.28515625" style="283" customWidth="1"/>
    <col min="5383" max="5384" width="22.42578125" style="283" customWidth="1"/>
    <col min="5385" max="5632" width="8.85546875" style="283"/>
    <col min="5633" max="5633" width="13.7109375" style="283" customWidth="1"/>
    <col min="5634" max="5634" width="16.28515625" style="283" customWidth="1"/>
    <col min="5635" max="5635" width="30.7109375" style="283" customWidth="1"/>
    <col min="5636" max="5636" width="16.28515625" style="283" customWidth="1"/>
    <col min="5637" max="5637" width="15.85546875" style="283" customWidth="1"/>
    <col min="5638" max="5638" width="17.28515625" style="283" customWidth="1"/>
    <col min="5639" max="5640" width="22.42578125" style="283" customWidth="1"/>
    <col min="5641" max="5888" width="8.85546875" style="283"/>
    <col min="5889" max="5889" width="13.7109375" style="283" customWidth="1"/>
    <col min="5890" max="5890" width="16.28515625" style="283" customWidth="1"/>
    <col min="5891" max="5891" width="30.7109375" style="283" customWidth="1"/>
    <col min="5892" max="5892" width="16.28515625" style="283" customWidth="1"/>
    <col min="5893" max="5893" width="15.85546875" style="283" customWidth="1"/>
    <col min="5894" max="5894" width="17.28515625" style="283" customWidth="1"/>
    <col min="5895" max="5896" width="22.42578125" style="283" customWidth="1"/>
    <col min="5897" max="6144" width="8.85546875" style="283"/>
    <col min="6145" max="6145" width="13.7109375" style="283" customWidth="1"/>
    <col min="6146" max="6146" width="16.28515625" style="283" customWidth="1"/>
    <col min="6147" max="6147" width="30.7109375" style="283" customWidth="1"/>
    <col min="6148" max="6148" width="16.28515625" style="283" customWidth="1"/>
    <col min="6149" max="6149" width="15.85546875" style="283" customWidth="1"/>
    <col min="6150" max="6150" width="17.28515625" style="283" customWidth="1"/>
    <col min="6151" max="6152" width="22.42578125" style="283" customWidth="1"/>
    <col min="6153" max="6400" width="8.85546875" style="283"/>
    <col min="6401" max="6401" width="13.7109375" style="283" customWidth="1"/>
    <col min="6402" max="6402" width="16.28515625" style="283" customWidth="1"/>
    <col min="6403" max="6403" width="30.7109375" style="283" customWidth="1"/>
    <col min="6404" max="6404" width="16.28515625" style="283" customWidth="1"/>
    <col min="6405" max="6405" width="15.85546875" style="283" customWidth="1"/>
    <col min="6406" max="6406" width="17.28515625" style="283" customWidth="1"/>
    <col min="6407" max="6408" width="22.42578125" style="283" customWidth="1"/>
    <col min="6409" max="6656" width="8.85546875" style="283"/>
    <col min="6657" max="6657" width="13.7109375" style="283" customWidth="1"/>
    <col min="6658" max="6658" width="16.28515625" style="283" customWidth="1"/>
    <col min="6659" max="6659" width="30.7109375" style="283" customWidth="1"/>
    <col min="6660" max="6660" width="16.28515625" style="283" customWidth="1"/>
    <col min="6661" max="6661" width="15.85546875" style="283" customWidth="1"/>
    <col min="6662" max="6662" width="17.28515625" style="283" customWidth="1"/>
    <col min="6663" max="6664" width="22.42578125" style="283" customWidth="1"/>
    <col min="6665" max="6912" width="8.85546875" style="283"/>
    <col min="6913" max="6913" width="13.7109375" style="283" customWidth="1"/>
    <col min="6914" max="6914" width="16.28515625" style="283" customWidth="1"/>
    <col min="6915" max="6915" width="30.7109375" style="283" customWidth="1"/>
    <col min="6916" max="6916" width="16.28515625" style="283" customWidth="1"/>
    <col min="6917" max="6917" width="15.85546875" style="283" customWidth="1"/>
    <col min="6918" max="6918" width="17.28515625" style="283" customWidth="1"/>
    <col min="6919" max="6920" width="22.42578125" style="283" customWidth="1"/>
    <col min="6921" max="7168" width="8.85546875" style="283"/>
    <col min="7169" max="7169" width="13.7109375" style="283" customWidth="1"/>
    <col min="7170" max="7170" width="16.28515625" style="283" customWidth="1"/>
    <col min="7171" max="7171" width="30.7109375" style="283" customWidth="1"/>
    <col min="7172" max="7172" width="16.28515625" style="283" customWidth="1"/>
    <col min="7173" max="7173" width="15.85546875" style="283" customWidth="1"/>
    <col min="7174" max="7174" width="17.28515625" style="283" customWidth="1"/>
    <col min="7175" max="7176" width="22.42578125" style="283" customWidth="1"/>
    <col min="7177" max="7424" width="8.85546875" style="283"/>
    <col min="7425" max="7425" width="13.7109375" style="283" customWidth="1"/>
    <col min="7426" max="7426" width="16.28515625" style="283" customWidth="1"/>
    <col min="7427" max="7427" width="30.7109375" style="283" customWidth="1"/>
    <col min="7428" max="7428" width="16.28515625" style="283" customWidth="1"/>
    <col min="7429" max="7429" width="15.85546875" style="283" customWidth="1"/>
    <col min="7430" max="7430" width="17.28515625" style="283" customWidth="1"/>
    <col min="7431" max="7432" width="22.42578125" style="283" customWidth="1"/>
    <col min="7433" max="7680" width="8.85546875" style="283"/>
    <col min="7681" max="7681" width="13.7109375" style="283" customWidth="1"/>
    <col min="7682" max="7682" width="16.28515625" style="283" customWidth="1"/>
    <col min="7683" max="7683" width="30.7109375" style="283" customWidth="1"/>
    <col min="7684" max="7684" width="16.28515625" style="283" customWidth="1"/>
    <col min="7685" max="7685" width="15.85546875" style="283" customWidth="1"/>
    <col min="7686" max="7686" width="17.28515625" style="283" customWidth="1"/>
    <col min="7687" max="7688" width="22.42578125" style="283" customWidth="1"/>
    <col min="7689" max="7936" width="8.85546875" style="283"/>
    <col min="7937" max="7937" width="13.7109375" style="283" customWidth="1"/>
    <col min="7938" max="7938" width="16.28515625" style="283" customWidth="1"/>
    <col min="7939" max="7939" width="30.7109375" style="283" customWidth="1"/>
    <col min="7940" max="7940" width="16.28515625" style="283" customWidth="1"/>
    <col min="7941" max="7941" width="15.85546875" style="283" customWidth="1"/>
    <col min="7942" max="7942" width="17.28515625" style="283" customWidth="1"/>
    <col min="7943" max="7944" width="22.42578125" style="283" customWidth="1"/>
    <col min="7945" max="8192" width="8.85546875" style="283"/>
    <col min="8193" max="8193" width="13.7109375" style="283" customWidth="1"/>
    <col min="8194" max="8194" width="16.28515625" style="283" customWidth="1"/>
    <col min="8195" max="8195" width="30.7109375" style="283" customWidth="1"/>
    <col min="8196" max="8196" width="16.28515625" style="283" customWidth="1"/>
    <col min="8197" max="8197" width="15.85546875" style="283" customWidth="1"/>
    <col min="8198" max="8198" width="17.28515625" style="283" customWidth="1"/>
    <col min="8199" max="8200" width="22.42578125" style="283" customWidth="1"/>
    <col min="8201" max="8448" width="8.85546875" style="283"/>
    <col min="8449" max="8449" width="13.7109375" style="283" customWidth="1"/>
    <col min="8450" max="8450" width="16.28515625" style="283" customWidth="1"/>
    <col min="8451" max="8451" width="30.7109375" style="283" customWidth="1"/>
    <col min="8452" max="8452" width="16.28515625" style="283" customWidth="1"/>
    <col min="8453" max="8453" width="15.85546875" style="283" customWidth="1"/>
    <col min="8454" max="8454" width="17.28515625" style="283" customWidth="1"/>
    <col min="8455" max="8456" width="22.42578125" style="283" customWidth="1"/>
    <col min="8457" max="8704" width="8.85546875" style="283"/>
    <col min="8705" max="8705" width="13.7109375" style="283" customWidth="1"/>
    <col min="8706" max="8706" width="16.28515625" style="283" customWidth="1"/>
    <col min="8707" max="8707" width="30.7109375" style="283" customWidth="1"/>
    <col min="8708" max="8708" width="16.28515625" style="283" customWidth="1"/>
    <col min="8709" max="8709" width="15.85546875" style="283" customWidth="1"/>
    <col min="8710" max="8710" width="17.28515625" style="283" customWidth="1"/>
    <col min="8711" max="8712" width="22.42578125" style="283" customWidth="1"/>
    <col min="8713" max="8960" width="8.85546875" style="283"/>
    <col min="8961" max="8961" width="13.7109375" style="283" customWidth="1"/>
    <col min="8962" max="8962" width="16.28515625" style="283" customWidth="1"/>
    <col min="8963" max="8963" width="30.7109375" style="283" customWidth="1"/>
    <col min="8964" max="8964" width="16.28515625" style="283" customWidth="1"/>
    <col min="8965" max="8965" width="15.85546875" style="283" customWidth="1"/>
    <col min="8966" max="8966" width="17.28515625" style="283" customWidth="1"/>
    <col min="8967" max="8968" width="22.42578125" style="283" customWidth="1"/>
    <col min="8969" max="9216" width="8.85546875" style="283"/>
    <col min="9217" max="9217" width="13.7109375" style="283" customWidth="1"/>
    <col min="9218" max="9218" width="16.28515625" style="283" customWidth="1"/>
    <col min="9219" max="9219" width="30.7109375" style="283" customWidth="1"/>
    <col min="9220" max="9220" width="16.28515625" style="283" customWidth="1"/>
    <col min="9221" max="9221" width="15.85546875" style="283" customWidth="1"/>
    <col min="9222" max="9222" width="17.28515625" style="283" customWidth="1"/>
    <col min="9223" max="9224" width="22.42578125" style="283" customWidth="1"/>
    <col min="9225" max="9472" width="8.85546875" style="283"/>
    <col min="9473" max="9473" width="13.7109375" style="283" customWidth="1"/>
    <col min="9474" max="9474" width="16.28515625" style="283" customWidth="1"/>
    <col min="9475" max="9475" width="30.7109375" style="283" customWidth="1"/>
    <col min="9476" max="9476" width="16.28515625" style="283" customWidth="1"/>
    <col min="9477" max="9477" width="15.85546875" style="283" customWidth="1"/>
    <col min="9478" max="9478" width="17.28515625" style="283" customWidth="1"/>
    <col min="9479" max="9480" width="22.42578125" style="283" customWidth="1"/>
    <col min="9481" max="9728" width="8.85546875" style="283"/>
    <col min="9729" max="9729" width="13.7109375" style="283" customWidth="1"/>
    <col min="9730" max="9730" width="16.28515625" style="283" customWidth="1"/>
    <col min="9731" max="9731" width="30.7109375" style="283" customWidth="1"/>
    <col min="9732" max="9732" width="16.28515625" style="283" customWidth="1"/>
    <col min="9733" max="9733" width="15.85546875" style="283" customWidth="1"/>
    <col min="9734" max="9734" width="17.28515625" style="283" customWidth="1"/>
    <col min="9735" max="9736" width="22.42578125" style="283" customWidth="1"/>
    <col min="9737" max="9984" width="8.85546875" style="283"/>
    <col min="9985" max="9985" width="13.7109375" style="283" customWidth="1"/>
    <col min="9986" max="9986" width="16.28515625" style="283" customWidth="1"/>
    <col min="9987" max="9987" width="30.7109375" style="283" customWidth="1"/>
    <col min="9988" max="9988" width="16.28515625" style="283" customWidth="1"/>
    <col min="9989" max="9989" width="15.85546875" style="283" customWidth="1"/>
    <col min="9990" max="9990" width="17.28515625" style="283" customWidth="1"/>
    <col min="9991" max="9992" width="22.42578125" style="283" customWidth="1"/>
    <col min="9993" max="10240" width="8.85546875" style="283"/>
    <col min="10241" max="10241" width="13.7109375" style="283" customWidth="1"/>
    <col min="10242" max="10242" width="16.28515625" style="283" customWidth="1"/>
    <col min="10243" max="10243" width="30.7109375" style="283" customWidth="1"/>
    <col min="10244" max="10244" width="16.28515625" style="283" customWidth="1"/>
    <col min="10245" max="10245" width="15.85546875" style="283" customWidth="1"/>
    <col min="10246" max="10246" width="17.28515625" style="283" customWidth="1"/>
    <col min="10247" max="10248" width="22.42578125" style="283" customWidth="1"/>
    <col min="10249" max="10496" width="8.85546875" style="283"/>
    <col min="10497" max="10497" width="13.7109375" style="283" customWidth="1"/>
    <col min="10498" max="10498" width="16.28515625" style="283" customWidth="1"/>
    <col min="10499" max="10499" width="30.7109375" style="283" customWidth="1"/>
    <col min="10500" max="10500" width="16.28515625" style="283" customWidth="1"/>
    <col min="10501" max="10501" width="15.85546875" style="283" customWidth="1"/>
    <col min="10502" max="10502" width="17.28515625" style="283" customWidth="1"/>
    <col min="10503" max="10504" width="22.42578125" style="283" customWidth="1"/>
    <col min="10505" max="10752" width="8.85546875" style="283"/>
    <col min="10753" max="10753" width="13.7109375" style="283" customWidth="1"/>
    <col min="10754" max="10754" width="16.28515625" style="283" customWidth="1"/>
    <col min="10755" max="10755" width="30.7109375" style="283" customWidth="1"/>
    <col min="10756" max="10756" width="16.28515625" style="283" customWidth="1"/>
    <col min="10757" max="10757" width="15.85546875" style="283" customWidth="1"/>
    <col min="10758" max="10758" width="17.28515625" style="283" customWidth="1"/>
    <col min="10759" max="10760" width="22.42578125" style="283" customWidth="1"/>
    <col min="10761" max="11008" width="8.85546875" style="283"/>
    <col min="11009" max="11009" width="13.7109375" style="283" customWidth="1"/>
    <col min="11010" max="11010" width="16.28515625" style="283" customWidth="1"/>
    <col min="11011" max="11011" width="30.7109375" style="283" customWidth="1"/>
    <col min="11012" max="11012" width="16.28515625" style="283" customWidth="1"/>
    <col min="11013" max="11013" width="15.85546875" style="283" customWidth="1"/>
    <col min="11014" max="11014" width="17.28515625" style="283" customWidth="1"/>
    <col min="11015" max="11016" width="22.42578125" style="283" customWidth="1"/>
    <col min="11017" max="11264" width="8.85546875" style="283"/>
    <col min="11265" max="11265" width="13.7109375" style="283" customWidth="1"/>
    <col min="11266" max="11266" width="16.28515625" style="283" customWidth="1"/>
    <col min="11267" max="11267" width="30.7109375" style="283" customWidth="1"/>
    <col min="11268" max="11268" width="16.28515625" style="283" customWidth="1"/>
    <col min="11269" max="11269" width="15.85546875" style="283" customWidth="1"/>
    <col min="11270" max="11270" width="17.28515625" style="283" customWidth="1"/>
    <col min="11271" max="11272" width="22.42578125" style="283" customWidth="1"/>
    <col min="11273" max="11520" width="8.85546875" style="283"/>
    <col min="11521" max="11521" width="13.7109375" style="283" customWidth="1"/>
    <col min="11522" max="11522" width="16.28515625" style="283" customWidth="1"/>
    <col min="11523" max="11523" width="30.7109375" style="283" customWidth="1"/>
    <col min="11524" max="11524" width="16.28515625" style="283" customWidth="1"/>
    <col min="11525" max="11525" width="15.85546875" style="283" customWidth="1"/>
    <col min="11526" max="11526" width="17.28515625" style="283" customWidth="1"/>
    <col min="11527" max="11528" width="22.42578125" style="283" customWidth="1"/>
    <col min="11529" max="11776" width="8.85546875" style="283"/>
    <col min="11777" max="11777" width="13.7109375" style="283" customWidth="1"/>
    <col min="11778" max="11778" width="16.28515625" style="283" customWidth="1"/>
    <col min="11779" max="11779" width="30.7109375" style="283" customWidth="1"/>
    <col min="11780" max="11780" width="16.28515625" style="283" customWidth="1"/>
    <col min="11781" max="11781" width="15.85546875" style="283" customWidth="1"/>
    <col min="11782" max="11782" width="17.28515625" style="283" customWidth="1"/>
    <col min="11783" max="11784" width="22.42578125" style="283" customWidth="1"/>
    <col min="11785" max="12032" width="8.85546875" style="283"/>
    <col min="12033" max="12033" width="13.7109375" style="283" customWidth="1"/>
    <col min="12034" max="12034" width="16.28515625" style="283" customWidth="1"/>
    <col min="12035" max="12035" width="30.7109375" style="283" customWidth="1"/>
    <col min="12036" max="12036" width="16.28515625" style="283" customWidth="1"/>
    <col min="12037" max="12037" width="15.85546875" style="283" customWidth="1"/>
    <col min="12038" max="12038" width="17.28515625" style="283" customWidth="1"/>
    <col min="12039" max="12040" width="22.42578125" style="283" customWidth="1"/>
    <col min="12041" max="12288" width="8.85546875" style="283"/>
    <col min="12289" max="12289" width="13.7109375" style="283" customWidth="1"/>
    <col min="12290" max="12290" width="16.28515625" style="283" customWidth="1"/>
    <col min="12291" max="12291" width="30.7109375" style="283" customWidth="1"/>
    <col min="12292" max="12292" width="16.28515625" style="283" customWidth="1"/>
    <col min="12293" max="12293" width="15.85546875" style="283" customWidth="1"/>
    <col min="12294" max="12294" width="17.28515625" style="283" customWidth="1"/>
    <col min="12295" max="12296" width="22.42578125" style="283" customWidth="1"/>
    <col min="12297" max="12544" width="8.85546875" style="283"/>
    <col min="12545" max="12545" width="13.7109375" style="283" customWidth="1"/>
    <col min="12546" max="12546" width="16.28515625" style="283" customWidth="1"/>
    <col min="12547" max="12547" width="30.7109375" style="283" customWidth="1"/>
    <col min="12548" max="12548" width="16.28515625" style="283" customWidth="1"/>
    <col min="12549" max="12549" width="15.85546875" style="283" customWidth="1"/>
    <col min="12550" max="12550" width="17.28515625" style="283" customWidth="1"/>
    <col min="12551" max="12552" width="22.42578125" style="283" customWidth="1"/>
    <col min="12553" max="12800" width="8.85546875" style="283"/>
    <col min="12801" max="12801" width="13.7109375" style="283" customWidth="1"/>
    <col min="12802" max="12802" width="16.28515625" style="283" customWidth="1"/>
    <col min="12803" max="12803" width="30.7109375" style="283" customWidth="1"/>
    <col min="12804" max="12804" width="16.28515625" style="283" customWidth="1"/>
    <col min="12805" max="12805" width="15.85546875" style="283" customWidth="1"/>
    <col min="12806" max="12806" width="17.28515625" style="283" customWidth="1"/>
    <col min="12807" max="12808" width="22.42578125" style="283" customWidth="1"/>
    <col min="12809" max="13056" width="8.85546875" style="283"/>
    <col min="13057" max="13057" width="13.7109375" style="283" customWidth="1"/>
    <col min="13058" max="13058" width="16.28515625" style="283" customWidth="1"/>
    <col min="13059" max="13059" width="30.7109375" style="283" customWidth="1"/>
    <col min="13060" max="13060" width="16.28515625" style="283" customWidth="1"/>
    <col min="13061" max="13061" width="15.85546875" style="283" customWidth="1"/>
    <col min="13062" max="13062" width="17.28515625" style="283" customWidth="1"/>
    <col min="13063" max="13064" width="22.42578125" style="283" customWidth="1"/>
    <col min="13065" max="13312" width="8.85546875" style="283"/>
    <col min="13313" max="13313" width="13.7109375" style="283" customWidth="1"/>
    <col min="13314" max="13314" width="16.28515625" style="283" customWidth="1"/>
    <col min="13315" max="13315" width="30.7109375" style="283" customWidth="1"/>
    <col min="13316" max="13316" width="16.28515625" style="283" customWidth="1"/>
    <col min="13317" max="13317" width="15.85546875" style="283" customWidth="1"/>
    <col min="13318" max="13318" width="17.28515625" style="283" customWidth="1"/>
    <col min="13319" max="13320" width="22.42578125" style="283" customWidth="1"/>
    <col min="13321" max="13568" width="8.85546875" style="283"/>
    <col min="13569" max="13569" width="13.7109375" style="283" customWidth="1"/>
    <col min="13570" max="13570" width="16.28515625" style="283" customWidth="1"/>
    <col min="13571" max="13571" width="30.7109375" style="283" customWidth="1"/>
    <col min="13572" max="13572" width="16.28515625" style="283" customWidth="1"/>
    <col min="13573" max="13573" width="15.85546875" style="283" customWidth="1"/>
    <col min="13574" max="13574" width="17.28515625" style="283" customWidth="1"/>
    <col min="13575" max="13576" width="22.42578125" style="283" customWidth="1"/>
    <col min="13577" max="13824" width="8.85546875" style="283"/>
    <col min="13825" max="13825" width="13.7109375" style="283" customWidth="1"/>
    <col min="13826" max="13826" width="16.28515625" style="283" customWidth="1"/>
    <col min="13827" max="13827" width="30.7109375" style="283" customWidth="1"/>
    <col min="13828" max="13828" width="16.28515625" style="283" customWidth="1"/>
    <col min="13829" max="13829" width="15.85546875" style="283" customWidth="1"/>
    <col min="13830" max="13830" width="17.28515625" style="283" customWidth="1"/>
    <col min="13831" max="13832" width="22.42578125" style="283" customWidth="1"/>
    <col min="13833" max="14080" width="8.85546875" style="283"/>
    <col min="14081" max="14081" width="13.7109375" style="283" customWidth="1"/>
    <col min="14082" max="14082" width="16.28515625" style="283" customWidth="1"/>
    <col min="14083" max="14083" width="30.7109375" style="283" customWidth="1"/>
    <col min="14084" max="14084" width="16.28515625" style="283" customWidth="1"/>
    <col min="14085" max="14085" width="15.85546875" style="283" customWidth="1"/>
    <col min="14086" max="14086" width="17.28515625" style="283" customWidth="1"/>
    <col min="14087" max="14088" width="22.42578125" style="283" customWidth="1"/>
    <col min="14089" max="14336" width="8.85546875" style="283"/>
    <col min="14337" max="14337" width="13.7109375" style="283" customWidth="1"/>
    <col min="14338" max="14338" width="16.28515625" style="283" customWidth="1"/>
    <col min="14339" max="14339" width="30.7109375" style="283" customWidth="1"/>
    <col min="14340" max="14340" width="16.28515625" style="283" customWidth="1"/>
    <col min="14341" max="14341" width="15.85546875" style="283" customWidth="1"/>
    <col min="14342" max="14342" width="17.28515625" style="283" customWidth="1"/>
    <col min="14343" max="14344" width="22.42578125" style="283" customWidth="1"/>
    <col min="14345" max="14592" width="8.85546875" style="283"/>
    <col min="14593" max="14593" width="13.7109375" style="283" customWidth="1"/>
    <col min="14594" max="14594" width="16.28515625" style="283" customWidth="1"/>
    <col min="14595" max="14595" width="30.7109375" style="283" customWidth="1"/>
    <col min="14596" max="14596" width="16.28515625" style="283" customWidth="1"/>
    <col min="14597" max="14597" width="15.85546875" style="283" customWidth="1"/>
    <col min="14598" max="14598" width="17.28515625" style="283" customWidth="1"/>
    <col min="14599" max="14600" width="22.42578125" style="283" customWidth="1"/>
    <col min="14601" max="14848" width="8.85546875" style="283"/>
    <col min="14849" max="14849" width="13.7109375" style="283" customWidth="1"/>
    <col min="14850" max="14850" width="16.28515625" style="283" customWidth="1"/>
    <col min="14851" max="14851" width="30.7109375" style="283" customWidth="1"/>
    <col min="14852" max="14852" width="16.28515625" style="283" customWidth="1"/>
    <col min="14853" max="14853" width="15.85546875" style="283" customWidth="1"/>
    <col min="14854" max="14854" width="17.28515625" style="283" customWidth="1"/>
    <col min="14855" max="14856" width="22.42578125" style="283" customWidth="1"/>
    <col min="14857" max="15104" width="8.85546875" style="283"/>
    <col min="15105" max="15105" width="13.7109375" style="283" customWidth="1"/>
    <col min="15106" max="15106" width="16.28515625" style="283" customWidth="1"/>
    <col min="15107" max="15107" width="30.7109375" style="283" customWidth="1"/>
    <col min="15108" max="15108" width="16.28515625" style="283" customWidth="1"/>
    <col min="15109" max="15109" width="15.85546875" style="283" customWidth="1"/>
    <col min="15110" max="15110" width="17.28515625" style="283" customWidth="1"/>
    <col min="15111" max="15112" width="22.42578125" style="283" customWidth="1"/>
    <col min="15113" max="15360" width="8.85546875" style="283"/>
    <col min="15361" max="15361" width="13.7109375" style="283" customWidth="1"/>
    <col min="15362" max="15362" width="16.28515625" style="283" customWidth="1"/>
    <col min="15363" max="15363" width="30.7109375" style="283" customWidth="1"/>
    <col min="15364" max="15364" width="16.28515625" style="283" customWidth="1"/>
    <col min="15365" max="15365" width="15.85546875" style="283" customWidth="1"/>
    <col min="15366" max="15366" width="17.28515625" style="283" customWidth="1"/>
    <col min="15367" max="15368" width="22.42578125" style="283" customWidth="1"/>
    <col min="15369" max="15616" width="8.85546875" style="283"/>
    <col min="15617" max="15617" width="13.7109375" style="283" customWidth="1"/>
    <col min="15618" max="15618" width="16.28515625" style="283" customWidth="1"/>
    <col min="15619" max="15619" width="30.7109375" style="283" customWidth="1"/>
    <col min="15620" max="15620" width="16.28515625" style="283" customWidth="1"/>
    <col min="15621" max="15621" width="15.85546875" style="283" customWidth="1"/>
    <col min="15622" max="15622" width="17.28515625" style="283" customWidth="1"/>
    <col min="15623" max="15624" width="22.42578125" style="283" customWidth="1"/>
    <col min="15625" max="15872" width="8.85546875" style="283"/>
    <col min="15873" max="15873" width="13.7109375" style="283" customWidth="1"/>
    <col min="15874" max="15874" width="16.28515625" style="283" customWidth="1"/>
    <col min="15875" max="15875" width="30.7109375" style="283" customWidth="1"/>
    <col min="15876" max="15876" width="16.28515625" style="283" customWidth="1"/>
    <col min="15877" max="15877" width="15.85546875" style="283" customWidth="1"/>
    <col min="15878" max="15878" width="17.28515625" style="283" customWidth="1"/>
    <col min="15879" max="15880" width="22.42578125" style="283" customWidth="1"/>
    <col min="15881" max="16128" width="8.85546875" style="283"/>
    <col min="16129" max="16129" width="13.7109375" style="283" customWidth="1"/>
    <col min="16130" max="16130" width="16.28515625" style="283" customWidth="1"/>
    <col min="16131" max="16131" width="30.7109375" style="283" customWidth="1"/>
    <col min="16132" max="16132" width="16.28515625" style="283" customWidth="1"/>
    <col min="16133" max="16133" width="15.85546875" style="283" customWidth="1"/>
    <col min="16134" max="16134" width="17.28515625" style="283" customWidth="1"/>
    <col min="16135" max="16136" width="22.42578125" style="283" customWidth="1"/>
    <col min="16137" max="16384" width="8.85546875" style="283"/>
  </cols>
  <sheetData>
    <row r="1" spans="1:8" ht="16.5" x14ac:dyDescent="0.3">
      <c r="A1" s="451" t="s">
        <v>236</v>
      </c>
      <c r="B1" s="451"/>
      <c r="C1" s="451"/>
      <c r="D1" s="451"/>
      <c r="E1" s="451"/>
      <c r="F1" s="451"/>
      <c r="G1" s="283"/>
      <c r="H1" s="283"/>
    </row>
    <row r="2" spans="1:8" ht="15.75" thickBot="1" x14ac:dyDescent="0.3">
      <c r="A2" s="284"/>
      <c r="B2" s="284"/>
      <c r="C2" s="284"/>
      <c r="D2" s="284"/>
    </row>
    <row r="3" spans="1:8" ht="16.5" x14ac:dyDescent="0.2">
      <c r="A3" s="452" t="s">
        <v>16</v>
      </c>
      <c r="B3" s="453"/>
      <c r="C3" s="285" t="s">
        <v>27</v>
      </c>
      <c r="D3" s="286" t="s">
        <v>27</v>
      </c>
      <c r="E3" s="287" t="s">
        <v>237</v>
      </c>
      <c r="F3" s="288" t="s">
        <v>28</v>
      </c>
      <c r="G3" s="283"/>
      <c r="H3" s="283"/>
    </row>
    <row r="4" spans="1:8" ht="15.75" thickBot="1" x14ac:dyDescent="0.25">
      <c r="A4" s="289" t="s">
        <v>18</v>
      </c>
      <c r="B4" s="290" t="s">
        <v>22</v>
      </c>
      <c r="C4" s="291" t="s">
        <v>29</v>
      </c>
      <c r="D4" s="292" t="s">
        <v>30</v>
      </c>
      <c r="E4" s="290" t="s">
        <v>31</v>
      </c>
      <c r="F4" s="293" t="s">
        <v>32</v>
      </c>
      <c r="G4" s="283"/>
      <c r="H4" s="283"/>
    </row>
    <row r="5" spans="1:8" ht="15.75" thickTop="1" x14ac:dyDescent="0.2">
      <c r="A5" s="294" t="s">
        <v>0</v>
      </c>
      <c r="B5" s="295"/>
      <c r="C5" s="296"/>
      <c r="D5" s="297"/>
      <c r="E5" s="296"/>
      <c r="F5" s="298"/>
    </row>
    <row r="6" spans="1:8" ht="28.9" customHeight="1" x14ac:dyDescent="0.2">
      <c r="A6" s="454">
        <v>113</v>
      </c>
      <c r="B6" s="457" t="s">
        <v>70</v>
      </c>
      <c r="C6" s="299" t="str">
        <f>'5-2'!C6</f>
        <v>SDA + (Limestone Injection + Low Sulfur Fuel)</v>
      </c>
      <c r="D6" s="300">
        <v>92</v>
      </c>
      <c r="E6" s="417">
        <f>E$8*(100-D6)/100</f>
        <v>20.712</v>
      </c>
      <c r="F6" s="418">
        <f>E$8-E6</f>
        <v>238.18799999999999</v>
      </c>
      <c r="H6" s="301" t="s">
        <v>0</v>
      </c>
    </row>
    <row r="7" spans="1:8" ht="27.6" customHeight="1" x14ac:dyDescent="0.2">
      <c r="A7" s="455"/>
      <c r="B7" s="457"/>
      <c r="C7" s="299" t="str">
        <f>'5-2'!C7</f>
        <v>DSI + (Limestone Injection + Low Sulfur Fuel)</v>
      </c>
      <c r="D7" s="412">
        <v>75</v>
      </c>
      <c r="E7" s="417">
        <f>E$8*(100-D7)/100</f>
        <v>64.724999999999994</v>
      </c>
      <c r="F7" s="418">
        <f>E$8-E7</f>
        <v>194.17499999999998</v>
      </c>
      <c r="H7" s="301"/>
    </row>
    <row r="8" spans="1:8" ht="28.15" customHeight="1" thickBot="1" x14ac:dyDescent="0.25">
      <c r="A8" s="456"/>
      <c r="B8" s="458"/>
      <c r="C8" s="302" t="str">
        <f>'5-2'!C8</f>
        <v>Limestone Injection + Low Sulfur Fuel</v>
      </c>
      <c r="D8" s="419">
        <v>0</v>
      </c>
      <c r="E8" s="420">
        <v>258.89999999999998</v>
      </c>
      <c r="F8" s="421">
        <f>0</f>
        <v>0</v>
      </c>
    </row>
    <row r="9" spans="1:8" x14ac:dyDescent="0.2">
      <c r="A9" s="454">
        <v>3</v>
      </c>
      <c r="B9" s="459" t="s">
        <v>71</v>
      </c>
      <c r="C9" s="299" t="str">
        <f>'5-2'!C9</f>
        <v>ULSD</v>
      </c>
      <c r="D9" s="300">
        <v>99.7</v>
      </c>
      <c r="E9" s="417">
        <f>E$10*(100-D9)/100</f>
        <v>1.2317999999999885</v>
      </c>
      <c r="F9" s="418">
        <f>E$10-E9</f>
        <v>409.36820000000006</v>
      </c>
    </row>
    <row r="10" spans="1:8" ht="15" thickBot="1" x14ac:dyDescent="0.25">
      <c r="A10" s="456"/>
      <c r="B10" s="458"/>
      <c r="C10" s="302" t="str">
        <f>'5-2'!C10</f>
        <v>Good Combustion Practices</v>
      </c>
      <c r="D10" s="419">
        <v>0</v>
      </c>
      <c r="E10" s="422">
        <v>410.6</v>
      </c>
      <c r="F10" s="421">
        <f>0</f>
        <v>0</v>
      </c>
    </row>
    <row r="11" spans="1:8" ht="17.45" customHeight="1" x14ac:dyDescent="0.2">
      <c r="A11" s="454">
        <v>4</v>
      </c>
      <c r="B11" s="459" t="s">
        <v>72</v>
      </c>
      <c r="C11" s="303" t="s">
        <v>76</v>
      </c>
      <c r="D11" s="300">
        <v>99.7</v>
      </c>
      <c r="E11" s="417">
        <f>E$12*(100-D11)/100</f>
        <v>0.11999999999999886</v>
      </c>
      <c r="F11" s="418">
        <f>E11*D11/(100-D11)</f>
        <v>39.880000000000003</v>
      </c>
    </row>
    <row r="12" spans="1:8" ht="15" thickBot="1" x14ac:dyDescent="0.25">
      <c r="A12" s="456"/>
      <c r="B12" s="458"/>
      <c r="C12" s="302" t="s">
        <v>66</v>
      </c>
      <c r="D12" s="419">
        <v>0</v>
      </c>
      <c r="E12" s="422">
        <v>40</v>
      </c>
      <c r="F12" s="421">
        <f>0</f>
        <v>0</v>
      </c>
    </row>
    <row r="13" spans="1:8" ht="16.899999999999999" customHeight="1" x14ac:dyDescent="0.2">
      <c r="A13" s="460">
        <v>8</v>
      </c>
      <c r="B13" s="462" t="s">
        <v>65</v>
      </c>
      <c r="C13" s="303" t="s">
        <v>76</v>
      </c>
      <c r="D13" s="304">
        <v>99.7</v>
      </c>
      <c r="E13" s="423">
        <f>E$14*(100-D13)/100</f>
        <v>0.11999999999999886</v>
      </c>
      <c r="F13" s="424">
        <f t="shared" ref="F13:F14" si="0">E13*D13/(100-D13)</f>
        <v>39.880000000000003</v>
      </c>
    </row>
    <row r="14" spans="1:8" ht="15" thickBot="1" x14ac:dyDescent="0.25">
      <c r="A14" s="461"/>
      <c r="B14" s="463"/>
      <c r="C14" s="302" t="s">
        <v>66</v>
      </c>
      <c r="D14" s="425">
        <v>0</v>
      </c>
      <c r="E14" s="420">
        <v>40</v>
      </c>
      <c r="F14" s="426">
        <f t="shared" si="0"/>
        <v>0</v>
      </c>
    </row>
    <row r="15" spans="1:8" ht="13.9" customHeight="1" x14ac:dyDescent="0.2">
      <c r="A15" s="450" t="s">
        <v>0</v>
      </c>
      <c r="B15" s="450"/>
      <c r="C15" s="450"/>
      <c r="D15" s="450"/>
      <c r="E15" s="450"/>
      <c r="F15" s="450"/>
    </row>
    <row r="16" spans="1:8" ht="18" customHeight="1" x14ac:dyDescent="0.2">
      <c r="A16" s="331" t="s">
        <v>0</v>
      </c>
      <c r="B16" s="331"/>
      <c r="C16" s="331"/>
      <c r="D16" s="331"/>
      <c r="E16" s="331"/>
      <c r="F16" s="331"/>
    </row>
    <row r="17" spans="1:1" ht="16.5" x14ac:dyDescent="0.2">
      <c r="A17" s="305" t="s">
        <v>0</v>
      </c>
    </row>
  </sheetData>
  <mergeCells count="11">
    <mergeCell ref="A15:F15"/>
    <mergeCell ref="A1:F1"/>
    <mergeCell ref="A3:B3"/>
    <mergeCell ref="A6:A8"/>
    <mergeCell ref="B6:B8"/>
    <mergeCell ref="A9:A10"/>
    <mergeCell ref="B9:B10"/>
    <mergeCell ref="A13:A14"/>
    <mergeCell ref="B13:B14"/>
    <mergeCell ref="A11:A12"/>
    <mergeCell ref="B11:B12"/>
  </mergeCells>
  <printOptions horizontalCentered="1"/>
  <pageMargins left="0.75" right="0.75" top="1" bottom="1" header="0.5" footer="0.5"/>
  <pageSetup scale="60" orientation="portrait" r:id="rId1"/>
  <headerFooter alignWithMargins="0">
    <oddFooter>&amp;L&amp;8UAF
PM&amp;Y2.5&amp;Y Serious NAA BACT Analysis&amp;C&amp;8Page 129&amp;R&amp;8January 2017</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62"/>
  <sheetViews>
    <sheetView zoomScale="90" zoomScaleNormal="90" workbookViewId="0">
      <selection activeCell="E22" sqref="E22"/>
    </sheetView>
  </sheetViews>
  <sheetFormatPr defaultColWidth="8.85546875" defaultRowHeight="15" x14ac:dyDescent="0.25"/>
  <cols>
    <col min="1" max="1" width="2.28515625" style="124" customWidth="1"/>
    <col min="2" max="2" width="5.28515625" style="124" customWidth="1"/>
    <col min="3" max="3" width="6" style="124" customWidth="1"/>
    <col min="4" max="4" width="63.7109375" style="124" customWidth="1"/>
    <col min="5" max="5" width="8.85546875" style="124"/>
    <col min="6" max="6" width="19.28515625" style="124" customWidth="1"/>
    <col min="7" max="7" width="13" style="124" customWidth="1"/>
    <col min="8" max="8" width="24.140625" style="124" customWidth="1"/>
    <col min="9" max="9" width="20.42578125" style="124" customWidth="1"/>
    <col min="10" max="10" width="14.7109375" style="124" customWidth="1"/>
    <col min="11" max="11" width="17.28515625" style="124" customWidth="1"/>
    <col min="12" max="12" width="8.85546875" style="124"/>
    <col min="13" max="13" width="29.85546875" style="124" customWidth="1"/>
    <col min="14" max="16384" width="8.85546875" style="124"/>
  </cols>
  <sheetData>
    <row r="1" spans="2:11" x14ac:dyDescent="0.25">
      <c r="B1" s="468" t="s">
        <v>199</v>
      </c>
      <c r="C1" s="468"/>
      <c r="D1" s="468"/>
      <c r="E1" s="468"/>
      <c r="F1" s="468"/>
      <c r="G1" s="468"/>
      <c r="H1" s="468"/>
      <c r="I1" s="468"/>
      <c r="J1" s="468"/>
      <c r="K1" s="468"/>
    </row>
    <row r="2" spans="2:11" x14ac:dyDescent="0.25">
      <c r="B2" s="468" t="s">
        <v>200</v>
      </c>
      <c r="C2" s="468"/>
      <c r="D2" s="468"/>
      <c r="E2" s="468"/>
      <c r="F2" s="468"/>
      <c r="G2" s="468"/>
      <c r="H2" s="468"/>
      <c r="I2" s="468"/>
      <c r="J2" s="468"/>
      <c r="K2" s="468"/>
    </row>
    <row r="3" spans="2:11" ht="15.75" thickBot="1" x14ac:dyDescent="0.3">
      <c r="J3" s="464" t="s">
        <v>87</v>
      </c>
      <c r="K3" s="464"/>
    </row>
    <row r="4" spans="2:11" ht="19.5" thickTop="1" x14ac:dyDescent="0.3">
      <c r="B4" s="125" t="s">
        <v>88</v>
      </c>
      <c r="C4" s="126"/>
      <c r="D4" s="126"/>
      <c r="E4" s="127"/>
      <c r="F4" s="127"/>
      <c r="G4" s="127"/>
      <c r="H4" s="127"/>
      <c r="I4" s="127"/>
      <c r="J4" s="128" t="s">
        <v>89</v>
      </c>
      <c r="K4" s="129">
        <v>42412</v>
      </c>
    </row>
    <row r="5" spans="2:11" ht="18" x14ac:dyDescent="0.35">
      <c r="B5" s="130" t="s">
        <v>90</v>
      </c>
      <c r="C5" s="131"/>
      <c r="D5" s="405" t="s">
        <v>247</v>
      </c>
      <c r="E5" s="131"/>
      <c r="F5" s="131"/>
      <c r="G5" s="131"/>
      <c r="H5" s="131"/>
      <c r="I5" s="131"/>
      <c r="J5" s="128" t="s">
        <v>91</v>
      </c>
      <c r="K5" s="132" t="s">
        <v>92</v>
      </c>
    </row>
    <row r="6" spans="2:11" x14ac:dyDescent="0.25">
      <c r="B6" s="130"/>
      <c r="C6" s="131"/>
      <c r="D6" s="131"/>
      <c r="E6" s="131"/>
      <c r="F6" s="131"/>
      <c r="G6" s="131"/>
      <c r="H6" s="131"/>
      <c r="I6" s="131"/>
      <c r="J6" s="128" t="s">
        <v>93</v>
      </c>
      <c r="K6" s="132" t="s">
        <v>219</v>
      </c>
    </row>
    <row r="7" spans="2:11" ht="15.75" thickBot="1" x14ac:dyDescent="0.3">
      <c r="B7" s="133"/>
      <c r="C7" s="134"/>
      <c r="D7" s="134"/>
      <c r="E7" s="134"/>
      <c r="F7" s="134"/>
      <c r="G7" s="134"/>
      <c r="H7" s="134"/>
      <c r="I7" s="134"/>
      <c r="J7" s="135" t="s">
        <v>94</v>
      </c>
      <c r="K7" s="136" t="s">
        <v>229</v>
      </c>
    </row>
    <row r="8" spans="2:11" ht="36.75" customHeight="1" thickBot="1" x14ac:dyDescent="0.3">
      <c r="B8" s="465" t="s">
        <v>1</v>
      </c>
      <c r="C8" s="466"/>
      <c r="D8" s="466"/>
      <c r="E8" s="466"/>
      <c r="F8" s="466"/>
      <c r="G8" s="466"/>
      <c r="H8" s="466"/>
      <c r="I8" s="466"/>
      <c r="J8" s="466"/>
      <c r="K8" s="467"/>
    </row>
    <row r="9" spans="2:11" ht="19.5" thickTop="1" x14ac:dyDescent="0.3">
      <c r="B9" s="137" t="s">
        <v>2</v>
      </c>
      <c r="C9" s="138"/>
      <c r="D9" s="138"/>
      <c r="E9" s="139" t="s">
        <v>96</v>
      </c>
      <c r="F9" s="139" t="s">
        <v>97</v>
      </c>
      <c r="G9" s="140" t="s">
        <v>98</v>
      </c>
      <c r="H9" s="141" t="s">
        <v>99</v>
      </c>
      <c r="I9" s="141" t="s">
        <v>100</v>
      </c>
      <c r="J9" s="138"/>
      <c r="K9" s="142"/>
    </row>
    <row r="10" spans="2:11" ht="15.75" x14ac:dyDescent="0.25">
      <c r="B10" s="143"/>
      <c r="C10" s="131"/>
      <c r="D10" s="131"/>
      <c r="E10" s="144"/>
      <c r="F10" s="144"/>
      <c r="G10" s="145"/>
      <c r="H10" s="146"/>
      <c r="I10" s="146"/>
      <c r="J10" s="131"/>
      <c r="K10" s="147"/>
    </row>
    <row r="11" spans="2:11" ht="15.75" x14ac:dyDescent="0.25">
      <c r="B11" s="148" t="s">
        <v>101</v>
      </c>
      <c r="C11" s="149" t="s">
        <v>102</v>
      </c>
      <c r="D11" s="149"/>
      <c r="E11" s="131"/>
      <c r="F11" s="131"/>
      <c r="G11" s="131"/>
      <c r="H11" s="131"/>
      <c r="I11" s="131"/>
      <c r="J11" s="150"/>
      <c r="K11" s="151"/>
    </row>
    <row r="12" spans="2:11" ht="15.75" x14ac:dyDescent="0.25">
      <c r="B12" s="143"/>
      <c r="C12" s="149" t="s">
        <v>103</v>
      </c>
      <c r="D12" s="149" t="s">
        <v>104</v>
      </c>
      <c r="E12" s="131"/>
      <c r="F12" s="131"/>
      <c r="G12" s="131"/>
      <c r="H12" s="131"/>
      <c r="I12" s="131"/>
      <c r="J12" s="152"/>
      <c r="K12" s="153"/>
    </row>
    <row r="13" spans="2:11" x14ac:dyDescent="0.25">
      <c r="B13" s="154"/>
      <c r="C13" s="155"/>
      <c r="D13" s="156" t="s">
        <v>105</v>
      </c>
      <c r="E13" s="157">
        <v>1</v>
      </c>
      <c r="F13" s="158" t="s">
        <v>106</v>
      </c>
      <c r="G13" s="159">
        <v>8000000</v>
      </c>
      <c r="H13" s="160">
        <f>E13*G13</f>
        <v>8000000</v>
      </c>
      <c r="I13" s="160"/>
      <c r="J13" s="161"/>
      <c r="K13" s="162"/>
    </row>
    <row r="14" spans="2:11" x14ac:dyDescent="0.25">
      <c r="B14" s="163"/>
      <c r="C14" s="164"/>
      <c r="D14" s="40" t="s">
        <v>202</v>
      </c>
      <c r="E14" s="166"/>
      <c r="F14" s="166"/>
      <c r="G14" s="167"/>
      <c r="H14" s="168"/>
      <c r="I14" s="168"/>
      <c r="J14" s="169" t="s">
        <v>107</v>
      </c>
      <c r="K14" s="153">
        <f>SUM(H13:H13)</f>
        <v>8000000</v>
      </c>
    </row>
    <row r="15" spans="2:11" ht="15.75" x14ac:dyDescent="0.25">
      <c r="B15" s="163"/>
      <c r="C15" s="170" t="s">
        <v>108</v>
      </c>
      <c r="D15" s="170" t="s">
        <v>109</v>
      </c>
      <c r="E15" s="166"/>
      <c r="F15" s="166"/>
      <c r="G15" s="167"/>
      <c r="H15" s="168"/>
      <c r="I15" s="168"/>
      <c r="J15" s="169"/>
      <c r="K15" s="171"/>
    </row>
    <row r="16" spans="2:11" x14ac:dyDescent="0.25">
      <c r="B16" s="163"/>
      <c r="C16" s="164"/>
      <c r="D16" s="165" t="s">
        <v>110</v>
      </c>
      <c r="E16" s="157"/>
      <c r="F16" s="166" t="s">
        <v>106</v>
      </c>
      <c r="G16" s="157"/>
      <c r="H16" s="160">
        <f>E16*G16</f>
        <v>0</v>
      </c>
      <c r="I16" s="168"/>
      <c r="J16" s="161"/>
      <c r="K16" s="171"/>
    </row>
    <row r="17" spans="2:11" x14ac:dyDescent="0.25">
      <c r="B17" s="172"/>
      <c r="C17" s="173"/>
      <c r="D17" s="174"/>
      <c r="E17" s="175"/>
      <c r="F17" s="175"/>
      <c r="G17" s="174"/>
      <c r="H17" s="176"/>
      <c r="I17" s="176"/>
      <c r="J17" s="169" t="s">
        <v>107</v>
      </c>
      <c r="K17" s="153">
        <f>SUM(H16:H16)</f>
        <v>0</v>
      </c>
    </row>
    <row r="18" spans="2:11" ht="15.75" x14ac:dyDescent="0.25">
      <c r="B18" s="154"/>
      <c r="C18" s="149" t="s">
        <v>111</v>
      </c>
      <c r="D18" s="149" t="s">
        <v>112</v>
      </c>
      <c r="E18" s="158"/>
      <c r="F18" s="158"/>
      <c r="G18" s="131"/>
      <c r="H18" s="160"/>
      <c r="I18" s="160"/>
      <c r="J18" s="161"/>
      <c r="K18" s="171"/>
    </row>
    <row r="19" spans="2:11" x14ac:dyDescent="0.25">
      <c r="B19" s="154"/>
      <c r="C19" s="155"/>
      <c r="D19" s="156" t="s">
        <v>113</v>
      </c>
      <c r="E19" s="157"/>
      <c r="F19" s="158" t="s">
        <v>114</v>
      </c>
      <c r="G19" s="177"/>
      <c r="H19" s="160"/>
      <c r="I19" s="160">
        <f>G19*G13</f>
        <v>0</v>
      </c>
      <c r="J19" s="161"/>
      <c r="K19" s="171"/>
    </row>
    <row r="20" spans="2:11" x14ac:dyDescent="0.25">
      <c r="B20" s="178"/>
      <c r="C20" s="165"/>
      <c r="D20" s="165"/>
      <c r="E20" s="179"/>
      <c r="F20" s="179"/>
      <c r="G20" s="165"/>
      <c r="H20" s="180"/>
      <c r="I20" s="180"/>
      <c r="J20" s="169" t="s">
        <v>107</v>
      </c>
      <c r="K20" s="153">
        <f>SUM(I19:I19)</f>
        <v>0</v>
      </c>
    </row>
    <row r="21" spans="2:11" ht="15.75" x14ac:dyDescent="0.25">
      <c r="B21" s="154"/>
      <c r="C21" s="149" t="s">
        <v>115</v>
      </c>
      <c r="D21" s="149" t="s">
        <v>116</v>
      </c>
      <c r="E21" s="158"/>
      <c r="F21" s="158"/>
      <c r="G21" s="131"/>
      <c r="H21" s="160"/>
      <c r="I21" s="160"/>
      <c r="J21" s="161"/>
      <c r="K21" s="171"/>
    </row>
    <row r="22" spans="2:11" x14ac:dyDescent="0.25">
      <c r="B22" s="181"/>
      <c r="C22" s="156"/>
      <c r="D22" s="165" t="s">
        <v>117</v>
      </c>
      <c r="E22" s="182"/>
      <c r="F22" s="183" t="s">
        <v>118</v>
      </c>
      <c r="G22" s="184"/>
      <c r="H22" s="185"/>
      <c r="I22" s="185">
        <f>E22*G22</f>
        <v>0</v>
      </c>
      <c r="J22" s="186"/>
      <c r="K22" s="187"/>
    </row>
    <row r="23" spans="2:11" x14ac:dyDescent="0.25">
      <c r="B23" s="181"/>
      <c r="C23" s="156"/>
      <c r="D23" s="165" t="s">
        <v>119</v>
      </c>
      <c r="E23" s="182"/>
      <c r="F23" s="183" t="s">
        <v>118</v>
      </c>
      <c r="G23" s="184"/>
      <c r="H23" s="185"/>
      <c r="I23" s="185">
        <f>E23*G23</f>
        <v>0</v>
      </c>
      <c r="J23" s="186"/>
      <c r="K23" s="187"/>
    </row>
    <row r="24" spans="2:11" x14ac:dyDescent="0.25">
      <c r="B24" s="178"/>
      <c r="C24" s="165"/>
      <c r="D24" s="165"/>
      <c r="E24" s="179"/>
      <c r="F24" s="179"/>
      <c r="G24" s="165"/>
      <c r="H24" s="180"/>
      <c r="I24" s="180"/>
      <c r="J24" s="169" t="s">
        <v>107</v>
      </c>
      <c r="K24" s="153">
        <f>SUM(I22:I23)</f>
        <v>0</v>
      </c>
    </row>
    <row r="25" spans="2:11" ht="15.75" x14ac:dyDescent="0.25">
      <c r="B25" s="154"/>
      <c r="C25" s="149" t="s">
        <v>120</v>
      </c>
      <c r="D25" s="149" t="s">
        <v>121</v>
      </c>
      <c r="E25" s="158"/>
      <c r="F25" s="158"/>
      <c r="G25" s="131"/>
      <c r="H25" s="160"/>
      <c r="I25" s="160"/>
      <c r="J25" s="161"/>
      <c r="K25" s="171"/>
    </row>
    <row r="26" spans="2:11" x14ac:dyDescent="0.25">
      <c r="B26" s="154"/>
      <c r="C26" s="155"/>
      <c r="D26" s="156" t="s">
        <v>122</v>
      </c>
      <c r="E26" s="182"/>
      <c r="F26" s="183" t="s">
        <v>123</v>
      </c>
      <c r="G26" s="182"/>
      <c r="H26" s="185"/>
      <c r="I26" s="185">
        <f>G26*E26</f>
        <v>0</v>
      </c>
      <c r="J26" s="161"/>
      <c r="K26" s="171"/>
    </row>
    <row r="27" spans="2:11" x14ac:dyDescent="0.25">
      <c r="B27" s="154"/>
      <c r="C27" s="155"/>
      <c r="D27" s="156" t="s">
        <v>124</v>
      </c>
      <c r="E27" s="182"/>
      <c r="F27" s="183" t="s">
        <v>123</v>
      </c>
      <c r="G27" s="182"/>
      <c r="H27" s="185"/>
      <c r="I27" s="185">
        <f>G27*E27</f>
        <v>0</v>
      </c>
      <c r="J27" s="161"/>
      <c r="K27" s="171"/>
    </row>
    <row r="28" spans="2:11" x14ac:dyDescent="0.25">
      <c r="B28" s="154"/>
      <c r="C28" s="155"/>
      <c r="D28" s="155"/>
      <c r="E28" s="183"/>
      <c r="F28" s="183"/>
      <c r="G28" s="156"/>
      <c r="H28" s="185"/>
      <c r="I28" s="185"/>
      <c r="J28" s="169" t="s">
        <v>107</v>
      </c>
      <c r="K28" s="153">
        <f>SUM(I26:I27)</f>
        <v>0</v>
      </c>
    </row>
    <row r="29" spans="2:11" ht="15.75" x14ac:dyDescent="0.25">
      <c r="B29" s="188" t="s">
        <v>125</v>
      </c>
      <c r="C29" s="189"/>
      <c r="D29" s="189"/>
      <c r="E29" s="190" t="s">
        <v>126</v>
      </c>
      <c r="F29" s="191"/>
      <c r="G29" s="192"/>
      <c r="H29" s="193"/>
      <c r="I29" s="193"/>
      <c r="J29" s="194" t="s">
        <v>127</v>
      </c>
      <c r="K29" s="195">
        <f>K14+K17+K20+K24+K28</f>
        <v>8000000</v>
      </c>
    </row>
    <row r="30" spans="2:11" ht="15.75" x14ac:dyDescent="0.25">
      <c r="B30" s="196"/>
      <c r="C30" s="197"/>
      <c r="D30" s="197"/>
      <c r="E30" s="158"/>
      <c r="F30" s="158"/>
      <c r="G30" s="131"/>
      <c r="H30" s="160"/>
      <c r="I30" s="160"/>
      <c r="J30" s="198"/>
      <c r="K30" s="171"/>
    </row>
    <row r="31" spans="2:11" ht="15.75" x14ac:dyDescent="0.25">
      <c r="B31" s="148" t="s">
        <v>128</v>
      </c>
      <c r="C31" s="149" t="s">
        <v>129</v>
      </c>
      <c r="D31" s="149"/>
      <c r="E31" s="158"/>
      <c r="F31" s="158"/>
      <c r="G31" s="131"/>
      <c r="H31" s="160"/>
      <c r="I31" s="160"/>
      <c r="J31" s="198"/>
      <c r="K31" s="171"/>
    </row>
    <row r="32" spans="2:11" ht="15.75" x14ac:dyDescent="0.25">
      <c r="B32" s="143"/>
      <c r="C32" s="149" t="s">
        <v>103</v>
      </c>
      <c r="D32" s="149" t="s">
        <v>130</v>
      </c>
      <c r="E32" s="182"/>
      <c r="F32" s="158" t="s">
        <v>131</v>
      </c>
      <c r="G32" s="182"/>
      <c r="H32" s="160">
        <f>E32*G32</f>
        <v>0</v>
      </c>
      <c r="I32" s="160"/>
      <c r="J32" s="161"/>
      <c r="K32" s="171">
        <f>H32+I32</f>
        <v>0</v>
      </c>
    </row>
    <row r="33" spans="2:11" ht="15.75" x14ac:dyDescent="0.25">
      <c r="B33" s="143"/>
      <c r="C33" s="149" t="s">
        <v>108</v>
      </c>
      <c r="D33" s="149" t="s">
        <v>132</v>
      </c>
      <c r="E33" s="182"/>
      <c r="F33" s="158" t="s">
        <v>133</v>
      </c>
      <c r="G33" s="182"/>
      <c r="H33" s="160">
        <f t="shared" ref="H33:H38" si="0">E33*G33</f>
        <v>0</v>
      </c>
      <c r="I33" s="160"/>
      <c r="J33" s="161"/>
      <c r="K33" s="171">
        <f t="shared" ref="K33:K42" si="1">H33+I33</f>
        <v>0</v>
      </c>
    </row>
    <row r="34" spans="2:11" ht="15.75" x14ac:dyDescent="0.25">
      <c r="B34" s="143"/>
      <c r="C34" s="149" t="s">
        <v>111</v>
      </c>
      <c r="D34" s="149" t="s">
        <v>134</v>
      </c>
      <c r="E34" s="182"/>
      <c r="F34" s="158" t="s">
        <v>133</v>
      </c>
      <c r="G34" s="182"/>
      <c r="H34" s="160">
        <f t="shared" si="0"/>
        <v>0</v>
      </c>
      <c r="I34" s="160"/>
      <c r="J34" s="161"/>
      <c r="K34" s="171">
        <f t="shared" si="1"/>
        <v>0</v>
      </c>
    </row>
    <row r="35" spans="2:11" ht="15.75" x14ac:dyDescent="0.25">
      <c r="B35" s="143"/>
      <c r="C35" s="149" t="s">
        <v>115</v>
      </c>
      <c r="D35" s="149" t="s">
        <v>135</v>
      </c>
      <c r="E35" s="182"/>
      <c r="F35" s="158" t="s">
        <v>136</v>
      </c>
      <c r="G35" s="182"/>
      <c r="H35" s="160">
        <f t="shared" si="0"/>
        <v>0</v>
      </c>
      <c r="I35" s="160"/>
      <c r="J35" s="161"/>
      <c r="K35" s="171">
        <f t="shared" si="1"/>
        <v>0</v>
      </c>
    </row>
    <row r="36" spans="2:11" ht="15.75" x14ac:dyDescent="0.25">
      <c r="B36" s="143"/>
      <c r="C36" s="149" t="s">
        <v>137</v>
      </c>
      <c r="D36" s="149" t="s">
        <v>138</v>
      </c>
      <c r="E36" s="182"/>
      <c r="F36" s="158" t="s">
        <v>139</v>
      </c>
      <c r="G36" s="182"/>
      <c r="H36" s="160">
        <f t="shared" si="0"/>
        <v>0</v>
      </c>
      <c r="I36" s="160"/>
      <c r="J36" s="161"/>
      <c r="K36" s="171">
        <f t="shared" si="1"/>
        <v>0</v>
      </c>
    </row>
    <row r="37" spans="2:11" ht="15.75" x14ac:dyDescent="0.25">
      <c r="B37" s="143"/>
      <c r="C37" s="149" t="s">
        <v>140</v>
      </c>
      <c r="D37" s="149" t="s">
        <v>141</v>
      </c>
      <c r="E37" s="182"/>
      <c r="F37" s="158" t="s">
        <v>136</v>
      </c>
      <c r="G37" s="182"/>
      <c r="H37" s="160">
        <f t="shared" si="0"/>
        <v>0</v>
      </c>
      <c r="I37" s="160"/>
      <c r="J37" s="161"/>
      <c r="K37" s="171">
        <f t="shared" si="1"/>
        <v>0</v>
      </c>
    </row>
    <row r="38" spans="2:11" ht="15.75" x14ac:dyDescent="0.25">
      <c r="B38" s="143"/>
      <c r="C38" s="149" t="s">
        <v>142</v>
      </c>
      <c r="D38" s="149" t="s">
        <v>143</v>
      </c>
      <c r="E38" s="182"/>
      <c r="F38" s="158" t="s">
        <v>144</v>
      </c>
      <c r="G38" s="182"/>
      <c r="H38" s="160">
        <f t="shared" si="0"/>
        <v>0</v>
      </c>
      <c r="I38" s="160"/>
      <c r="J38" s="161"/>
      <c r="K38" s="171">
        <f t="shared" si="1"/>
        <v>0</v>
      </c>
    </row>
    <row r="39" spans="2:11" ht="15.75" x14ac:dyDescent="0.25">
      <c r="B39" s="143"/>
      <c r="C39" s="149" t="s">
        <v>145</v>
      </c>
      <c r="D39" s="149" t="s">
        <v>146</v>
      </c>
      <c r="E39" s="158"/>
      <c r="F39" s="158"/>
      <c r="G39" s="198"/>
      <c r="H39" s="160"/>
      <c r="I39" s="160"/>
      <c r="J39" s="161"/>
      <c r="K39" s="171"/>
    </row>
    <row r="40" spans="2:11" ht="15.75" x14ac:dyDescent="0.25">
      <c r="B40" s="143"/>
      <c r="C40" s="149"/>
      <c r="D40" s="197" t="s">
        <v>147</v>
      </c>
      <c r="F40" s="128" t="s">
        <v>148</v>
      </c>
      <c r="G40" s="177"/>
      <c r="H40" s="199"/>
      <c r="I40" s="160">
        <f>G40*I22</f>
        <v>0</v>
      </c>
      <c r="J40" s="161"/>
      <c r="K40" s="171">
        <f t="shared" si="1"/>
        <v>0</v>
      </c>
    </row>
    <row r="41" spans="2:11" ht="15.75" x14ac:dyDescent="0.25">
      <c r="B41" s="143"/>
      <c r="C41" s="149"/>
      <c r="D41" s="197" t="s">
        <v>260</v>
      </c>
      <c r="F41" s="128" t="s">
        <v>149</v>
      </c>
      <c r="G41" s="177"/>
      <c r="H41" s="199"/>
      <c r="I41" s="160">
        <f>G41*I23</f>
        <v>0</v>
      </c>
      <c r="J41" s="161"/>
      <c r="K41" s="171">
        <f t="shared" si="1"/>
        <v>0</v>
      </c>
    </row>
    <row r="42" spans="2:11" ht="15.75" x14ac:dyDescent="0.25">
      <c r="B42" s="143"/>
      <c r="C42" s="149"/>
      <c r="D42" s="197" t="s">
        <v>150</v>
      </c>
      <c r="F42" s="128" t="s">
        <v>151</v>
      </c>
      <c r="G42" s="177"/>
      <c r="H42" s="160"/>
      <c r="I42" s="160">
        <f>G42*K14</f>
        <v>0</v>
      </c>
      <c r="J42" s="161"/>
      <c r="K42" s="171">
        <f t="shared" si="1"/>
        <v>0</v>
      </c>
    </row>
    <row r="43" spans="2:11" ht="15.75" x14ac:dyDescent="0.25">
      <c r="B43" s="188" t="s">
        <v>152</v>
      </c>
      <c r="C43" s="200"/>
      <c r="D43" s="200"/>
      <c r="E43" s="201"/>
      <c r="F43" s="201"/>
      <c r="G43" s="202"/>
      <c r="H43" s="203"/>
      <c r="I43" s="203"/>
      <c r="J43" s="194" t="s">
        <v>153</v>
      </c>
      <c r="K43" s="195">
        <f>K29*0.5</f>
        <v>4000000</v>
      </c>
    </row>
    <row r="44" spans="2:11" ht="15.75" x14ac:dyDescent="0.25">
      <c r="B44" s="196"/>
      <c r="C44" s="197"/>
      <c r="D44" s="197"/>
      <c r="E44" s="131"/>
      <c r="F44" s="131"/>
      <c r="G44" s="131"/>
      <c r="H44" s="198"/>
      <c r="I44" s="198"/>
      <c r="J44" s="198"/>
      <c r="K44" s="171"/>
    </row>
    <row r="45" spans="2:11" ht="15.75" x14ac:dyDescent="0.25">
      <c r="B45" s="196"/>
      <c r="C45" s="197"/>
      <c r="D45" s="197"/>
      <c r="E45" s="131"/>
      <c r="F45" s="131"/>
      <c r="G45" s="131"/>
      <c r="H45" s="198"/>
      <c r="I45" s="198"/>
      <c r="J45" s="198"/>
      <c r="K45" s="171"/>
    </row>
    <row r="46" spans="2:11" ht="15.75" x14ac:dyDescent="0.25">
      <c r="B46" s="188" t="s">
        <v>4</v>
      </c>
      <c r="C46" s="204"/>
      <c r="D46" s="204"/>
      <c r="E46" s="202"/>
      <c r="F46" s="202"/>
      <c r="G46" s="202"/>
      <c r="H46" s="205"/>
      <c r="I46" s="205"/>
      <c r="J46" s="194" t="s">
        <v>154</v>
      </c>
      <c r="K46" s="195">
        <f>+K29+K43</f>
        <v>12000000</v>
      </c>
    </row>
    <row r="47" spans="2:11" ht="15.75" x14ac:dyDescent="0.25">
      <c r="B47" s="143"/>
      <c r="C47" s="197"/>
      <c r="D47" s="197"/>
      <c r="E47" s="131"/>
      <c r="F47" s="131"/>
      <c r="G47" s="155"/>
      <c r="H47" s="198"/>
      <c r="I47" s="198"/>
      <c r="J47" s="198"/>
      <c r="K47" s="162"/>
    </row>
    <row r="48" spans="2:11" ht="15.75" x14ac:dyDescent="0.25">
      <c r="B48" s="196"/>
      <c r="C48" s="197"/>
      <c r="D48" s="197"/>
      <c r="E48" s="131"/>
      <c r="F48" s="131"/>
      <c r="G48" s="131"/>
      <c r="H48" s="198"/>
      <c r="I48" s="198"/>
      <c r="J48" s="198"/>
      <c r="K48" s="162"/>
    </row>
    <row r="49" spans="2:11" ht="15.75" x14ac:dyDescent="0.25">
      <c r="B49" s="143" t="s">
        <v>5</v>
      </c>
      <c r="C49" s="197"/>
      <c r="D49" s="197"/>
      <c r="E49" s="131"/>
      <c r="F49" s="131"/>
      <c r="G49" s="131"/>
      <c r="H49" s="198"/>
      <c r="I49" s="198"/>
      <c r="J49" s="198"/>
      <c r="K49" s="162"/>
    </row>
    <row r="50" spans="2:11" ht="15.75" x14ac:dyDescent="0.25">
      <c r="B50" s="206" t="s">
        <v>155</v>
      </c>
      <c r="C50" s="197" t="s">
        <v>156</v>
      </c>
      <c r="D50" s="197"/>
      <c r="E50" s="177">
        <v>0.1</v>
      </c>
      <c r="F50" s="158" t="s">
        <v>157</v>
      </c>
      <c r="G50" s="207"/>
      <c r="H50" s="198"/>
      <c r="I50" s="160">
        <f>E50*K46</f>
        <v>1200000</v>
      </c>
      <c r="J50" s="161"/>
      <c r="K50" s="162"/>
    </row>
    <row r="51" spans="2:11" ht="15.75" x14ac:dyDescent="0.25">
      <c r="B51" s="206" t="s">
        <v>158</v>
      </c>
      <c r="C51" s="197" t="s">
        <v>159</v>
      </c>
      <c r="D51" s="197"/>
      <c r="E51" s="182"/>
      <c r="F51" s="158" t="s">
        <v>106</v>
      </c>
      <c r="G51" s="182"/>
      <c r="H51" s="198"/>
      <c r="I51" s="160"/>
      <c r="J51" s="161"/>
      <c r="K51" s="208" t="s">
        <v>163</v>
      </c>
    </row>
    <row r="52" spans="2:11" ht="15.75" x14ac:dyDescent="0.25">
      <c r="B52" s="188" t="s">
        <v>6</v>
      </c>
      <c r="C52" s="204"/>
      <c r="D52" s="204"/>
      <c r="E52" s="202"/>
      <c r="F52" s="201"/>
      <c r="G52" s="202"/>
      <c r="H52" s="205"/>
      <c r="I52" s="203"/>
      <c r="J52" s="194" t="s">
        <v>160</v>
      </c>
      <c r="K52" s="195">
        <f>SUM(I50:I51)</f>
        <v>1200000</v>
      </c>
    </row>
    <row r="53" spans="2:11" ht="15.75" x14ac:dyDescent="0.25">
      <c r="B53" s="143"/>
      <c r="C53" s="197"/>
      <c r="D53" s="197"/>
      <c r="E53" s="131"/>
      <c r="F53" s="158"/>
      <c r="G53" s="131"/>
      <c r="H53" s="198"/>
      <c r="I53" s="160"/>
      <c r="J53" s="209"/>
      <c r="K53" s="162"/>
    </row>
    <row r="54" spans="2:11" ht="15.75" x14ac:dyDescent="0.25">
      <c r="B54" s="196"/>
      <c r="C54" s="197"/>
      <c r="D54" s="197"/>
      <c r="E54" s="131"/>
      <c r="F54" s="158"/>
      <c r="G54" s="131"/>
      <c r="H54" s="198"/>
      <c r="I54" s="160"/>
      <c r="J54" s="198"/>
      <c r="K54" s="162"/>
    </row>
    <row r="55" spans="2:11" ht="15.75" x14ac:dyDescent="0.25">
      <c r="B55" s="143" t="s">
        <v>7</v>
      </c>
      <c r="C55" s="197"/>
      <c r="D55" s="197"/>
      <c r="E55" s="131"/>
      <c r="F55" s="158"/>
      <c r="G55" s="131"/>
      <c r="H55" s="198"/>
      <c r="I55" s="160"/>
      <c r="J55" s="198"/>
      <c r="K55" s="162"/>
    </row>
    <row r="56" spans="2:11" ht="15.75" x14ac:dyDescent="0.25">
      <c r="B56" s="206" t="s">
        <v>161</v>
      </c>
      <c r="C56" s="197" t="s">
        <v>162</v>
      </c>
      <c r="D56" s="197"/>
      <c r="E56" s="131"/>
      <c r="F56" s="158" t="s">
        <v>157</v>
      </c>
      <c r="G56" s="131"/>
      <c r="H56" s="198"/>
      <c r="I56" s="160"/>
      <c r="J56" s="161"/>
      <c r="K56" s="208" t="s">
        <v>163</v>
      </c>
    </row>
    <row r="57" spans="2:11" ht="15.75" x14ac:dyDescent="0.25">
      <c r="B57" s="206" t="s">
        <v>164</v>
      </c>
      <c r="C57" s="197" t="s">
        <v>165</v>
      </c>
      <c r="D57" s="197"/>
      <c r="E57" s="210">
        <v>0.2</v>
      </c>
      <c r="F57" s="158" t="s">
        <v>157</v>
      </c>
      <c r="G57" s="207"/>
      <c r="H57" s="198"/>
      <c r="I57" s="160">
        <f>E57*K46</f>
        <v>2400000</v>
      </c>
      <c r="J57" s="161"/>
      <c r="K57" s="162"/>
    </row>
    <row r="58" spans="2:11" ht="15.75" x14ac:dyDescent="0.25">
      <c r="B58" s="188" t="s">
        <v>8</v>
      </c>
      <c r="C58" s="211"/>
      <c r="D58" s="211"/>
      <c r="E58" s="212"/>
      <c r="F58" s="212"/>
      <c r="G58" s="212"/>
      <c r="H58" s="213"/>
      <c r="I58" s="213"/>
      <c r="J58" s="194" t="s">
        <v>166</v>
      </c>
      <c r="K58" s="214">
        <f>SUM(I56:I57)</f>
        <v>2400000</v>
      </c>
    </row>
    <row r="59" spans="2:11" ht="15.75" x14ac:dyDescent="0.25">
      <c r="B59" s="143"/>
      <c r="C59" s="197"/>
      <c r="D59" s="197"/>
      <c r="E59" s="131"/>
      <c r="F59" s="131"/>
      <c r="G59" s="131"/>
      <c r="H59" s="198"/>
      <c r="I59" s="198"/>
      <c r="J59" s="209"/>
      <c r="K59" s="162"/>
    </row>
    <row r="60" spans="2:11" ht="15.75" x14ac:dyDescent="0.25">
      <c r="B60" s="196"/>
      <c r="C60" s="197"/>
      <c r="D60" s="197"/>
      <c r="E60" s="131"/>
      <c r="F60" s="131"/>
      <c r="G60" s="131"/>
      <c r="H60" s="198"/>
      <c r="I60" s="198"/>
      <c r="J60" s="198"/>
      <c r="K60" s="162"/>
    </row>
    <row r="61" spans="2:11" ht="34.5" customHeight="1" thickBot="1" x14ac:dyDescent="0.35">
      <c r="B61" s="215" t="s">
        <v>9</v>
      </c>
      <c r="C61" s="216"/>
      <c r="D61" s="216"/>
      <c r="E61" s="216"/>
      <c r="F61" s="216"/>
      <c r="G61" s="217"/>
      <c r="H61" s="218"/>
      <c r="I61" s="219"/>
      <c r="J61" s="220" t="s">
        <v>167</v>
      </c>
      <c r="K61" s="221">
        <f>K46+K52+K58</f>
        <v>15600000</v>
      </c>
    </row>
    <row r="62" spans="2:11" ht="15.75" thickTop="1" x14ac:dyDescent="0.25"/>
  </sheetData>
  <mergeCells count="4">
    <mergeCell ref="J3:K3"/>
    <mergeCell ref="B8:K8"/>
    <mergeCell ref="B1:K1"/>
    <mergeCell ref="B2:K2"/>
  </mergeCells>
  <printOptions horizontalCentered="1"/>
  <pageMargins left="0.75" right="0.75" top="1" bottom="1" header="0.5" footer="0.5"/>
  <pageSetup scale="46" orientation="portrait" r:id="rId1"/>
  <headerFooter alignWithMargins="0">
    <oddFooter>&amp;L&amp;8UAF
PM&amp;Y2.5&amp;Y Serious NAA BACT Analysis&amp;C&amp;8Page 130&amp;R&amp;8January 2017</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40"/>
  <sheetViews>
    <sheetView tabSelected="1" topLeftCell="A7" zoomScaleNormal="100" workbookViewId="0">
      <selection activeCell="E41" sqref="E41"/>
    </sheetView>
  </sheetViews>
  <sheetFormatPr defaultColWidth="8.85546875" defaultRowHeight="15" x14ac:dyDescent="0.25"/>
  <cols>
    <col min="1" max="1" width="3" style="124" customWidth="1"/>
    <col min="2" max="3" width="6" style="124" customWidth="1"/>
    <col min="4" max="4" width="51.42578125" style="124" customWidth="1"/>
    <col min="5" max="5" width="11.5703125" style="124" bestFit="1" customWidth="1"/>
    <col min="6" max="6" width="13.140625" style="124" customWidth="1"/>
    <col min="7" max="7" width="15.42578125" style="124" customWidth="1"/>
    <col min="8" max="8" width="24" style="124" customWidth="1"/>
    <col min="9" max="9" width="18.7109375" style="124" customWidth="1"/>
    <col min="10" max="10" width="8.85546875" style="124"/>
    <col min="11" max="11" width="13.28515625" style="124" customWidth="1"/>
    <col min="12" max="16384" width="8.85546875" style="124"/>
  </cols>
  <sheetData>
    <row r="1" spans="2:11" x14ac:dyDescent="0.25">
      <c r="B1" s="468" t="s">
        <v>201</v>
      </c>
      <c r="C1" s="468"/>
      <c r="D1" s="468"/>
      <c r="E1" s="468"/>
      <c r="F1" s="468"/>
      <c r="G1" s="468"/>
      <c r="H1" s="468"/>
      <c r="I1" s="468"/>
      <c r="J1" s="468"/>
      <c r="K1" s="468"/>
    </row>
    <row r="2" spans="2:11" x14ac:dyDescent="0.25">
      <c r="B2" s="468" t="s">
        <v>200</v>
      </c>
      <c r="C2" s="468"/>
      <c r="D2" s="468"/>
      <c r="E2" s="468"/>
      <c r="F2" s="468"/>
      <c r="G2" s="468"/>
      <c r="H2" s="468"/>
      <c r="I2" s="468"/>
      <c r="J2" s="468"/>
      <c r="K2" s="468"/>
    </row>
    <row r="3" spans="2:11" ht="15.75" thickBot="1" x14ac:dyDescent="0.3">
      <c r="I3" s="469" t="s">
        <v>168</v>
      </c>
      <c r="J3" s="470"/>
      <c r="K3" s="471"/>
    </row>
    <row r="4" spans="2:11" ht="19.5" thickTop="1" x14ac:dyDescent="0.3">
      <c r="B4" s="125" t="s">
        <v>88</v>
      </c>
      <c r="C4" s="222"/>
      <c r="D4" s="127"/>
      <c r="E4" s="127"/>
      <c r="F4" s="127"/>
      <c r="G4" s="127"/>
      <c r="H4" s="127"/>
      <c r="I4" s="127"/>
      <c r="J4" s="223" t="s">
        <v>89</v>
      </c>
      <c r="K4" s="224">
        <v>42412</v>
      </c>
    </row>
    <row r="5" spans="2:11" ht="18" x14ac:dyDescent="0.35">
      <c r="B5" s="130" t="s">
        <v>169</v>
      </c>
      <c r="C5" s="131"/>
      <c r="D5" s="405" t="s">
        <v>247</v>
      </c>
      <c r="E5" s="131"/>
      <c r="F5" s="131"/>
      <c r="G5" s="131"/>
      <c r="H5" s="131"/>
      <c r="I5" s="131"/>
      <c r="J5" s="128" t="s">
        <v>91</v>
      </c>
      <c r="K5" s="132" t="s">
        <v>92</v>
      </c>
    </row>
    <row r="6" spans="2:11" x14ac:dyDescent="0.25">
      <c r="B6" s="130"/>
      <c r="C6" s="131"/>
      <c r="D6" s="131"/>
      <c r="E6" s="131"/>
      <c r="F6" s="131"/>
      <c r="G6" s="131"/>
      <c r="H6" s="131"/>
      <c r="I6" s="131"/>
      <c r="J6" s="128" t="s">
        <v>93</v>
      </c>
      <c r="K6" s="132" t="s">
        <v>219</v>
      </c>
    </row>
    <row r="7" spans="2:11" ht="15.75" thickBot="1" x14ac:dyDescent="0.3">
      <c r="B7" s="133"/>
      <c r="C7" s="134"/>
      <c r="D7" s="134"/>
      <c r="E7" s="134"/>
      <c r="F7" s="134"/>
      <c r="G7" s="134"/>
      <c r="H7" s="134"/>
      <c r="I7" s="134"/>
      <c r="J7" s="135" t="s">
        <v>94</v>
      </c>
      <c r="K7" s="136" t="s">
        <v>229</v>
      </c>
    </row>
    <row r="8" spans="2:11" ht="16.5" thickBot="1" x14ac:dyDescent="0.3">
      <c r="B8" s="472" t="s">
        <v>10</v>
      </c>
      <c r="C8" s="473"/>
      <c r="D8" s="473"/>
      <c r="E8" s="473"/>
      <c r="F8" s="473"/>
      <c r="G8" s="473"/>
      <c r="H8" s="473"/>
      <c r="I8" s="473"/>
      <c r="J8" s="473"/>
      <c r="K8" s="474"/>
    </row>
    <row r="9" spans="2:11" ht="15.75" x14ac:dyDescent="0.25">
      <c r="B9" s="225" t="s">
        <v>11</v>
      </c>
      <c r="C9" s="226"/>
      <c r="D9" s="227"/>
      <c r="E9" s="228" t="s">
        <v>96</v>
      </c>
      <c r="F9" s="228" t="s">
        <v>97</v>
      </c>
      <c r="G9" s="229" t="s">
        <v>98</v>
      </c>
      <c r="H9" s="230" t="s">
        <v>99</v>
      </c>
      <c r="I9" s="230" t="s">
        <v>100</v>
      </c>
      <c r="J9" s="227"/>
      <c r="K9" s="231" t="s">
        <v>170</v>
      </c>
    </row>
    <row r="10" spans="2:11" x14ac:dyDescent="0.25">
      <c r="B10" s="232" t="s">
        <v>101</v>
      </c>
      <c r="C10" s="131" t="s">
        <v>171</v>
      </c>
      <c r="D10" s="131"/>
      <c r="E10" s="157"/>
      <c r="F10" s="158" t="s">
        <v>118</v>
      </c>
      <c r="G10" s="157"/>
      <c r="H10" s="160" t="s">
        <v>172</v>
      </c>
      <c r="I10" s="160">
        <f>E10*G10</f>
        <v>0</v>
      </c>
      <c r="J10" s="233"/>
      <c r="K10" s="171">
        <f>I10</f>
        <v>0</v>
      </c>
    </row>
    <row r="11" spans="2:11" x14ac:dyDescent="0.25">
      <c r="B11" s="232" t="s">
        <v>128</v>
      </c>
      <c r="C11" s="131" t="s">
        <v>173</v>
      </c>
      <c r="D11" s="131"/>
      <c r="E11" s="157"/>
      <c r="F11" s="158" t="s">
        <v>118</v>
      </c>
      <c r="G11" s="157"/>
      <c r="H11" s="160" t="s">
        <v>172</v>
      </c>
      <c r="I11" s="160">
        <f>E11*G11</f>
        <v>0</v>
      </c>
      <c r="J11" s="233"/>
      <c r="K11" s="171">
        <f t="shared" ref="K11:K12" si="0">I11</f>
        <v>0</v>
      </c>
    </row>
    <row r="12" spans="2:11" x14ac:dyDescent="0.25">
      <c r="B12" s="232" t="s">
        <v>155</v>
      </c>
      <c r="C12" s="131" t="s">
        <v>174</v>
      </c>
      <c r="D12" s="131"/>
      <c r="E12" s="157"/>
      <c r="F12" s="166" t="s">
        <v>118</v>
      </c>
      <c r="G12" s="157"/>
      <c r="H12" s="160" t="s">
        <v>172</v>
      </c>
      <c r="I12" s="160">
        <f>E12*G12</f>
        <v>0</v>
      </c>
      <c r="J12" s="233"/>
      <c r="K12" s="171">
        <f t="shared" si="0"/>
        <v>0</v>
      </c>
    </row>
    <row r="13" spans="2:11" x14ac:dyDescent="0.25">
      <c r="B13" s="232" t="s">
        <v>158</v>
      </c>
      <c r="C13" s="131" t="s">
        <v>175</v>
      </c>
      <c r="D13" s="131"/>
      <c r="E13" s="157"/>
      <c r="F13" s="166" t="s">
        <v>136</v>
      </c>
      <c r="G13" s="157"/>
      <c r="H13" s="160">
        <f>E13*G13</f>
        <v>0</v>
      </c>
      <c r="I13" s="160" t="s">
        <v>172</v>
      </c>
      <c r="J13" s="233"/>
      <c r="K13" s="171">
        <f>H13</f>
        <v>0</v>
      </c>
    </row>
    <row r="14" spans="2:11" x14ac:dyDescent="0.25">
      <c r="B14" s="232" t="s">
        <v>161</v>
      </c>
      <c r="C14" s="131" t="s">
        <v>176</v>
      </c>
      <c r="D14" s="131"/>
      <c r="E14" s="158"/>
      <c r="F14" s="158"/>
      <c r="G14" s="160"/>
      <c r="H14" s="160"/>
      <c r="I14" s="160"/>
      <c r="J14" s="233"/>
      <c r="K14" s="171"/>
    </row>
    <row r="15" spans="2:11" x14ac:dyDescent="0.25">
      <c r="B15" s="130"/>
      <c r="C15" s="234" t="s">
        <v>103</v>
      </c>
      <c r="D15" s="131" t="s">
        <v>177</v>
      </c>
      <c r="E15" s="235">
        <f>70*8760/2000</f>
        <v>306.60000000000002</v>
      </c>
      <c r="F15" s="158" t="s">
        <v>133</v>
      </c>
      <c r="G15" s="157">
        <v>560</v>
      </c>
      <c r="H15" s="160">
        <f>E15*G15</f>
        <v>171696</v>
      </c>
      <c r="I15" s="160"/>
      <c r="J15" s="233"/>
      <c r="K15" s="171">
        <f>H15</f>
        <v>171696</v>
      </c>
    </row>
    <row r="16" spans="2:11" x14ac:dyDescent="0.25">
      <c r="B16" s="130"/>
      <c r="C16" s="234" t="s">
        <v>108</v>
      </c>
      <c r="D16" s="131" t="s">
        <v>178</v>
      </c>
      <c r="E16" s="157">
        <f>260*8760</f>
        <v>2277600</v>
      </c>
      <c r="F16" s="158" t="s">
        <v>179</v>
      </c>
      <c r="G16" s="157">
        <v>0.18</v>
      </c>
      <c r="H16" s="160">
        <f>E16*G16</f>
        <v>409968</v>
      </c>
      <c r="I16" s="160"/>
      <c r="J16" s="233"/>
      <c r="K16" s="171">
        <f>H16</f>
        <v>409968</v>
      </c>
    </row>
    <row r="17" spans="2:12" x14ac:dyDescent="0.25">
      <c r="B17" s="236"/>
      <c r="C17" s="234"/>
      <c r="D17" s="234"/>
      <c r="E17" s="166"/>
      <c r="F17" s="166"/>
      <c r="G17" s="168"/>
      <c r="H17" s="168"/>
      <c r="I17" s="168"/>
      <c r="J17" s="237"/>
      <c r="K17" s="238"/>
    </row>
    <row r="18" spans="2:12" x14ac:dyDescent="0.25">
      <c r="B18" s="239"/>
      <c r="C18" s="240"/>
      <c r="D18" s="131"/>
      <c r="E18" s="241"/>
      <c r="F18" s="128"/>
      <c r="G18" s="233"/>
      <c r="H18" s="160"/>
      <c r="I18" s="242"/>
      <c r="J18" s="160"/>
      <c r="K18" s="171"/>
    </row>
    <row r="19" spans="2:12" x14ac:dyDescent="0.25">
      <c r="B19" s="243" t="s">
        <v>12</v>
      </c>
      <c r="C19" s="244"/>
      <c r="D19" s="245"/>
      <c r="E19" s="246"/>
      <c r="F19" s="247"/>
      <c r="G19" s="248"/>
      <c r="H19" s="193"/>
      <c r="I19" s="249"/>
      <c r="J19" s="250" t="s">
        <v>180</v>
      </c>
      <c r="K19" s="251">
        <f>SUM(K10:K17)</f>
        <v>581664</v>
      </c>
    </row>
    <row r="20" spans="2:12" x14ac:dyDescent="0.25">
      <c r="B20" s="130"/>
      <c r="C20" s="240"/>
      <c r="D20" s="131"/>
      <c r="E20" s="158"/>
      <c r="F20" s="131"/>
      <c r="G20" s="160"/>
      <c r="H20" s="160"/>
      <c r="I20" s="242"/>
      <c r="J20" s="252"/>
      <c r="K20" s="171"/>
    </row>
    <row r="21" spans="2:12" ht="15.75" x14ac:dyDescent="0.25">
      <c r="B21" s="143" t="s">
        <v>13</v>
      </c>
      <c r="C21" s="149"/>
      <c r="D21" s="131"/>
      <c r="E21" s="158"/>
      <c r="F21" s="158"/>
      <c r="G21" s="160"/>
      <c r="H21" s="160"/>
      <c r="I21" s="160"/>
      <c r="J21" s="160"/>
      <c r="K21" s="171"/>
    </row>
    <row r="22" spans="2:12" x14ac:dyDescent="0.25">
      <c r="B22" s="232" t="s">
        <v>164</v>
      </c>
      <c r="C22" s="131" t="s">
        <v>181</v>
      </c>
      <c r="D22" s="131"/>
      <c r="E22" s="157"/>
      <c r="F22" s="166" t="s">
        <v>182</v>
      </c>
      <c r="G22" s="166"/>
      <c r="H22" s="160" t="s">
        <v>172</v>
      </c>
      <c r="I22" s="160">
        <f>E22*G22</f>
        <v>0</v>
      </c>
      <c r="J22" s="233"/>
      <c r="K22" s="171">
        <f>I22</f>
        <v>0</v>
      </c>
    </row>
    <row r="23" spans="2:12" x14ac:dyDescent="0.25">
      <c r="B23" s="232" t="s">
        <v>183</v>
      </c>
      <c r="C23" s="408" t="s">
        <v>256</v>
      </c>
      <c r="D23" s="131"/>
      <c r="E23" s="253">
        <v>0.03</v>
      </c>
      <c r="F23" s="158" t="s">
        <v>184</v>
      </c>
      <c r="G23" s="166"/>
      <c r="H23" s="160"/>
      <c r="I23" s="160">
        <f>E23*'5-4 - EU ID 113 - SDA TCI'!K61</f>
        <v>468000</v>
      </c>
      <c r="J23" s="233"/>
      <c r="K23" s="171">
        <f>I23</f>
        <v>468000</v>
      </c>
    </row>
    <row r="24" spans="2:12" x14ac:dyDescent="0.25">
      <c r="B24" s="232"/>
      <c r="C24" s="234" t="s">
        <v>185</v>
      </c>
      <c r="D24" s="131"/>
      <c r="E24" s="241">
        <f>($E$39/100*POWER((1+($E$39/100)),$E$40))/((POWER(((1+$E$39/100)),$E$40))-1)</f>
        <v>9.7977148946865877E-2</v>
      </c>
      <c r="F24" s="166"/>
      <c r="G24" s="160"/>
      <c r="H24" s="160"/>
      <c r="I24" s="160"/>
      <c r="J24" s="233"/>
      <c r="K24" s="254"/>
      <c r="L24" s="255"/>
    </row>
    <row r="25" spans="2:12" x14ac:dyDescent="0.25">
      <c r="B25" s="232" t="s">
        <v>186</v>
      </c>
      <c r="C25" s="131" t="s">
        <v>187</v>
      </c>
      <c r="D25" s="131"/>
      <c r="E25" s="131"/>
      <c r="F25" s="131"/>
      <c r="G25" s="160"/>
      <c r="H25" s="256"/>
      <c r="I25" s="160"/>
      <c r="J25" s="257" t="s">
        <v>188</v>
      </c>
      <c r="K25" s="171">
        <f>E24*'5-4 - EU ID 113 - SDA TCI'!K61</f>
        <v>1528443.5235711078</v>
      </c>
      <c r="L25" s="255"/>
    </row>
    <row r="26" spans="2:12" x14ac:dyDescent="0.25">
      <c r="B26" s="130"/>
      <c r="C26" s="131"/>
      <c r="D26" s="131"/>
      <c r="E26" s="158"/>
      <c r="F26" s="131"/>
      <c r="G26" s="160"/>
      <c r="H26" s="160"/>
      <c r="I26" s="160"/>
      <c r="J26" s="160"/>
      <c r="K26" s="171"/>
    </row>
    <row r="27" spans="2:12" x14ac:dyDescent="0.25">
      <c r="B27" s="243" t="s">
        <v>14</v>
      </c>
      <c r="C27" s="244"/>
      <c r="D27" s="258"/>
      <c r="E27" s="259"/>
      <c r="F27" s="258"/>
      <c r="G27" s="249"/>
      <c r="H27" s="260"/>
      <c r="I27" s="249"/>
      <c r="J27" s="250" t="s">
        <v>189</v>
      </c>
      <c r="K27" s="251">
        <f>SUM(K22:K25)</f>
        <v>1996443.5235711078</v>
      </c>
    </row>
    <row r="28" spans="2:12" x14ac:dyDescent="0.25">
      <c r="B28" s="261"/>
      <c r="C28" s="262"/>
      <c r="D28" s="131"/>
      <c r="E28" s="158"/>
      <c r="F28" s="131"/>
      <c r="G28" s="160"/>
      <c r="H28" s="160"/>
      <c r="I28" s="160"/>
      <c r="J28" s="160"/>
      <c r="K28" s="171"/>
    </row>
    <row r="29" spans="2:12" ht="15.75" x14ac:dyDescent="0.25">
      <c r="B29" s="263" t="s">
        <v>190</v>
      </c>
      <c r="C29" s="264"/>
      <c r="D29" s="192"/>
      <c r="E29" s="191"/>
      <c r="F29" s="192"/>
      <c r="G29" s="193"/>
      <c r="H29" s="265"/>
      <c r="I29" s="193"/>
      <c r="J29" s="250" t="s">
        <v>191</v>
      </c>
      <c r="K29" s="251">
        <f>K19+K27</f>
        <v>2578107.5235711075</v>
      </c>
    </row>
    <row r="30" spans="2:12" ht="15.75" thickBot="1" x14ac:dyDescent="0.3">
      <c r="B30" s="130"/>
      <c r="C30" s="131"/>
      <c r="D30" s="131"/>
      <c r="E30" s="158"/>
      <c r="F30" s="131"/>
      <c r="G30" s="131"/>
      <c r="H30" s="131"/>
      <c r="I30" s="131"/>
      <c r="J30" s="131"/>
      <c r="K30" s="151"/>
    </row>
    <row r="31" spans="2:12" ht="16.5" thickBot="1" x14ac:dyDescent="0.3">
      <c r="B31" s="472" t="s">
        <v>15</v>
      </c>
      <c r="C31" s="473"/>
      <c r="D31" s="473"/>
      <c r="E31" s="473"/>
      <c r="F31" s="473"/>
      <c r="G31" s="473"/>
      <c r="H31" s="473"/>
      <c r="I31" s="473"/>
      <c r="J31" s="473"/>
      <c r="K31" s="474"/>
    </row>
    <row r="32" spans="2:12" x14ac:dyDescent="0.25">
      <c r="B32" s="130"/>
      <c r="C32" s="131"/>
      <c r="D32" s="131"/>
      <c r="E32" s="131"/>
      <c r="F32" s="131"/>
      <c r="G32" s="131"/>
      <c r="H32" s="131"/>
      <c r="I32" s="131"/>
      <c r="J32" s="131"/>
      <c r="K32" s="151"/>
    </row>
    <row r="33" spans="2:11" ht="15.75" x14ac:dyDescent="0.25">
      <c r="B33" s="143" t="s">
        <v>192</v>
      </c>
      <c r="C33" s="149"/>
      <c r="D33" s="131"/>
      <c r="E33" s="131"/>
      <c r="F33" s="131"/>
      <c r="G33" s="131"/>
      <c r="H33" s="131"/>
      <c r="I33" s="131"/>
      <c r="J33" s="266" t="s">
        <v>3</v>
      </c>
      <c r="K33" s="410">
        <f>'5-3'!F6</f>
        <v>238.18799999999999</v>
      </c>
    </row>
    <row r="34" spans="2:11" x14ac:dyDescent="0.25">
      <c r="B34" s="130"/>
      <c r="C34" s="131"/>
      <c r="D34" s="131"/>
      <c r="E34" s="131"/>
      <c r="F34" s="131"/>
      <c r="G34" s="131"/>
      <c r="H34" s="131"/>
      <c r="I34" s="131"/>
      <c r="J34" s="131"/>
      <c r="K34" s="151"/>
    </row>
    <row r="35" spans="2:11" ht="16.5" thickBot="1" x14ac:dyDescent="0.3">
      <c r="B35" s="267" t="s">
        <v>193</v>
      </c>
      <c r="C35" s="268"/>
      <c r="D35" s="269"/>
      <c r="E35" s="269"/>
      <c r="F35" s="269"/>
      <c r="G35" s="269"/>
      <c r="H35" s="270"/>
      <c r="I35" s="269"/>
      <c r="J35" s="271" t="s">
        <v>194</v>
      </c>
      <c r="K35" s="272">
        <f>K29/K33</f>
        <v>10823.834633025624</v>
      </c>
    </row>
    <row r="36" spans="2:11" ht="15.75" thickTop="1" x14ac:dyDescent="0.25"/>
    <row r="37" spans="2:11" ht="15.75" thickBot="1" x14ac:dyDescent="0.3"/>
    <row r="38" spans="2:11" x14ac:dyDescent="0.25">
      <c r="D38" s="273" t="s">
        <v>195</v>
      </c>
      <c r="E38" s="227"/>
      <c r="F38" s="274"/>
      <c r="G38" s="275"/>
    </row>
    <row r="39" spans="2:11" x14ac:dyDescent="0.25">
      <c r="D39" s="276" t="s">
        <v>196</v>
      </c>
      <c r="E39" s="235">
        <v>5.25</v>
      </c>
      <c r="F39" s="277" t="s">
        <v>182</v>
      </c>
    </row>
    <row r="40" spans="2:11" ht="15.75" thickBot="1" x14ac:dyDescent="0.3">
      <c r="D40" s="278" t="s">
        <v>197</v>
      </c>
      <c r="E40" s="279">
        <v>15</v>
      </c>
      <c r="F40" s="280" t="s">
        <v>198</v>
      </c>
    </row>
  </sheetData>
  <mergeCells count="5">
    <mergeCell ref="I3:K3"/>
    <mergeCell ref="B8:K8"/>
    <mergeCell ref="B31:K31"/>
    <mergeCell ref="B1:K1"/>
    <mergeCell ref="B2:K2"/>
  </mergeCells>
  <printOptions horizontalCentered="1"/>
  <pageMargins left="0.75" right="0.75" top="1" bottom="1" header="0.5" footer="0.5"/>
  <pageSetup scale="53" orientation="portrait" r:id="rId1"/>
  <headerFooter alignWithMargins="0">
    <oddFooter>&amp;L&amp;8UAF
PM&amp;Y2.5&amp;Y Serious NAA BACT Analysis&amp;C&amp;8Page 131&amp;R&amp;8January 2017</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K62"/>
  <sheetViews>
    <sheetView topLeftCell="A34" zoomScale="90" zoomScaleNormal="90" workbookViewId="0">
      <selection activeCell="M59" sqref="M59"/>
    </sheetView>
  </sheetViews>
  <sheetFormatPr defaultColWidth="8.85546875" defaultRowHeight="15" x14ac:dyDescent="0.25"/>
  <cols>
    <col min="1" max="1" width="2.28515625" style="124" customWidth="1"/>
    <col min="2" max="2" width="5.28515625" style="124" customWidth="1"/>
    <col min="3" max="3" width="6" style="124" customWidth="1"/>
    <col min="4" max="4" width="63.7109375" style="124" customWidth="1"/>
    <col min="5" max="5" width="8.85546875" style="124"/>
    <col min="6" max="6" width="19.28515625" style="124" customWidth="1"/>
    <col min="7" max="7" width="13" style="124" customWidth="1"/>
    <col min="8" max="8" width="24.140625" style="124" customWidth="1"/>
    <col min="9" max="9" width="20.42578125" style="124" customWidth="1"/>
    <col min="10" max="10" width="14.7109375" style="124" customWidth="1"/>
    <col min="11" max="11" width="17.28515625" style="124" customWidth="1"/>
    <col min="12" max="12" width="8.85546875" style="124"/>
    <col min="13" max="13" width="29.85546875" style="124" customWidth="1"/>
    <col min="14" max="16384" width="8.85546875" style="124"/>
  </cols>
  <sheetData>
    <row r="1" spans="2:11" x14ac:dyDescent="0.25">
      <c r="B1" s="468" t="s">
        <v>210</v>
      </c>
      <c r="C1" s="468"/>
      <c r="D1" s="468"/>
      <c r="E1" s="468"/>
      <c r="F1" s="468"/>
      <c r="G1" s="468"/>
      <c r="H1" s="468"/>
      <c r="I1" s="468"/>
      <c r="J1" s="468"/>
      <c r="K1" s="468"/>
    </row>
    <row r="2" spans="2:11" x14ac:dyDescent="0.25">
      <c r="B2" s="468" t="s">
        <v>200</v>
      </c>
      <c r="C2" s="468"/>
      <c r="D2" s="468"/>
      <c r="E2" s="468"/>
      <c r="F2" s="468"/>
      <c r="G2" s="468"/>
      <c r="H2" s="468"/>
      <c r="I2" s="468"/>
      <c r="J2" s="468"/>
      <c r="K2" s="468"/>
    </row>
    <row r="3" spans="2:11" ht="13.9" customHeight="1" thickBot="1" x14ac:dyDescent="0.3">
      <c r="J3" s="464" t="s">
        <v>87</v>
      </c>
      <c r="K3" s="464"/>
    </row>
    <row r="4" spans="2:11" ht="19.5" thickTop="1" x14ac:dyDescent="0.3">
      <c r="B4" s="125" t="s">
        <v>208</v>
      </c>
      <c r="C4" s="126"/>
      <c r="D4" s="126"/>
      <c r="E4" s="127"/>
      <c r="F4" s="127"/>
      <c r="G4" s="127"/>
      <c r="H4" s="127"/>
      <c r="I4" s="127"/>
      <c r="J4" s="128" t="s">
        <v>89</v>
      </c>
      <c r="K4" s="129">
        <v>42412</v>
      </c>
    </row>
    <row r="5" spans="2:11" ht="18" x14ac:dyDescent="0.35">
      <c r="B5" s="130" t="s">
        <v>90</v>
      </c>
      <c r="C5" s="131"/>
      <c r="D5" s="405" t="s">
        <v>247</v>
      </c>
      <c r="E5" s="131"/>
      <c r="F5" s="131"/>
      <c r="G5" s="131"/>
      <c r="H5" s="131"/>
      <c r="I5" s="131"/>
      <c r="J5" s="128" t="s">
        <v>91</v>
      </c>
      <c r="K5" s="132" t="s">
        <v>92</v>
      </c>
    </row>
    <row r="6" spans="2:11" x14ac:dyDescent="0.25">
      <c r="B6" s="130"/>
      <c r="C6" s="131"/>
      <c r="D6" s="131"/>
      <c r="E6" s="131"/>
      <c r="F6" s="131"/>
      <c r="G6" s="131"/>
      <c r="H6" s="131"/>
      <c r="I6" s="131"/>
      <c r="J6" s="128" t="s">
        <v>93</v>
      </c>
      <c r="K6" s="132" t="s">
        <v>219</v>
      </c>
    </row>
    <row r="7" spans="2:11" ht="15.75" thickBot="1" x14ac:dyDescent="0.3">
      <c r="B7" s="133"/>
      <c r="C7" s="134"/>
      <c r="D7" s="134"/>
      <c r="E7" s="134"/>
      <c r="F7" s="134"/>
      <c r="G7" s="134"/>
      <c r="H7" s="134"/>
      <c r="I7" s="134"/>
      <c r="J7" s="135" t="s">
        <v>94</v>
      </c>
      <c r="K7" s="136" t="s">
        <v>229</v>
      </c>
    </row>
    <row r="8" spans="2:11" ht="36.75" customHeight="1" thickBot="1" x14ac:dyDescent="0.3">
      <c r="B8" s="465" t="s">
        <v>1</v>
      </c>
      <c r="C8" s="466"/>
      <c r="D8" s="466"/>
      <c r="E8" s="466"/>
      <c r="F8" s="466"/>
      <c r="G8" s="466"/>
      <c r="H8" s="466"/>
      <c r="I8" s="466"/>
      <c r="J8" s="466"/>
      <c r="K8" s="467"/>
    </row>
    <row r="9" spans="2:11" ht="19.5" thickTop="1" x14ac:dyDescent="0.3">
      <c r="B9" s="137" t="s">
        <v>2</v>
      </c>
      <c r="C9" s="138"/>
      <c r="D9" s="138"/>
      <c r="E9" s="139" t="s">
        <v>96</v>
      </c>
      <c r="F9" s="139" t="s">
        <v>97</v>
      </c>
      <c r="G9" s="140" t="s">
        <v>98</v>
      </c>
      <c r="H9" s="141" t="s">
        <v>99</v>
      </c>
      <c r="I9" s="141" t="s">
        <v>100</v>
      </c>
      <c r="J9" s="138"/>
      <c r="K9" s="142"/>
    </row>
    <row r="10" spans="2:11" ht="15.75" x14ac:dyDescent="0.25">
      <c r="B10" s="143"/>
      <c r="C10" s="131"/>
      <c r="D10" s="131"/>
      <c r="E10" s="144"/>
      <c r="F10" s="144"/>
      <c r="G10" s="145"/>
      <c r="H10" s="146"/>
      <c r="I10" s="146"/>
      <c r="J10" s="131"/>
      <c r="K10" s="147"/>
    </row>
    <row r="11" spans="2:11" ht="15.75" x14ac:dyDescent="0.25">
      <c r="B11" s="148" t="s">
        <v>101</v>
      </c>
      <c r="C11" s="149" t="s">
        <v>102</v>
      </c>
      <c r="D11" s="149"/>
      <c r="E11" s="131"/>
      <c r="F11" s="131"/>
      <c r="G11" s="131"/>
      <c r="H11" s="131"/>
      <c r="I11" s="131"/>
      <c r="J11" s="150"/>
      <c r="K11" s="151"/>
    </row>
    <row r="12" spans="2:11" ht="15.75" x14ac:dyDescent="0.25">
      <c r="B12" s="143"/>
      <c r="C12" s="149" t="s">
        <v>103</v>
      </c>
      <c r="D12" s="149" t="s">
        <v>104</v>
      </c>
      <c r="E12" s="131"/>
      <c r="F12" s="131"/>
      <c r="G12" s="131"/>
      <c r="H12" s="131"/>
      <c r="I12" s="131"/>
      <c r="J12" s="152"/>
      <c r="K12" s="153"/>
    </row>
    <row r="13" spans="2:11" x14ac:dyDescent="0.25">
      <c r="B13" s="154"/>
      <c r="C13" s="155"/>
      <c r="D13" s="156" t="s">
        <v>207</v>
      </c>
      <c r="E13" s="157">
        <v>1</v>
      </c>
      <c r="F13" s="158" t="s">
        <v>106</v>
      </c>
      <c r="G13" s="411">
        <v>1500000</v>
      </c>
      <c r="H13" s="160">
        <f>E13*G13</f>
        <v>1500000</v>
      </c>
      <c r="I13" s="160"/>
      <c r="J13" s="161"/>
      <c r="K13" s="162"/>
    </row>
    <row r="14" spans="2:11" x14ac:dyDescent="0.25">
      <c r="B14" s="163"/>
      <c r="C14" s="164"/>
      <c r="D14" s="40" t="s">
        <v>202</v>
      </c>
      <c r="E14" s="166"/>
      <c r="F14" s="166"/>
      <c r="G14" s="167"/>
      <c r="H14" s="168"/>
      <c r="I14" s="168"/>
      <c r="J14" s="169" t="s">
        <v>107</v>
      </c>
      <c r="K14" s="153">
        <f>SUM(H13:H13)</f>
        <v>1500000</v>
      </c>
    </row>
    <row r="15" spans="2:11" ht="15.75" x14ac:dyDescent="0.25">
      <c r="B15" s="163"/>
      <c r="C15" s="170" t="s">
        <v>108</v>
      </c>
      <c r="D15" s="170" t="s">
        <v>109</v>
      </c>
      <c r="E15" s="166"/>
      <c r="F15" s="166"/>
      <c r="G15" s="167"/>
      <c r="H15" s="168"/>
      <c r="I15" s="168"/>
      <c r="J15" s="169"/>
      <c r="K15" s="171"/>
    </row>
    <row r="16" spans="2:11" x14ac:dyDescent="0.25">
      <c r="B16" s="163"/>
      <c r="C16" s="164"/>
      <c r="D16" s="165" t="s">
        <v>110</v>
      </c>
      <c r="E16" s="157"/>
      <c r="F16" s="166" t="s">
        <v>106</v>
      </c>
      <c r="G16" s="157"/>
      <c r="H16" s="160">
        <f>E16*G16</f>
        <v>0</v>
      </c>
      <c r="I16" s="168"/>
      <c r="J16" s="161"/>
      <c r="K16" s="171"/>
    </row>
    <row r="17" spans="2:11" x14ac:dyDescent="0.25">
      <c r="B17" s="172"/>
      <c r="C17" s="173"/>
      <c r="D17" s="174"/>
      <c r="E17" s="175"/>
      <c r="F17" s="175"/>
      <c r="G17" s="174"/>
      <c r="H17" s="176"/>
      <c r="I17" s="176"/>
      <c r="J17" s="169" t="s">
        <v>107</v>
      </c>
      <c r="K17" s="153">
        <f>SUM(H16:H16)</f>
        <v>0</v>
      </c>
    </row>
    <row r="18" spans="2:11" ht="15.75" x14ac:dyDescent="0.25">
      <c r="B18" s="154"/>
      <c r="C18" s="149" t="s">
        <v>111</v>
      </c>
      <c r="D18" s="149" t="s">
        <v>112</v>
      </c>
      <c r="E18" s="158"/>
      <c r="F18" s="158"/>
      <c r="G18" s="131"/>
      <c r="H18" s="160"/>
      <c r="I18" s="160"/>
      <c r="J18" s="161"/>
      <c r="K18" s="171"/>
    </row>
    <row r="19" spans="2:11" x14ac:dyDescent="0.25">
      <c r="B19" s="154"/>
      <c r="C19" s="155"/>
      <c r="D19" s="156" t="s">
        <v>206</v>
      </c>
      <c r="E19" s="157"/>
      <c r="F19" s="158" t="s">
        <v>114</v>
      </c>
      <c r="G19" s="177">
        <v>0</v>
      </c>
      <c r="H19" s="160"/>
      <c r="I19" s="160">
        <f>G19*G13</f>
        <v>0</v>
      </c>
      <c r="J19" s="161"/>
      <c r="K19" s="171"/>
    </row>
    <row r="20" spans="2:11" x14ac:dyDescent="0.25">
      <c r="B20" s="178"/>
      <c r="C20" s="165"/>
      <c r="D20" s="165"/>
      <c r="E20" s="179"/>
      <c r="F20" s="179"/>
      <c r="G20" s="165"/>
      <c r="H20" s="180"/>
      <c r="I20" s="180"/>
      <c r="J20" s="169" t="s">
        <v>107</v>
      </c>
      <c r="K20" s="153">
        <f>SUM(I19:I19)</f>
        <v>0</v>
      </c>
    </row>
    <row r="21" spans="2:11" ht="15.75" x14ac:dyDescent="0.25">
      <c r="B21" s="154"/>
      <c r="C21" s="149" t="s">
        <v>115</v>
      </c>
      <c r="D21" s="149" t="s">
        <v>116</v>
      </c>
      <c r="E21" s="158"/>
      <c r="F21" s="158"/>
      <c r="G21" s="131"/>
      <c r="H21" s="160"/>
      <c r="I21" s="160"/>
      <c r="J21" s="161"/>
      <c r="K21" s="171"/>
    </row>
    <row r="22" spans="2:11" x14ac:dyDescent="0.25">
      <c r="B22" s="181"/>
      <c r="C22" s="156"/>
      <c r="D22" s="165" t="s">
        <v>117</v>
      </c>
      <c r="E22" s="182"/>
      <c r="F22" s="183" t="s">
        <v>118</v>
      </c>
      <c r="G22" s="184"/>
      <c r="H22" s="185"/>
      <c r="I22" s="185">
        <f>E22*G22</f>
        <v>0</v>
      </c>
      <c r="J22" s="186"/>
      <c r="K22" s="187"/>
    </row>
    <row r="23" spans="2:11" x14ac:dyDescent="0.25">
      <c r="B23" s="181"/>
      <c r="C23" s="156"/>
      <c r="D23" s="165" t="s">
        <v>119</v>
      </c>
      <c r="E23" s="182"/>
      <c r="F23" s="183" t="s">
        <v>118</v>
      </c>
      <c r="G23" s="184"/>
      <c r="H23" s="185"/>
      <c r="I23" s="185">
        <f>E23*G23</f>
        <v>0</v>
      </c>
      <c r="J23" s="186"/>
      <c r="K23" s="187"/>
    </row>
    <row r="24" spans="2:11" x14ac:dyDescent="0.25">
      <c r="B24" s="178"/>
      <c r="C24" s="165"/>
      <c r="D24" s="165"/>
      <c r="E24" s="179"/>
      <c r="F24" s="179"/>
      <c r="G24" s="165"/>
      <c r="H24" s="180"/>
      <c r="I24" s="180"/>
      <c r="J24" s="169" t="s">
        <v>107</v>
      </c>
      <c r="K24" s="153">
        <f>SUM(I22:I23)</f>
        <v>0</v>
      </c>
    </row>
    <row r="25" spans="2:11" ht="15.75" x14ac:dyDescent="0.25">
      <c r="B25" s="154"/>
      <c r="C25" s="149" t="s">
        <v>120</v>
      </c>
      <c r="D25" s="149" t="s">
        <v>121</v>
      </c>
      <c r="E25" s="158"/>
      <c r="F25" s="158"/>
      <c r="G25" s="131"/>
      <c r="H25" s="160"/>
      <c r="I25" s="160"/>
      <c r="J25" s="161"/>
      <c r="K25" s="171"/>
    </row>
    <row r="26" spans="2:11" x14ac:dyDescent="0.25">
      <c r="B26" s="154"/>
      <c r="C26" s="155"/>
      <c r="D26" s="156" t="s">
        <v>122</v>
      </c>
      <c r="E26" s="182"/>
      <c r="F26" s="183" t="s">
        <v>123</v>
      </c>
      <c r="G26" s="182"/>
      <c r="H26" s="185"/>
      <c r="I26" s="185">
        <f>G26*E26</f>
        <v>0</v>
      </c>
      <c r="J26" s="161"/>
      <c r="K26" s="171"/>
    </row>
    <row r="27" spans="2:11" x14ac:dyDescent="0.25">
      <c r="B27" s="154"/>
      <c r="C27" s="155"/>
      <c r="D27" s="156" t="s">
        <v>124</v>
      </c>
      <c r="E27" s="182"/>
      <c r="F27" s="183" t="s">
        <v>123</v>
      </c>
      <c r="G27" s="182"/>
      <c r="H27" s="185"/>
      <c r="I27" s="185">
        <f>G27*E27</f>
        <v>0</v>
      </c>
      <c r="J27" s="161"/>
      <c r="K27" s="171"/>
    </row>
    <row r="28" spans="2:11" x14ac:dyDescent="0.25">
      <c r="B28" s="154"/>
      <c r="C28" s="155"/>
      <c r="D28" s="155"/>
      <c r="E28" s="183"/>
      <c r="F28" s="183"/>
      <c r="G28" s="156"/>
      <c r="H28" s="185"/>
      <c r="I28" s="185"/>
      <c r="J28" s="169" t="s">
        <v>107</v>
      </c>
      <c r="K28" s="153">
        <f>SUM(I26:I27)</f>
        <v>0</v>
      </c>
    </row>
    <row r="29" spans="2:11" ht="15.75" x14ac:dyDescent="0.25">
      <c r="B29" s="188" t="s">
        <v>125</v>
      </c>
      <c r="C29" s="189"/>
      <c r="D29" s="189"/>
      <c r="E29" s="190" t="s">
        <v>126</v>
      </c>
      <c r="F29" s="191"/>
      <c r="G29" s="192"/>
      <c r="H29" s="193"/>
      <c r="I29" s="193"/>
      <c r="J29" s="194" t="s">
        <v>127</v>
      </c>
      <c r="K29" s="195">
        <f>K14+K17+K20+K24+K28</f>
        <v>1500000</v>
      </c>
    </row>
    <row r="30" spans="2:11" ht="15.75" x14ac:dyDescent="0.25">
      <c r="B30" s="196"/>
      <c r="C30" s="197"/>
      <c r="D30" s="197"/>
      <c r="E30" s="158"/>
      <c r="F30" s="158"/>
      <c r="G30" s="131"/>
      <c r="H30" s="160"/>
      <c r="I30" s="160"/>
      <c r="J30" s="198"/>
      <c r="K30" s="171"/>
    </row>
    <row r="31" spans="2:11" ht="15.75" x14ac:dyDescent="0.25">
      <c r="B31" s="148" t="s">
        <v>128</v>
      </c>
      <c r="C31" s="149" t="s">
        <v>129</v>
      </c>
      <c r="D31" s="149"/>
      <c r="E31" s="158"/>
      <c r="F31" s="158"/>
      <c r="G31" s="131"/>
      <c r="H31" s="160"/>
      <c r="I31" s="160"/>
      <c r="J31" s="198"/>
      <c r="K31" s="171"/>
    </row>
    <row r="32" spans="2:11" ht="15.75" x14ac:dyDescent="0.25">
      <c r="B32" s="143"/>
      <c r="C32" s="149" t="s">
        <v>103</v>
      </c>
      <c r="D32" s="149" t="s">
        <v>130</v>
      </c>
      <c r="E32" s="182"/>
      <c r="F32" s="158" t="s">
        <v>131</v>
      </c>
      <c r="G32" s="182"/>
      <c r="H32" s="160">
        <f>E32*G32</f>
        <v>0</v>
      </c>
      <c r="I32" s="160"/>
      <c r="J32" s="161"/>
      <c r="K32" s="171">
        <f>H32+I32</f>
        <v>0</v>
      </c>
    </row>
    <row r="33" spans="2:11" ht="15.75" x14ac:dyDescent="0.25">
      <c r="B33" s="143"/>
      <c r="C33" s="149" t="s">
        <v>108</v>
      </c>
      <c r="D33" s="149" t="s">
        <v>132</v>
      </c>
      <c r="E33" s="182"/>
      <c r="F33" s="158" t="s">
        <v>133</v>
      </c>
      <c r="G33" s="182"/>
      <c r="H33" s="160">
        <f t="shared" ref="H33:H38" si="0">E33*G33</f>
        <v>0</v>
      </c>
      <c r="I33" s="160"/>
      <c r="J33" s="161"/>
      <c r="K33" s="171">
        <f t="shared" ref="K33:K42" si="1">H33+I33</f>
        <v>0</v>
      </c>
    </row>
    <row r="34" spans="2:11" ht="15.75" x14ac:dyDescent="0.25">
      <c r="B34" s="143"/>
      <c r="C34" s="149" t="s">
        <v>111</v>
      </c>
      <c r="D34" s="149" t="s">
        <v>134</v>
      </c>
      <c r="E34" s="182"/>
      <c r="F34" s="158" t="s">
        <v>133</v>
      </c>
      <c r="G34" s="182"/>
      <c r="H34" s="160">
        <f t="shared" si="0"/>
        <v>0</v>
      </c>
      <c r="I34" s="160"/>
      <c r="J34" s="161"/>
      <c r="K34" s="171">
        <f t="shared" si="1"/>
        <v>0</v>
      </c>
    </row>
    <row r="35" spans="2:11" ht="15.75" x14ac:dyDescent="0.25">
      <c r="B35" s="143"/>
      <c r="C35" s="149" t="s">
        <v>115</v>
      </c>
      <c r="D35" s="149" t="s">
        <v>135</v>
      </c>
      <c r="E35" s="182"/>
      <c r="F35" s="158" t="s">
        <v>136</v>
      </c>
      <c r="G35" s="182"/>
      <c r="H35" s="160">
        <f t="shared" si="0"/>
        <v>0</v>
      </c>
      <c r="I35" s="160"/>
      <c r="J35" s="161"/>
      <c r="K35" s="171">
        <f t="shared" si="1"/>
        <v>0</v>
      </c>
    </row>
    <row r="36" spans="2:11" ht="15.75" x14ac:dyDescent="0.25">
      <c r="B36" s="143"/>
      <c r="C36" s="149" t="s">
        <v>137</v>
      </c>
      <c r="D36" s="149" t="s">
        <v>138</v>
      </c>
      <c r="E36" s="182"/>
      <c r="F36" s="158" t="s">
        <v>139</v>
      </c>
      <c r="G36" s="182"/>
      <c r="H36" s="160">
        <f t="shared" si="0"/>
        <v>0</v>
      </c>
      <c r="I36" s="160"/>
      <c r="J36" s="161"/>
      <c r="K36" s="171">
        <f t="shared" si="1"/>
        <v>0</v>
      </c>
    </row>
    <row r="37" spans="2:11" ht="15.75" x14ac:dyDescent="0.25">
      <c r="B37" s="143"/>
      <c r="C37" s="149" t="s">
        <v>140</v>
      </c>
      <c r="D37" s="149" t="s">
        <v>141</v>
      </c>
      <c r="E37" s="182"/>
      <c r="F37" s="158" t="s">
        <v>136</v>
      </c>
      <c r="G37" s="182"/>
      <c r="H37" s="160">
        <f t="shared" si="0"/>
        <v>0</v>
      </c>
      <c r="I37" s="160"/>
      <c r="J37" s="161"/>
      <c r="K37" s="171">
        <f t="shared" si="1"/>
        <v>0</v>
      </c>
    </row>
    <row r="38" spans="2:11" ht="15.75" x14ac:dyDescent="0.25">
      <c r="B38" s="143"/>
      <c r="C38" s="149" t="s">
        <v>142</v>
      </c>
      <c r="D38" s="149" t="s">
        <v>143</v>
      </c>
      <c r="E38" s="182"/>
      <c r="F38" s="158" t="s">
        <v>144</v>
      </c>
      <c r="G38" s="182"/>
      <c r="H38" s="160">
        <f t="shared" si="0"/>
        <v>0</v>
      </c>
      <c r="I38" s="160"/>
      <c r="J38" s="161"/>
      <c r="K38" s="171">
        <f t="shared" si="1"/>
        <v>0</v>
      </c>
    </row>
    <row r="39" spans="2:11" ht="15.75" x14ac:dyDescent="0.25">
      <c r="B39" s="143"/>
      <c r="C39" s="149" t="s">
        <v>145</v>
      </c>
      <c r="D39" s="149" t="s">
        <v>146</v>
      </c>
      <c r="E39" s="158"/>
      <c r="F39" s="158"/>
      <c r="G39" s="198"/>
      <c r="H39" s="160"/>
      <c r="I39" s="160"/>
      <c r="J39" s="161"/>
      <c r="K39" s="171"/>
    </row>
    <row r="40" spans="2:11" ht="15.75" x14ac:dyDescent="0.25">
      <c r="B40" s="143"/>
      <c r="C40" s="149"/>
      <c r="D40" s="197" t="s">
        <v>147</v>
      </c>
      <c r="F40" s="128" t="s">
        <v>148</v>
      </c>
      <c r="G40" s="177"/>
      <c r="H40" s="199"/>
      <c r="I40" s="160">
        <f>G40*I22</f>
        <v>0</v>
      </c>
      <c r="J40" s="161"/>
      <c r="K40" s="171">
        <f t="shared" si="1"/>
        <v>0</v>
      </c>
    </row>
    <row r="41" spans="2:11" ht="15.75" x14ac:dyDescent="0.25">
      <c r="B41" s="143"/>
      <c r="C41" s="149"/>
      <c r="D41" s="197" t="s">
        <v>260</v>
      </c>
      <c r="F41" s="128" t="s">
        <v>149</v>
      </c>
      <c r="G41" s="177"/>
      <c r="H41" s="199"/>
      <c r="I41" s="160">
        <f>G41*I23</f>
        <v>0</v>
      </c>
      <c r="J41" s="161"/>
      <c r="K41" s="171">
        <f t="shared" si="1"/>
        <v>0</v>
      </c>
    </row>
    <row r="42" spans="2:11" ht="15.75" x14ac:dyDescent="0.25">
      <c r="B42" s="143"/>
      <c r="C42" s="149"/>
      <c r="D42" s="197" t="s">
        <v>150</v>
      </c>
      <c r="F42" s="128" t="s">
        <v>151</v>
      </c>
      <c r="G42" s="177"/>
      <c r="H42" s="160"/>
      <c r="I42" s="160">
        <f>G42*K14</f>
        <v>0</v>
      </c>
      <c r="J42" s="161"/>
      <c r="K42" s="171">
        <f t="shared" si="1"/>
        <v>0</v>
      </c>
    </row>
    <row r="43" spans="2:11" ht="15.75" x14ac:dyDescent="0.25">
      <c r="B43" s="188" t="s">
        <v>230</v>
      </c>
      <c r="C43" s="200"/>
      <c r="D43" s="200"/>
      <c r="E43" s="201"/>
      <c r="F43" s="201"/>
      <c r="G43" s="202"/>
      <c r="H43" s="203"/>
      <c r="I43" s="203"/>
      <c r="J43" s="194" t="s">
        <v>153</v>
      </c>
      <c r="K43" s="195">
        <f>K29*0.3</f>
        <v>450000</v>
      </c>
    </row>
    <row r="44" spans="2:11" ht="15.75" x14ac:dyDescent="0.25">
      <c r="B44" s="196"/>
      <c r="C44" s="197"/>
      <c r="D44" s="197"/>
      <c r="E44" s="131"/>
      <c r="F44" s="131"/>
      <c r="G44" s="131"/>
      <c r="H44" s="198"/>
      <c r="I44" s="198"/>
      <c r="J44" s="198"/>
      <c r="K44" s="171"/>
    </row>
    <row r="45" spans="2:11" ht="15.75" x14ac:dyDescent="0.25">
      <c r="B45" s="196"/>
      <c r="C45" s="197"/>
      <c r="D45" s="197"/>
      <c r="E45" s="131"/>
      <c r="F45" s="131"/>
      <c r="G45" s="131"/>
      <c r="H45" s="198"/>
      <c r="I45" s="198"/>
      <c r="J45" s="198"/>
      <c r="K45" s="171"/>
    </row>
    <row r="46" spans="2:11" ht="15.75" x14ac:dyDescent="0.25">
      <c r="B46" s="188" t="s">
        <v>4</v>
      </c>
      <c r="C46" s="204"/>
      <c r="D46" s="204"/>
      <c r="E46" s="202"/>
      <c r="F46" s="202"/>
      <c r="G46" s="202"/>
      <c r="H46" s="205"/>
      <c r="I46" s="205"/>
      <c r="J46" s="194" t="s">
        <v>154</v>
      </c>
      <c r="K46" s="195">
        <f>+K29+K43</f>
        <v>1950000</v>
      </c>
    </row>
    <row r="47" spans="2:11" ht="15.75" x14ac:dyDescent="0.25">
      <c r="B47" s="143"/>
      <c r="C47" s="197"/>
      <c r="D47" s="197"/>
      <c r="E47" s="131"/>
      <c r="F47" s="131"/>
      <c r="G47" s="155"/>
      <c r="H47" s="198"/>
      <c r="I47" s="198"/>
      <c r="J47" s="198"/>
      <c r="K47" s="162"/>
    </row>
    <row r="48" spans="2:11" ht="15.75" x14ac:dyDescent="0.25">
      <c r="B48" s="196"/>
      <c r="C48" s="197"/>
      <c r="D48" s="197"/>
      <c r="E48" s="131"/>
      <c r="F48" s="131"/>
      <c r="G48" s="131"/>
      <c r="H48" s="198"/>
      <c r="I48" s="198"/>
      <c r="J48" s="198"/>
      <c r="K48" s="162"/>
    </row>
    <row r="49" spans="2:11" ht="15.75" x14ac:dyDescent="0.25">
      <c r="B49" s="143" t="s">
        <v>5</v>
      </c>
      <c r="C49" s="197"/>
      <c r="D49" s="197"/>
      <c r="E49" s="131"/>
      <c r="F49" s="131"/>
      <c r="G49" s="131"/>
      <c r="H49" s="198"/>
      <c r="I49" s="198"/>
      <c r="J49" s="198"/>
      <c r="K49" s="162"/>
    </row>
    <row r="50" spans="2:11" ht="15.75" x14ac:dyDescent="0.25">
      <c r="B50" s="206" t="s">
        <v>155</v>
      </c>
      <c r="C50" s="197" t="s">
        <v>156</v>
      </c>
      <c r="D50" s="197"/>
      <c r="E50" s="177">
        <v>0.1</v>
      </c>
      <c r="F50" s="158" t="s">
        <v>157</v>
      </c>
      <c r="G50" s="207"/>
      <c r="H50" s="198"/>
      <c r="I50" s="160">
        <f>E50*K46</f>
        <v>195000</v>
      </c>
      <c r="J50" s="161"/>
      <c r="K50" s="162"/>
    </row>
    <row r="51" spans="2:11" ht="15.75" x14ac:dyDescent="0.25">
      <c r="B51" s="206" t="s">
        <v>158</v>
      </c>
      <c r="C51" s="197" t="s">
        <v>159</v>
      </c>
      <c r="D51" s="197"/>
      <c r="E51" s="182"/>
      <c r="F51" s="158" t="s">
        <v>106</v>
      </c>
      <c r="G51" s="182"/>
      <c r="H51" s="198"/>
      <c r="I51" s="160"/>
      <c r="J51" s="161"/>
      <c r="K51" s="208" t="s">
        <v>163</v>
      </c>
    </row>
    <row r="52" spans="2:11" ht="15.75" x14ac:dyDescent="0.25">
      <c r="B52" s="188" t="s">
        <v>6</v>
      </c>
      <c r="C52" s="204"/>
      <c r="D52" s="204"/>
      <c r="E52" s="202"/>
      <c r="F52" s="201"/>
      <c r="G52" s="202"/>
      <c r="H52" s="205"/>
      <c r="I52" s="203"/>
      <c r="J52" s="194" t="s">
        <v>160</v>
      </c>
      <c r="K52" s="195">
        <f>SUM(I50:I51)</f>
        <v>195000</v>
      </c>
    </row>
    <row r="53" spans="2:11" ht="15.75" x14ac:dyDescent="0.25">
      <c r="B53" s="143"/>
      <c r="C53" s="197"/>
      <c r="D53" s="197"/>
      <c r="E53" s="131"/>
      <c r="F53" s="158"/>
      <c r="G53" s="131"/>
      <c r="H53" s="198"/>
      <c r="I53" s="160"/>
      <c r="J53" s="209"/>
      <c r="K53" s="162"/>
    </row>
    <row r="54" spans="2:11" ht="15.75" x14ac:dyDescent="0.25">
      <c r="B54" s="196"/>
      <c r="C54" s="197"/>
      <c r="D54" s="197"/>
      <c r="E54" s="131"/>
      <c r="F54" s="158"/>
      <c r="G54" s="131"/>
      <c r="H54" s="198"/>
      <c r="I54" s="160"/>
      <c r="J54" s="198"/>
      <c r="K54" s="162"/>
    </row>
    <row r="55" spans="2:11" ht="15.75" x14ac:dyDescent="0.25">
      <c r="B55" s="143" t="s">
        <v>7</v>
      </c>
      <c r="C55" s="197"/>
      <c r="D55" s="197"/>
      <c r="E55" s="131"/>
      <c r="F55" s="158"/>
      <c r="G55" s="131"/>
      <c r="H55" s="198"/>
      <c r="I55" s="160"/>
      <c r="J55" s="198"/>
      <c r="K55" s="162"/>
    </row>
    <row r="56" spans="2:11" ht="15.75" x14ac:dyDescent="0.25">
      <c r="B56" s="206" t="s">
        <v>161</v>
      </c>
      <c r="C56" s="197" t="s">
        <v>162</v>
      </c>
      <c r="D56" s="197"/>
      <c r="E56" s="131"/>
      <c r="F56" s="158" t="s">
        <v>157</v>
      </c>
      <c r="G56" s="131"/>
      <c r="H56" s="198"/>
      <c r="I56" s="160"/>
      <c r="J56" s="161"/>
      <c r="K56" s="208" t="s">
        <v>163</v>
      </c>
    </row>
    <row r="57" spans="2:11" ht="15.75" x14ac:dyDescent="0.25">
      <c r="B57" s="206" t="s">
        <v>164</v>
      </c>
      <c r="C57" s="197" t="s">
        <v>165</v>
      </c>
      <c r="D57" s="197"/>
      <c r="E57" s="210">
        <v>0.2</v>
      </c>
      <c r="F57" s="158" t="s">
        <v>157</v>
      </c>
      <c r="G57" s="207"/>
      <c r="H57" s="198"/>
      <c r="I57" s="160">
        <f>E57*K46</f>
        <v>390000</v>
      </c>
      <c r="J57" s="161"/>
      <c r="K57" s="162"/>
    </row>
    <row r="58" spans="2:11" ht="15.75" x14ac:dyDescent="0.25">
      <c r="B58" s="188" t="s">
        <v>8</v>
      </c>
      <c r="C58" s="211"/>
      <c r="D58" s="211"/>
      <c r="E58" s="212"/>
      <c r="F58" s="212"/>
      <c r="G58" s="212"/>
      <c r="H58" s="213"/>
      <c r="I58" s="213"/>
      <c r="J58" s="194" t="s">
        <v>166</v>
      </c>
      <c r="K58" s="214">
        <f>SUM(I56:I57)</f>
        <v>390000</v>
      </c>
    </row>
    <row r="59" spans="2:11" ht="15.75" x14ac:dyDescent="0.25">
      <c r="B59" s="143"/>
      <c r="C59" s="197"/>
      <c r="D59" s="197"/>
      <c r="E59" s="131"/>
      <c r="F59" s="131"/>
      <c r="G59" s="131"/>
      <c r="H59" s="198"/>
      <c r="I59" s="198"/>
      <c r="J59" s="209"/>
      <c r="K59" s="162"/>
    </row>
    <row r="60" spans="2:11" ht="15.75" x14ac:dyDescent="0.25">
      <c r="B60" s="196"/>
      <c r="C60" s="197"/>
      <c r="D60" s="197"/>
      <c r="E60" s="131"/>
      <c r="F60" s="131"/>
      <c r="G60" s="131"/>
      <c r="H60" s="198"/>
      <c r="I60" s="198"/>
      <c r="J60" s="198"/>
      <c r="K60" s="162"/>
    </row>
    <row r="61" spans="2:11" ht="34.5" customHeight="1" thickBot="1" x14ac:dyDescent="0.35">
      <c r="B61" s="215" t="s">
        <v>9</v>
      </c>
      <c r="C61" s="216"/>
      <c r="D61" s="216"/>
      <c r="E61" s="216"/>
      <c r="F61" s="216"/>
      <c r="G61" s="217"/>
      <c r="H61" s="218"/>
      <c r="I61" s="219"/>
      <c r="J61" s="220" t="s">
        <v>167</v>
      </c>
      <c r="K61" s="221">
        <f>K46+K52+K58</f>
        <v>2535000</v>
      </c>
    </row>
    <row r="62" spans="2:11" ht="15.75" thickTop="1" x14ac:dyDescent="0.25"/>
  </sheetData>
  <mergeCells count="4">
    <mergeCell ref="J3:K3"/>
    <mergeCell ref="B8:K8"/>
    <mergeCell ref="B1:K1"/>
    <mergeCell ref="B2:K2"/>
  </mergeCells>
  <printOptions horizontalCentered="1"/>
  <pageMargins left="0.75" right="0.75" top="1" bottom="1" header="0.5" footer="0.5"/>
  <pageSetup scale="46" orientation="portrait" r:id="rId1"/>
  <headerFooter alignWithMargins="0">
    <oddFooter>&amp;L&amp;8UAF
PM&amp;Y2.5&amp;Y Serious NAA BACT Analysis&amp;C&amp;8Page 132&amp;R&amp;8January 2017</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40"/>
  <sheetViews>
    <sheetView topLeftCell="A10" zoomScaleNormal="100" workbookViewId="0">
      <selection activeCell="J39" sqref="J39"/>
    </sheetView>
  </sheetViews>
  <sheetFormatPr defaultColWidth="8.85546875" defaultRowHeight="15" x14ac:dyDescent="0.25"/>
  <cols>
    <col min="1" max="1" width="3" style="124" customWidth="1"/>
    <col min="2" max="3" width="6" style="124" customWidth="1"/>
    <col min="4" max="4" width="51.42578125" style="124" customWidth="1"/>
    <col min="5" max="5" width="11.5703125" style="124" bestFit="1" customWidth="1"/>
    <col min="6" max="6" width="13.140625" style="124" customWidth="1"/>
    <col min="7" max="7" width="15.42578125" style="124" customWidth="1"/>
    <col min="8" max="8" width="24" style="124" customWidth="1"/>
    <col min="9" max="9" width="18.7109375" style="124" customWidth="1"/>
    <col min="10" max="10" width="8.85546875" style="124"/>
    <col min="11" max="11" width="13.28515625" style="124" customWidth="1"/>
    <col min="12" max="16384" width="8.85546875" style="124"/>
  </cols>
  <sheetData>
    <row r="1" spans="2:11" x14ac:dyDescent="0.25">
      <c r="B1" s="468" t="s">
        <v>211</v>
      </c>
      <c r="C1" s="468"/>
      <c r="D1" s="468"/>
      <c r="E1" s="468"/>
      <c r="F1" s="468"/>
      <c r="G1" s="468"/>
      <c r="H1" s="468"/>
      <c r="I1" s="468"/>
      <c r="J1" s="468"/>
      <c r="K1" s="468"/>
    </row>
    <row r="2" spans="2:11" x14ac:dyDescent="0.25">
      <c r="B2" s="468" t="s">
        <v>200</v>
      </c>
      <c r="C2" s="468"/>
      <c r="D2" s="468"/>
      <c r="E2" s="468"/>
      <c r="F2" s="468"/>
      <c r="G2" s="468"/>
      <c r="H2" s="468"/>
      <c r="I2" s="468"/>
      <c r="J2" s="468"/>
      <c r="K2" s="468"/>
    </row>
    <row r="3" spans="2:11" ht="15.75" thickBot="1" x14ac:dyDescent="0.3">
      <c r="I3" s="475" t="s">
        <v>168</v>
      </c>
      <c r="J3" s="476"/>
      <c r="K3" s="477"/>
    </row>
    <row r="4" spans="2:11" ht="19.5" thickTop="1" x14ac:dyDescent="0.3">
      <c r="B4" s="125" t="s">
        <v>208</v>
      </c>
      <c r="C4" s="222"/>
      <c r="D4" s="127"/>
      <c r="E4" s="127"/>
      <c r="F4" s="127"/>
      <c r="G4" s="127"/>
      <c r="H4" s="127"/>
      <c r="I4" s="127"/>
      <c r="J4" s="223" t="s">
        <v>89</v>
      </c>
      <c r="K4" s="224">
        <v>42412</v>
      </c>
    </row>
    <row r="5" spans="2:11" ht="18" x14ac:dyDescent="0.35">
      <c r="B5" s="130" t="s">
        <v>169</v>
      </c>
      <c r="C5" s="131"/>
      <c r="D5" s="405" t="s">
        <v>247</v>
      </c>
      <c r="E5" s="131"/>
      <c r="F5" s="131"/>
      <c r="G5" s="131"/>
      <c r="H5" s="131"/>
      <c r="I5" s="131"/>
      <c r="J5" s="128" t="s">
        <v>91</v>
      </c>
      <c r="K5" s="132" t="s">
        <v>92</v>
      </c>
    </row>
    <row r="6" spans="2:11" x14ac:dyDescent="0.25">
      <c r="B6" s="130"/>
      <c r="C6" s="131"/>
      <c r="D6" s="131"/>
      <c r="E6" s="131"/>
      <c r="F6" s="131"/>
      <c r="G6" s="131"/>
      <c r="H6" s="131"/>
      <c r="I6" s="131"/>
      <c r="J6" s="128" t="s">
        <v>93</v>
      </c>
      <c r="K6" s="132" t="s">
        <v>219</v>
      </c>
    </row>
    <row r="7" spans="2:11" ht="15.75" thickBot="1" x14ac:dyDescent="0.3">
      <c r="B7" s="133"/>
      <c r="C7" s="134"/>
      <c r="D7" s="134"/>
      <c r="E7" s="134"/>
      <c r="F7" s="134"/>
      <c r="G7" s="134"/>
      <c r="H7" s="134"/>
      <c r="I7" s="134"/>
      <c r="J7" s="135" t="s">
        <v>94</v>
      </c>
      <c r="K7" s="136" t="s">
        <v>229</v>
      </c>
    </row>
    <row r="8" spans="2:11" ht="16.5" thickBot="1" x14ac:dyDescent="0.3">
      <c r="B8" s="478" t="s">
        <v>10</v>
      </c>
      <c r="C8" s="479"/>
      <c r="D8" s="479"/>
      <c r="E8" s="479"/>
      <c r="F8" s="479"/>
      <c r="G8" s="479"/>
      <c r="H8" s="479"/>
      <c r="I8" s="479"/>
      <c r="J8" s="479"/>
      <c r="K8" s="480"/>
    </row>
    <row r="9" spans="2:11" ht="15.75" x14ac:dyDescent="0.25">
      <c r="B9" s="225" t="s">
        <v>11</v>
      </c>
      <c r="C9" s="226"/>
      <c r="D9" s="227"/>
      <c r="E9" s="228" t="s">
        <v>96</v>
      </c>
      <c r="F9" s="228" t="s">
        <v>97</v>
      </c>
      <c r="G9" s="229" t="s">
        <v>98</v>
      </c>
      <c r="H9" s="230" t="s">
        <v>99</v>
      </c>
      <c r="I9" s="230" t="s">
        <v>100</v>
      </c>
      <c r="J9" s="227"/>
      <c r="K9" s="231" t="s">
        <v>170</v>
      </c>
    </row>
    <row r="10" spans="2:11" x14ac:dyDescent="0.25">
      <c r="B10" s="232" t="s">
        <v>101</v>
      </c>
      <c r="C10" s="131" t="s">
        <v>171</v>
      </c>
      <c r="D10" s="131"/>
      <c r="E10" s="157"/>
      <c r="F10" s="158" t="s">
        <v>118</v>
      </c>
      <c r="G10" s="157"/>
      <c r="H10" s="160" t="s">
        <v>172</v>
      </c>
      <c r="I10" s="160">
        <f>E10*G10</f>
        <v>0</v>
      </c>
      <c r="J10" s="233"/>
      <c r="K10" s="171">
        <f>I10</f>
        <v>0</v>
      </c>
    </row>
    <row r="11" spans="2:11" x14ac:dyDescent="0.25">
      <c r="B11" s="232" t="s">
        <v>128</v>
      </c>
      <c r="C11" s="131" t="s">
        <v>173</v>
      </c>
      <c r="D11" s="131"/>
      <c r="E11" s="157"/>
      <c r="F11" s="158" t="s">
        <v>118</v>
      </c>
      <c r="G11" s="157"/>
      <c r="H11" s="160" t="s">
        <v>172</v>
      </c>
      <c r="I11" s="160">
        <f>E11*G11</f>
        <v>0</v>
      </c>
      <c r="J11" s="233"/>
      <c r="K11" s="171">
        <f t="shared" ref="K11:K12" si="0">I11</f>
        <v>0</v>
      </c>
    </row>
    <row r="12" spans="2:11" x14ac:dyDescent="0.25">
      <c r="B12" s="232" t="s">
        <v>155</v>
      </c>
      <c r="C12" s="131" t="s">
        <v>174</v>
      </c>
      <c r="D12" s="131"/>
      <c r="E12" s="157"/>
      <c r="F12" s="166" t="s">
        <v>118</v>
      </c>
      <c r="G12" s="157"/>
      <c r="H12" s="160" t="s">
        <v>172</v>
      </c>
      <c r="I12" s="160">
        <f>E12*G12</f>
        <v>0</v>
      </c>
      <c r="J12" s="233"/>
      <c r="K12" s="171">
        <f t="shared" si="0"/>
        <v>0</v>
      </c>
    </row>
    <row r="13" spans="2:11" x14ac:dyDescent="0.25">
      <c r="B13" s="232" t="s">
        <v>158</v>
      </c>
      <c r="C13" s="131" t="s">
        <v>175</v>
      </c>
      <c r="D13" s="131"/>
      <c r="E13" s="157"/>
      <c r="F13" s="166" t="s">
        <v>136</v>
      </c>
      <c r="G13" s="157"/>
      <c r="H13" s="160">
        <f>E13*G13</f>
        <v>0</v>
      </c>
      <c r="I13" s="160" t="s">
        <v>172</v>
      </c>
      <c r="J13" s="233"/>
      <c r="K13" s="171">
        <f>H13</f>
        <v>0</v>
      </c>
    </row>
    <row r="14" spans="2:11" x14ac:dyDescent="0.25">
      <c r="B14" s="232" t="s">
        <v>161</v>
      </c>
      <c r="C14" s="131" t="s">
        <v>176</v>
      </c>
      <c r="D14" s="131"/>
      <c r="E14" s="158"/>
      <c r="F14" s="158"/>
      <c r="G14" s="160"/>
      <c r="H14" s="160"/>
      <c r="I14" s="160"/>
      <c r="J14" s="233"/>
      <c r="K14" s="171"/>
    </row>
    <row r="15" spans="2:11" x14ac:dyDescent="0.25">
      <c r="B15" s="130"/>
      <c r="C15" s="234" t="s">
        <v>103</v>
      </c>
      <c r="D15" s="131" t="s">
        <v>209</v>
      </c>
      <c r="E15" s="235">
        <f>300*8760/2000</f>
        <v>1314</v>
      </c>
      <c r="F15" s="158" t="s">
        <v>133</v>
      </c>
      <c r="G15" s="157">
        <v>700</v>
      </c>
      <c r="H15" s="160">
        <f>E15*G15</f>
        <v>919800</v>
      </c>
      <c r="I15" s="160"/>
      <c r="J15" s="233"/>
      <c r="K15" s="171">
        <f>H15</f>
        <v>919800</v>
      </c>
    </row>
    <row r="16" spans="2:11" x14ac:dyDescent="0.25">
      <c r="B16" s="130"/>
      <c r="C16" s="234" t="s">
        <v>108</v>
      </c>
      <c r="D16" s="131" t="s">
        <v>178</v>
      </c>
      <c r="E16" s="157">
        <f>200*8760</f>
        <v>1752000</v>
      </c>
      <c r="F16" s="158" t="s">
        <v>179</v>
      </c>
      <c r="G16" s="157">
        <v>0.18</v>
      </c>
      <c r="H16" s="160">
        <f>E16*G16</f>
        <v>315360</v>
      </c>
      <c r="I16" s="160"/>
      <c r="J16" s="233"/>
      <c r="K16" s="171">
        <f>H16</f>
        <v>315360</v>
      </c>
    </row>
    <row r="17" spans="2:12" x14ac:dyDescent="0.25">
      <c r="B17" s="236"/>
      <c r="C17" s="234"/>
      <c r="D17" s="234"/>
      <c r="E17" s="166"/>
      <c r="F17" s="166"/>
      <c r="G17" s="168"/>
      <c r="H17" s="168"/>
      <c r="I17" s="168"/>
      <c r="J17" s="237"/>
      <c r="K17" s="238"/>
    </row>
    <row r="18" spans="2:12" x14ac:dyDescent="0.25">
      <c r="B18" s="239"/>
      <c r="C18" s="240"/>
      <c r="D18" s="131"/>
      <c r="E18" s="241"/>
      <c r="F18" s="128"/>
      <c r="G18" s="233"/>
      <c r="H18" s="160"/>
      <c r="I18" s="242"/>
      <c r="J18" s="160"/>
      <c r="K18" s="171"/>
    </row>
    <row r="19" spans="2:12" x14ac:dyDescent="0.25">
      <c r="B19" s="243" t="s">
        <v>12</v>
      </c>
      <c r="C19" s="244"/>
      <c r="D19" s="245"/>
      <c r="E19" s="246"/>
      <c r="F19" s="247"/>
      <c r="G19" s="248"/>
      <c r="H19" s="193"/>
      <c r="I19" s="249"/>
      <c r="J19" s="250" t="s">
        <v>180</v>
      </c>
      <c r="K19" s="251">
        <f>SUM(K10:K17)</f>
        <v>1235160</v>
      </c>
    </row>
    <row r="20" spans="2:12" x14ac:dyDescent="0.25">
      <c r="B20" s="130"/>
      <c r="C20" s="240"/>
      <c r="D20" s="131"/>
      <c r="E20" s="158"/>
      <c r="F20" s="131"/>
      <c r="G20" s="160"/>
      <c r="H20" s="160"/>
      <c r="I20" s="242"/>
      <c r="J20" s="252"/>
      <c r="K20" s="171"/>
    </row>
    <row r="21" spans="2:12" ht="15.75" x14ac:dyDescent="0.25">
      <c r="B21" s="143" t="s">
        <v>13</v>
      </c>
      <c r="C21" s="149"/>
      <c r="D21" s="131"/>
      <c r="E21" s="158"/>
      <c r="F21" s="158"/>
      <c r="G21" s="160"/>
      <c r="H21" s="160"/>
      <c r="I21" s="160"/>
      <c r="J21" s="160"/>
      <c r="K21" s="171"/>
    </row>
    <row r="22" spans="2:12" x14ac:dyDescent="0.25">
      <c r="B22" s="232" t="s">
        <v>164</v>
      </c>
      <c r="C22" s="131" t="s">
        <v>181</v>
      </c>
      <c r="D22" s="131"/>
      <c r="E22" s="157"/>
      <c r="F22" s="166" t="s">
        <v>182</v>
      </c>
      <c r="G22" s="166"/>
      <c r="H22" s="160" t="s">
        <v>172</v>
      </c>
      <c r="I22" s="160">
        <f>E22*G22</f>
        <v>0</v>
      </c>
      <c r="J22" s="233"/>
      <c r="K22" s="171">
        <f>I22</f>
        <v>0</v>
      </c>
    </row>
    <row r="23" spans="2:12" x14ac:dyDescent="0.25">
      <c r="B23" s="232" t="s">
        <v>183</v>
      </c>
      <c r="C23" s="408" t="s">
        <v>256</v>
      </c>
      <c r="D23" s="131"/>
      <c r="E23" s="253">
        <v>0.03</v>
      </c>
      <c r="F23" s="158" t="s">
        <v>184</v>
      </c>
      <c r="G23" s="166"/>
      <c r="H23" s="160"/>
      <c r="I23" s="160">
        <f>E23*'5-6 - EU ID 113 - DSI TCI'!K61</f>
        <v>76050</v>
      </c>
      <c r="J23" s="233"/>
      <c r="K23" s="171">
        <f>I23</f>
        <v>76050</v>
      </c>
    </row>
    <row r="24" spans="2:12" x14ac:dyDescent="0.25">
      <c r="B24" s="232"/>
      <c r="C24" s="234" t="s">
        <v>185</v>
      </c>
      <c r="D24" s="131"/>
      <c r="E24" s="241">
        <f>($E$39/100*POWER((1+($E$39/100)),$E$40))/((POWER(((1+$E$39/100)),$E$40))-1)</f>
        <v>9.7977148946865877E-2</v>
      </c>
      <c r="F24" s="166"/>
      <c r="G24" s="160"/>
      <c r="H24" s="160"/>
      <c r="I24" s="160"/>
      <c r="J24" s="233"/>
      <c r="K24" s="254"/>
      <c r="L24" s="255"/>
    </row>
    <row r="25" spans="2:12" x14ac:dyDescent="0.25">
      <c r="B25" s="232" t="s">
        <v>186</v>
      </c>
      <c r="C25" s="131" t="s">
        <v>187</v>
      </c>
      <c r="D25" s="131"/>
      <c r="E25" s="131"/>
      <c r="F25" s="131"/>
      <c r="G25" s="160"/>
      <c r="H25" s="256"/>
      <c r="I25" s="160"/>
      <c r="J25" s="257" t="s">
        <v>188</v>
      </c>
      <c r="K25" s="171">
        <f>E24*'5-6 - EU ID 113 - DSI TCI'!K61</f>
        <v>248372.07258030499</v>
      </c>
      <c r="L25" s="255"/>
    </row>
    <row r="26" spans="2:12" x14ac:dyDescent="0.25">
      <c r="B26" s="130"/>
      <c r="C26" s="131"/>
      <c r="D26" s="131"/>
      <c r="E26" s="158"/>
      <c r="F26" s="131"/>
      <c r="G26" s="160"/>
      <c r="H26" s="160"/>
      <c r="I26" s="160"/>
      <c r="J26" s="160"/>
      <c r="K26" s="171"/>
    </row>
    <row r="27" spans="2:12" x14ac:dyDescent="0.25">
      <c r="B27" s="243" t="s">
        <v>14</v>
      </c>
      <c r="C27" s="244"/>
      <c r="D27" s="258"/>
      <c r="E27" s="259"/>
      <c r="F27" s="258"/>
      <c r="G27" s="249"/>
      <c r="H27" s="260"/>
      <c r="I27" s="249"/>
      <c r="J27" s="250" t="s">
        <v>189</v>
      </c>
      <c r="K27" s="251">
        <f>SUM(K22:K25)</f>
        <v>324422.07258030499</v>
      </c>
    </row>
    <row r="28" spans="2:12" x14ac:dyDescent="0.25">
      <c r="B28" s="261"/>
      <c r="C28" s="262"/>
      <c r="D28" s="131"/>
      <c r="E28" s="158"/>
      <c r="F28" s="131"/>
      <c r="G28" s="160"/>
      <c r="H28" s="160"/>
      <c r="I28" s="160"/>
      <c r="J28" s="160"/>
      <c r="K28" s="171"/>
    </row>
    <row r="29" spans="2:12" ht="15.75" x14ac:dyDescent="0.25">
      <c r="B29" s="263" t="s">
        <v>190</v>
      </c>
      <c r="C29" s="264"/>
      <c r="D29" s="192"/>
      <c r="E29" s="191"/>
      <c r="F29" s="192"/>
      <c r="G29" s="193"/>
      <c r="H29" s="265"/>
      <c r="I29" s="193"/>
      <c r="J29" s="250" t="s">
        <v>191</v>
      </c>
      <c r="K29" s="251">
        <f>K19+K27</f>
        <v>1559582.0725803049</v>
      </c>
    </row>
    <row r="30" spans="2:12" ht="15.75" thickBot="1" x14ac:dyDescent="0.3">
      <c r="B30" s="130"/>
      <c r="C30" s="131"/>
      <c r="D30" s="131"/>
      <c r="E30" s="158"/>
      <c r="F30" s="131"/>
      <c r="G30" s="131"/>
      <c r="H30" s="131"/>
      <c r="I30" s="131"/>
      <c r="J30" s="131"/>
      <c r="K30" s="151"/>
    </row>
    <row r="31" spans="2:12" ht="16.5" thickBot="1" x14ac:dyDescent="0.3">
      <c r="B31" s="472" t="s">
        <v>15</v>
      </c>
      <c r="C31" s="473"/>
      <c r="D31" s="473"/>
      <c r="E31" s="473"/>
      <c r="F31" s="473"/>
      <c r="G31" s="473"/>
      <c r="H31" s="473"/>
      <c r="I31" s="473"/>
      <c r="J31" s="473"/>
      <c r="K31" s="474"/>
    </row>
    <row r="32" spans="2:12" x14ac:dyDescent="0.25">
      <c r="B32" s="130"/>
      <c r="C32" s="131"/>
      <c r="D32" s="131"/>
      <c r="E32" s="131"/>
      <c r="F32" s="131"/>
      <c r="G32" s="131"/>
      <c r="H32" s="131"/>
      <c r="I32" s="131"/>
      <c r="J32" s="131"/>
      <c r="K32" s="151"/>
    </row>
    <row r="33" spans="2:11" ht="15.75" x14ac:dyDescent="0.25">
      <c r="B33" s="143" t="s">
        <v>192</v>
      </c>
      <c r="C33" s="149"/>
      <c r="D33" s="131"/>
      <c r="E33" s="131"/>
      <c r="F33" s="131"/>
      <c r="G33" s="131"/>
      <c r="H33" s="131"/>
      <c r="I33" s="131"/>
      <c r="J33" s="266" t="s">
        <v>3</v>
      </c>
      <c r="K33" s="410">
        <f>'5-3'!F7</f>
        <v>194.17499999999998</v>
      </c>
    </row>
    <row r="34" spans="2:11" x14ac:dyDescent="0.25">
      <c r="B34" s="130"/>
      <c r="C34" s="131"/>
      <c r="D34" s="131"/>
      <c r="E34" s="131"/>
      <c r="F34" s="131"/>
      <c r="G34" s="131"/>
      <c r="H34" s="131"/>
      <c r="I34" s="131"/>
      <c r="J34" s="131"/>
      <c r="K34" s="151"/>
    </row>
    <row r="35" spans="2:11" ht="16.5" thickBot="1" x14ac:dyDescent="0.3">
      <c r="B35" s="267" t="s">
        <v>193</v>
      </c>
      <c r="C35" s="268"/>
      <c r="D35" s="269"/>
      <c r="E35" s="269"/>
      <c r="F35" s="269"/>
      <c r="G35" s="269"/>
      <c r="H35" s="270"/>
      <c r="I35" s="269"/>
      <c r="J35" s="271" t="s">
        <v>194</v>
      </c>
      <c r="K35" s="272">
        <f>K29/K33</f>
        <v>8031.8376339915285</v>
      </c>
    </row>
    <row r="36" spans="2:11" ht="15.75" thickTop="1" x14ac:dyDescent="0.25"/>
    <row r="37" spans="2:11" ht="15.75" thickBot="1" x14ac:dyDescent="0.3"/>
    <row r="38" spans="2:11" x14ac:dyDescent="0.25">
      <c r="D38" s="273" t="s">
        <v>195</v>
      </c>
      <c r="E38" s="227"/>
      <c r="F38" s="274"/>
      <c r="G38" s="275"/>
    </row>
    <row r="39" spans="2:11" x14ac:dyDescent="0.25">
      <c r="D39" s="276" t="s">
        <v>196</v>
      </c>
      <c r="E39" s="235">
        <v>5.25</v>
      </c>
      <c r="F39" s="277" t="s">
        <v>182</v>
      </c>
    </row>
    <row r="40" spans="2:11" ht="15.75" thickBot="1" x14ac:dyDescent="0.3">
      <c r="D40" s="278" t="s">
        <v>197</v>
      </c>
      <c r="E40" s="279">
        <v>15</v>
      </c>
      <c r="F40" s="280" t="s">
        <v>198</v>
      </c>
    </row>
  </sheetData>
  <mergeCells count="5">
    <mergeCell ref="I3:K3"/>
    <mergeCell ref="B8:K8"/>
    <mergeCell ref="B31:K31"/>
    <mergeCell ref="B1:K1"/>
    <mergeCell ref="B2:K2"/>
  </mergeCells>
  <printOptions horizontalCentered="1"/>
  <pageMargins left="0.75" right="0.75" top="1" bottom="1" header="0.5" footer="0.5"/>
  <pageSetup scale="53" orientation="portrait" r:id="rId1"/>
  <headerFooter alignWithMargins="0">
    <oddFooter>&amp;L&amp;8UAF
PM&amp;Y2.5&amp;Y Serious NAA BACT Analysis&amp;C&amp;8Page 133&amp;R&amp;8January 2017</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37"/>
  <sheetViews>
    <sheetView zoomScaleNormal="100" workbookViewId="0">
      <selection activeCell="G22" sqref="G22"/>
    </sheetView>
  </sheetViews>
  <sheetFormatPr defaultColWidth="8.85546875" defaultRowHeight="15" x14ac:dyDescent="0.25"/>
  <cols>
    <col min="1" max="1" width="3" style="41" customWidth="1"/>
    <col min="2" max="3" width="6" style="41" customWidth="1"/>
    <col min="4" max="4" width="52.28515625" style="41" customWidth="1"/>
    <col min="5" max="5" width="11.5703125" style="41" bestFit="1" customWidth="1"/>
    <col min="6" max="6" width="13.140625" style="41" customWidth="1"/>
    <col min="7" max="7" width="15.42578125" style="41" customWidth="1"/>
    <col min="8" max="8" width="24" style="41" customWidth="1"/>
    <col min="9" max="9" width="18.7109375" style="41" customWidth="1"/>
    <col min="10" max="10" width="8.85546875" style="41"/>
    <col min="11" max="11" width="13.28515625" style="41" customWidth="1"/>
    <col min="12" max="16384" width="8.85546875" style="41"/>
  </cols>
  <sheetData>
    <row r="1" spans="2:11" x14ac:dyDescent="0.25">
      <c r="B1" s="468" t="s">
        <v>222</v>
      </c>
      <c r="C1" s="468"/>
      <c r="D1" s="468"/>
      <c r="E1" s="468"/>
      <c r="F1" s="468"/>
      <c r="G1" s="468"/>
      <c r="H1" s="468"/>
      <c r="I1" s="468"/>
      <c r="J1" s="468"/>
      <c r="K1" s="468"/>
    </row>
    <row r="2" spans="2:11" x14ac:dyDescent="0.25">
      <c r="B2" s="468" t="s">
        <v>227</v>
      </c>
      <c r="C2" s="468"/>
      <c r="D2" s="468"/>
      <c r="E2" s="468"/>
      <c r="F2" s="468"/>
      <c r="G2" s="468"/>
      <c r="H2" s="468"/>
      <c r="I2" s="468"/>
      <c r="J2" s="468"/>
      <c r="K2" s="468"/>
    </row>
    <row r="3" spans="2:11" ht="15.75" thickBot="1" x14ac:dyDescent="0.3">
      <c r="I3" s="487" t="s">
        <v>168</v>
      </c>
      <c r="J3" s="488"/>
      <c r="K3" s="489"/>
    </row>
    <row r="4" spans="2:11" ht="19.5" thickTop="1" x14ac:dyDescent="0.3">
      <c r="B4" s="123" t="s">
        <v>220</v>
      </c>
      <c r="C4" s="122"/>
      <c r="D4" s="121"/>
      <c r="E4" s="121"/>
      <c r="F4" s="121"/>
      <c r="G4" s="121"/>
      <c r="H4" s="121"/>
      <c r="I4" s="121"/>
      <c r="J4" s="120" t="s">
        <v>89</v>
      </c>
      <c r="K4" s="119">
        <v>42411</v>
      </c>
    </row>
    <row r="5" spans="2:11" ht="18" x14ac:dyDescent="0.35">
      <c r="B5" s="60" t="s">
        <v>169</v>
      </c>
      <c r="C5" s="59"/>
      <c r="D5" s="406" t="s">
        <v>248</v>
      </c>
      <c r="E5" s="59"/>
      <c r="F5" s="59"/>
      <c r="G5" s="59"/>
      <c r="H5" s="59"/>
      <c r="I5" s="59"/>
      <c r="J5" s="105" t="s">
        <v>91</v>
      </c>
      <c r="K5" s="118" t="s">
        <v>92</v>
      </c>
    </row>
    <row r="6" spans="2:11" x14ac:dyDescent="0.25">
      <c r="B6" s="60"/>
      <c r="C6" s="59"/>
      <c r="D6" s="59"/>
      <c r="E6" s="59"/>
      <c r="F6" s="59"/>
      <c r="G6" s="59"/>
      <c r="H6" s="59"/>
      <c r="I6" s="59"/>
      <c r="J6" s="105" t="s">
        <v>93</v>
      </c>
      <c r="K6" s="118" t="s">
        <v>219</v>
      </c>
    </row>
    <row r="7" spans="2:11" ht="15.75" thickBot="1" x14ac:dyDescent="0.3">
      <c r="B7" s="117"/>
      <c r="C7" s="116"/>
      <c r="D7" s="116"/>
      <c r="E7" s="116"/>
      <c r="F7" s="116"/>
      <c r="G7" s="116"/>
      <c r="H7" s="116"/>
      <c r="I7" s="116"/>
      <c r="J7" s="115" t="s">
        <v>94</v>
      </c>
      <c r="K7" s="114" t="s">
        <v>95</v>
      </c>
    </row>
    <row r="8" spans="2:11" ht="16.5" thickBot="1" x14ac:dyDescent="0.3">
      <c r="B8" s="481" t="s">
        <v>10</v>
      </c>
      <c r="C8" s="482"/>
      <c r="D8" s="482"/>
      <c r="E8" s="482"/>
      <c r="F8" s="482"/>
      <c r="G8" s="482"/>
      <c r="H8" s="482"/>
      <c r="I8" s="482"/>
      <c r="J8" s="482"/>
      <c r="K8" s="483"/>
    </row>
    <row r="9" spans="2:11" ht="15.75" x14ac:dyDescent="0.25">
      <c r="B9" s="113" t="s">
        <v>11</v>
      </c>
      <c r="C9" s="112"/>
      <c r="D9" s="50"/>
      <c r="E9" s="111" t="s">
        <v>96</v>
      </c>
      <c r="F9" s="111" t="s">
        <v>97</v>
      </c>
      <c r="G9" s="110"/>
      <c r="H9" s="109" t="s">
        <v>99</v>
      </c>
      <c r="I9" s="109" t="s">
        <v>100</v>
      </c>
      <c r="J9" s="50"/>
      <c r="K9" s="108" t="s">
        <v>170</v>
      </c>
    </row>
    <row r="10" spans="2:11" x14ac:dyDescent="0.25">
      <c r="B10" s="88" t="s">
        <v>101</v>
      </c>
      <c r="C10" s="59" t="s">
        <v>218</v>
      </c>
      <c r="D10" s="59"/>
      <c r="E10" s="107"/>
      <c r="F10" s="91" t="s">
        <v>182</v>
      </c>
      <c r="G10" s="91"/>
      <c r="H10" s="75"/>
      <c r="I10" s="75">
        <f>'[1]Total Capital Investment'!K44*E10/E37</f>
        <v>0</v>
      </c>
      <c r="J10" s="90"/>
      <c r="K10" s="74">
        <f>I10</f>
        <v>0</v>
      </c>
    </row>
    <row r="11" spans="2:11" x14ac:dyDescent="0.25">
      <c r="B11" s="88" t="s">
        <v>128</v>
      </c>
      <c r="C11" s="59" t="s">
        <v>217</v>
      </c>
      <c r="D11" s="59"/>
      <c r="E11" s="107"/>
      <c r="F11" s="91" t="s">
        <v>182</v>
      </c>
      <c r="G11" s="91"/>
      <c r="H11" s="75"/>
      <c r="I11" s="75">
        <f>E11*'[1]Total Capital Investment'!K47/10</f>
        <v>0</v>
      </c>
      <c r="J11" s="90"/>
      <c r="K11" s="74">
        <f>I11</f>
        <v>0</v>
      </c>
    </row>
    <row r="12" spans="2:11" x14ac:dyDescent="0.25">
      <c r="B12" s="88" t="s">
        <v>155</v>
      </c>
      <c r="C12" s="59" t="s">
        <v>175</v>
      </c>
      <c r="D12" s="59"/>
      <c r="E12" s="96"/>
      <c r="F12" s="91" t="s">
        <v>136</v>
      </c>
      <c r="G12" s="96"/>
      <c r="H12" s="94" t="s">
        <v>214</v>
      </c>
      <c r="I12" s="75"/>
      <c r="J12" s="90"/>
      <c r="K12" s="74"/>
    </row>
    <row r="13" spans="2:11" x14ac:dyDescent="0.25">
      <c r="B13" s="88" t="s">
        <v>158</v>
      </c>
      <c r="C13" s="59" t="s">
        <v>176</v>
      </c>
      <c r="D13" s="59"/>
      <c r="E13" s="65"/>
      <c r="F13" s="65"/>
      <c r="G13" s="75"/>
      <c r="H13" s="75"/>
      <c r="I13" s="75"/>
      <c r="J13" s="90"/>
      <c r="K13" s="74"/>
    </row>
    <row r="14" spans="2:11" x14ac:dyDescent="0.25">
      <c r="B14" s="60"/>
      <c r="C14" s="93" t="s">
        <v>103</v>
      </c>
      <c r="D14" s="59" t="s">
        <v>216</v>
      </c>
      <c r="E14" s="401">
        <v>1584684</v>
      </c>
      <c r="F14" s="65" t="s">
        <v>215</v>
      </c>
      <c r="G14" s="46">
        <v>0.28000000000000003</v>
      </c>
      <c r="H14" s="75">
        <f>E14*G14</f>
        <v>443711.52</v>
      </c>
      <c r="I14" s="75"/>
      <c r="J14" s="90"/>
      <c r="K14" s="74">
        <f>H14</f>
        <v>443711.52</v>
      </c>
    </row>
    <row r="15" spans="2:11" x14ac:dyDescent="0.25">
      <c r="B15" s="106"/>
      <c r="C15" s="101"/>
      <c r="D15" s="59"/>
      <c r="E15" s="92"/>
      <c r="F15" s="105"/>
      <c r="G15" s="90"/>
      <c r="H15" s="75"/>
      <c r="I15" s="100"/>
      <c r="J15" s="75"/>
      <c r="K15" s="74"/>
    </row>
    <row r="16" spans="2:11" x14ac:dyDescent="0.25">
      <c r="B16" s="84" t="s">
        <v>12</v>
      </c>
      <c r="C16" s="83"/>
      <c r="D16" s="104"/>
      <c r="E16" s="103"/>
      <c r="F16" s="80"/>
      <c r="G16" s="102"/>
      <c r="H16" s="68"/>
      <c r="I16" s="78"/>
      <c r="J16" s="67" t="s">
        <v>180</v>
      </c>
      <c r="K16" s="66">
        <f>SUM(K10:K14)</f>
        <v>443711.52</v>
      </c>
    </row>
    <row r="17" spans="2:12" x14ac:dyDescent="0.25">
      <c r="B17" s="60"/>
      <c r="C17" s="101"/>
      <c r="D17" s="59"/>
      <c r="E17" s="65"/>
      <c r="F17" s="59"/>
      <c r="G17" s="75"/>
      <c r="H17" s="75"/>
      <c r="I17" s="100"/>
      <c r="J17" s="99"/>
      <c r="K17" s="74"/>
    </row>
    <row r="18" spans="2:12" ht="15.75" x14ac:dyDescent="0.25">
      <c r="B18" s="98" t="s">
        <v>13</v>
      </c>
      <c r="C18" s="63"/>
      <c r="D18" s="97"/>
      <c r="E18" s="65"/>
      <c r="F18" s="65"/>
      <c r="G18" s="75"/>
      <c r="H18" s="75"/>
      <c r="I18" s="75"/>
      <c r="J18" s="75"/>
      <c r="K18" s="74"/>
    </row>
    <row r="19" spans="2:12" x14ac:dyDescent="0.25">
      <c r="B19" s="88" t="s">
        <v>161</v>
      </c>
      <c r="C19" s="59" t="s">
        <v>181</v>
      </c>
      <c r="D19" s="59"/>
      <c r="E19" s="96"/>
      <c r="F19" s="65" t="s">
        <v>182</v>
      </c>
      <c r="G19" s="91"/>
      <c r="H19" s="94" t="s">
        <v>214</v>
      </c>
      <c r="I19" s="75">
        <f>E19*G19</f>
        <v>0</v>
      </c>
      <c r="J19" s="90"/>
      <c r="K19" s="74">
        <f>I19</f>
        <v>0</v>
      </c>
    </row>
    <row r="20" spans="2:12" x14ac:dyDescent="0.25">
      <c r="B20" s="88" t="s">
        <v>164</v>
      </c>
      <c r="C20" s="409" t="s">
        <v>256</v>
      </c>
      <c r="D20" s="59"/>
      <c r="E20" s="95"/>
      <c r="F20" s="65" t="s">
        <v>213</v>
      </c>
      <c r="G20" s="91"/>
      <c r="H20" s="94"/>
      <c r="I20" s="75">
        <f>E20*'[1]Total Capital Investment'!K62</f>
        <v>0</v>
      </c>
      <c r="J20" s="90"/>
      <c r="K20" s="74">
        <f>I20</f>
        <v>0</v>
      </c>
    </row>
    <row r="21" spans="2:12" x14ac:dyDescent="0.25">
      <c r="B21" s="88"/>
      <c r="C21" s="93" t="s">
        <v>185</v>
      </c>
      <c r="D21" s="59"/>
      <c r="E21" s="92">
        <f>($E$36/100*POWER((1+($E$36/100)),$E$37))/((POWER(((1+$E$36/100)),$E$37))-1)</f>
        <v>0.14237750272736471</v>
      </c>
      <c r="F21" s="91"/>
      <c r="G21" s="75"/>
      <c r="H21" s="75"/>
      <c r="I21" s="75"/>
      <c r="J21" s="90"/>
      <c r="K21" s="89"/>
      <c r="L21" s="85"/>
    </row>
    <row r="22" spans="2:12" x14ac:dyDescent="0.25">
      <c r="B22" s="88" t="s">
        <v>183</v>
      </c>
      <c r="C22" s="59" t="s">
        <v>187</v>
      </c>
      <c r="D22" s="59"/>
      <c r="E22" s="59"/>
      <c r="F22" s="59"/>
      <c r="G22" s="75"/>
      <c r="H22" s="87"/>
      <c r="I22" s="75"/>
      <c r="J22" s="86" t="s">
        <v>188</v>
      </c>
      <c r="K22" s="74">
        <f>E21*'[1]Total Capital Investment'!K62</f>
        <v>0</v>
      </c>
      <c r="L22" s="85"/>
    </row>
    <row r="23" spans="2:12" x14ac:dyDescent="0.25">
      <c r="B23" s="60"/>
      <c r="C23" s="59"/>
      <c r="D23" s="59"/>
      <c r="E23" s="65"/>
      <c r="F23" s="59"/>
      <c r="G23" s="75"/>
      <c r="H23" s="75"/>
      <c r="I23" s="75"/>
      <c r="J23" s="75"/>
      <c r="K23" s="74"/>
    </row>
    <row r="24" spans="2:12" x14ac:dyDescent="0.25">
      <c r="B24" s="84" t="s">
        <v>14</v>
      </c>
      <c r="C24" s="83"/>
      <c r="D24" s="82"/>
      <c r="E24" s="81"/>
      <c r="F24" s="80"/>
      <c r="G24" s="78"/>
      <c r="H24" s="79"/>
      <c r="I24" s="78"/>
      <c r="J24" s="67" t="s">
        <v>189</v>
      </c>
      <c r="K24" s="66">
        <f>SUM(K19:K22)</f>
        <v>0</v>
      </c>
    </row>
    <row r="25" spans="2:12" x14ac:dyDescent="0.25">
      <c r="B25" s="77"/>
      <c r="C25" s="76"/>
      <c r="D25" s="59"/>
      <c r="E25" s="65"/>
      <c r="F25" s="59"/>
      <c r="G25" s="75"/>
      <c r="H25" s="75"/>
      <c r="I25" s="75"/>
      <c r="J25" s="75"/>
      <c r="K25" s="74"/>
    </row>
    <row r="26" spans="2:12" ht="15.75" x14ac:dyDescent="0.25">
      <c r="B26" s="73" t="s">
        <v>190</v>
      </c>
      <c r="C26" s="72"/>
      <c r="D26" s="70"/>
      <c r="E26" s="71"/>
      <c r="F26" s="70"/>
      <c r="G26" s="68"/>
      <c r="H26" s="69"/>
      <c r="I26" s="68"/>
      <c r="J26" s="67" t="s">
        <v>191</v>
      </c>
      <c r="K26" s="66">
        <f>K16+K24</f>
        <v>443711.52</v>
      </c>
    </row>
    <row r="27" spans="2:12" ht="15.75" thickBot="1" x14ac:dyDescent="0.3">
      <c r="B27" s="60"/>
      <c r="C27" s="59"/>
      <c r="D27" s="59"/>
      <c r="E27" s="65"/>
      <c r="F27" s="59"/>
      <c r="G27" s="59"/>
      <c r="H27" s="59"/>
      <c r="I27" s="59"/>
      <c r="J27" s="59"/>
      <c r="K27" s="58"/>
    </row>
    <row r="28" spans="2:12" ht="16.5" thickBot="1" x14ac:dyDescent="0.3">
      <c r="B28" s="484" t="s">
        <v>15</v>
      </c>
      <c r="C28" s="485"/>
      <c r="D28" s="485"/>
      <c r="E28" s="485"/>
      <c r="F28" s="485"/>
      <c r="G28" s="485"/>
      <c r="H28" s="485"/>
      <c r="I28" s="485"/>
      <c r="J28" s="485"/>
      <c r="K28" s="486"/>
    </row>
    <row r="29" spans="2:12" x14ac:dyDescent="0.25">
      <c r="B29" s="60"/>
      <c r="C29" s="59"/>
      <c r="D29" s="59"/>
      <c r="E29" s="59"/>
      <c r="F29" s="59"/>
      <c r="G29" s="59"/>
      <c r="H29" s="59"/>
      <c r="I29" s="59"/>
      <c r="J29" s="59"/>
      <c r="K29" s="58"/>
    </row>
    <row r="30" spans="2:12" ht="15.75" x14ac:dyDescent="0.25">
      <c r="B30" s="64" t="s">
        <v>192</v>
      </c>
      <c r="C30" s="63"/>
      <c r="D30" s="59"/>
      <c r="E30" s="59"/>
      <c r="F30" s="59"/>
      <c r="G30" s="59"/>
      <c r="H30" s="59"/>
      <c r="I30" s="59"/>
      <c r="J30" s="62" t="s">
        <v>3</v>
      </c>
      <c r="K30" s="61">
        <f>410.6-1.2</f>
        <v>409.40000000000003</v>
      </c>
    </row>
    <row r="31" spans="2:12" x14ac:dyDescent="0.25">
      <c r="B31" s="60"/>
      <c r="C31" s="59"/>
      <c r="D31" s="59"/>
      <c r="E31" s="59"/>
      <c r="F31" s="59"/>
      <c r="G31" s="59"/>
      <c r="H31" s="59"/>
      <c r="I31" s="59"/>
      <c r="J31" s="59"/>
      <c r="K31" s="58"/>
    </row>
    <row r="32" spans="2:12" ht="16.5" thickBot="1" x14ac:dyDescent="0.3">
      <c r="B32" s="57" t="s">
        <v>193</v>
      </c>
      <c r="C32" s="56"/>
      <c r="D32" s="54"/>
      <c r="E32" s="54"/>
      <c r="F32" s="54"/>
      <c r="G32" s="54"/>
      <c r="H32" s="55"/>
      <c r="I32" s="54"/>
      <c r="J32" s="53" t="s">
        <v>194</v>
      </c>
      <c r="K32" s="52">
        <f>K26/K30</f>
        <v>1083.809281875916</v>
      </c>
    </row>
    <row r="33" spans="4:7" ht="15.75" thickTop="1" x14ac:dyDescent="0.25"/>
    <row r="34" spans="4:7" ht="15.75" thickBot="1" x14ac:dyDescent="0.3"/>
    <row r="35" spans="4:7" x14ac:dyDescent="0.25">
      <c r="D35" s="51" t="s">
        <v>195</v>
      </c>
      <c r="E35" s="50"/>
      <c r="F35" s="49"/>
      <c r="G35" s="48"/>
    </row>
    <row r="36" spans="4:7" x14ac:dyDescent="0.25">
      <c r="D36" s="47" t="s">
        <v>196</v>
      </c>
      <c r="E36" s="46">
        <v>7</v>
      </c>
      <c r="F36" s="45" t="s">
        <v>182</v>
      </c>
    </row>
    <row r="37" spans="4:7" ht="15.75" thickBot="1" x14ac:dyDescent="0.3">
      <c r="D37" s="44" t="s">
        <v>197</v>
      </c>
      <c r="E37" s="43">
        <v>10</v>
      </c>
      <c r="F37" s="42" t="s">
        <v>198</v>
      </c>
    </row>
  </sheetData>
  <mergeCells count="5">
    <mergeCell ref="B8:K8"/>
    <mergeCell ref="B28:K28"/>
    <mergeCell ref="I3:K3"/>
    <mergeCell ref="B1:K1"/>
    <mergeCell ref="B2:K2"/>
  </mergeCells>
  <printOptions horizontalCentered="1"/>
  <pageMargins left="0.75" right="0.75" top="1" bottom="1" header="0.5" footer="0.5"/>
  <pageSetup scale="52" orientation="portrait" r:id="rId1"/>
  <headerFooter alignWithMargins="0">
    <oddFooter>&amp;L&amp;8UAF
PM&amp;Y2.5&amp;Y Serious NAA BACT Analysis&amp;C&amp;8Page 134&amp;R&amp;8January 2017</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M37"/>
  <sheetViews>
    <sheetView zoomScale="110" zoomScaleNormal="110" workbookViewId="0">
      <selection activeCell="H24" sqref="H24"/>
    </sheetView>
  </sheetViews>
  <sheetFormatPr defaultColWidth="8.85546875" defaultRowHeight="15" x14ac:dyDescent="0.25"/>
  <cols>
    <col min="1" max="1" width="3" style="41" customWidth="1"/>
    <col min="2" max="3" width="6" style="41" customWidth="1"/>
    <col min="4" max="4" width="52.28515625" style="41" customWidth="1"/>
    <col min="5" max="5" width="11.5703125" style="41" bestFit="1" customWidth="1"/>
    <col min="6" max="6" width="13.140625" style="41" customWidth="1"/>
    <col min="7" max="7" width="15.42578125" style="41" customWidth="1"/>
    <col min="8" max="8" width="24" style="41" customWidth="1"/>
    <col min="9" max="9" width="18.7109375" style="41" customWidth="1"/>
    <col min="10" max="10" width="8.85546875" style="41"/>
    <col min="11" max="11" width="13.28515625" style="41" customWidth="1"/>
    <col min="12" max="16384" width="8.85546875" style="41"/>
  </cols>
  <sheetData>
    <row r="1" spans="2:11" x14ac:dyDescent="0.25">
      <c r="B1" s="468" t="s">
        <v>223</v>
      </c>
      <c r="C1" s="468"/>
      <c r="D1" s="468"/>
      <c r="E1" s="468"/>
      <c r="F1" s="468"/>
      <c r="G1" s="468"/>
      <c r="H1" s="468"/>
      <c r="I1" s="468"/>
      <c r="J1" s="468"/>
      <c r="K1" s="468"/>
    </row>
    <row r="2" spans="2:11" x14ac:dyDescent="0.25">
      <c r="B2" s="468" t="s">
        <v>226</v>
      </c>
      <c r="C2" s="468"/>
      <c r="D2" s="468"/>
      <c r="E2" s="468"/>
      <c r="F2" s="468"/>
      <c r="G2" s="468"/>
      <c r="H2" s="468"/>
      <c r="I2" s="468"/>
      <c r="J2" s="468"/>
      <c r="K2" s="468"/>
    </row>
    <row r="3" spans="2:11" ht="15.75" thickBot="1" x14ac:dyDescent="0.3">
      <c r="I3" s="487" t="s">
        <v>168</v>
      </c>
      <c r="J3" s="488"/>
      <c r="K3" s="489"/>
    </row>
    <row r="4" spans="2:11" ht="19.5" thickTop="1" x14ac:dyDescent="0.3">
      <c r="B4" s="123" t="s">
        <v>220</v>
      </c>
      <c r="C4" s="122"/>
      <c r="D4" s="121"/>
      <c r="E4" s="121"/>
      <c r="F4" s="121"/>
      <c r="G4" s="121"/>
      <c r="H4" s="121"/>
      <c r="I4" s="121"/>
      <c r="J4" s="120" t="s">
        <v>89</v>
      </c>
      <c r="K4" s="119">
        <v>42411</v>
      </c>
    </row>
    <row r="5" spans="2:11" ht="18" x14ac:dyDescent="0.35">
      <c r="B5" s="60" t="s">
        <v>169</v>
      </c>
      <c r="C5" s="59"/>
      <c r="D5" s="406" t="s">
        <v>249</v>
      </c>
      <c r="E5" s="59"/>
      <c r="F5" s="59"/>
      <c r="G5" s="59"/>
      <c r="H5" s="59"/>
      <c r="I5" s="59"/>
      <c r="J5" s="105" t="s">
        <v>91</v>
      </c>
      <c r="K5" s="118" t="s">
        <v>92</v>
      </c>
    </row>
    <row r="6" spans="2:11" x14ac:dyDescent="0.25">
      <c r="B6" s="60"/>
      <c r="C6" s="59"/>
      <c r="D6" s="59"/>
      <c r="E6" s="59"/>
      <c r="F6" s="59"/>
      <c r="G6" s="59"/>
      <c r="H6" s="59"/>
      <c r="I6" s="59"/>
      <c r="J6" s="105" t="s">
        <v>93</v>
      </c>
      <c r="K6" s="118" t="s">
        <v>219</v>
      </c>
    </row>
    <row r="7" spans="2:11" ht="15.75" thickBot="1" x14ac:dyDescent="0.3">
      <c r="B7" s="117"/>
      <c r="C7" s="116"/>
      <c r="D7" s="116"/>
      <c r="E7" s="116"/>
      <c r="F7" s="116"/>
      <c r="G7" s="116"/>
      <c r="H7" s="116"/>
      <c r="I7" s="116"/>
      <c r="J7" s="115" t="s">
        <v>94</v>
      </c>
      <c r="K7" s="114" t="s">
        <v>95</v>
      </c>
    </row>
    <row r="8" spans="2:11" ht="16.5" thickBot="1" x14ac:dyDescent="0.3">
      <c r="B8" s="481" t="s">
        <v>10</v>
      </c>
      <c r="C8" s="482"/>
      <c r="D8" s="482"/>
      <c r="E8" s="482"/>
      <c r="F8" s="482"/>
      <c r="G8" s="482"/>
      <c r="H8" s="482"/>
      <c r="I8" s="482"/>
      <c r="J8" s="482"/>
      <c r="K8" s="483"/>
    </row>
    <row r="9" spans="2:11" ht="15.75" x14ac:dyDescent="0.25">
      <c r="B9" s="113" t="s">
        <v>11</v>
      </c>
      <c r="C9" s="112"/>
      <c r="D9" s="50"/>
      <c r="E9" s="111" t="s">
        <v>96</v>
      </c>
      <c r="F9" s="111" t="s">
        <v>97</v>
      </c>
      <c r="G9" s="110"/>
      <c r="H9" s="109" t="s">
        <v>99</v>
      </c>
      <c r="I9" s="109" t="s">
        <v>100</v>
      </c>
      <c r="J9" s="50"/>
      <c r="K9" s="108" t="s">
        <v>170</v>
      </c>
    </row>
    <row r="10" spans="2:11" x14ac:dyDescent="0.25">
      <c r="B10" s="88" t="s">
        <v>101</v>
      </c>
      <c r="C10" s="59" t="s">
        <v>218</v>
      </c>
      <c r="D10" s="59"/>
      <c r="E10" s="107"/>
      <c r="F10" s="91" t="s">
        <v>182</v>
      </c>
      <c r="G10" s="91"/>
      <c r="H10" s="75"/>
      <c r="I10" s="75">
        <f>'[2]Total Capital Investment'!K62*E10/E37</f>
        <v>0</v>
      </c>
      <c r="J10" s="90"/>
      <c r="K10" s="74">
        <f>I10</f>
        <v>0</v>
      </c>
    </row>
    <row r="11" spans="2:11" x14ac:dyDescent="0.25">
      <c r="B11" s="88" t="s">
        <v>128</v>
      </c>
      <c r="C11" s="59" t="s">
        <v>217</v>
      </c>
      <c r="D11" s="59"/>
      <c r="E11" s="107"/>
      <c r="F11" s="91" t="s">
        <v>182</v>
      </c>
      <c r="G11" s="91"/>
      <c r="H11" s="75"/>
      <c r="I11" s="75">
        <f>E11*'[2]Total Capital Investment'!K62/10</f>
        <v>0</v>
      </c>
      <c r="J11" s="90"/>
      <c r="K11" s="74">
        <f t="shared" ref="K11" si="0">I11</f>
        <v>0</v>
      </c>
    </row>
    <row r="12" spans="2:11" x14ac:dyDescent="0.25">
      <c r="B12" s="88" t="s">
        <v>155</v>
      </c>
      <c r="C12" s="59" t="s">
        <v>175</v>
      </c>
      <c r="D12" s="59"/>
      <c r="E12" s="96"/>
      <c r="F12" s="91" t="s">
        <v>136</v>
      </c>
      <c r="G12" s="96"/>
      <c r="H12" s="94" t="s">
        <v>214</v>
      </c>
      <c r="I12" s="75"/>
      <c r="J12" s="90"/>
      <c r="K12" s="74"/>
    </row>
    <row r="13" spans="2:11" x14ac:dyDescent="0.25">
      <c r="B13" s="88" t="s">
        <v>158</v>
      </c>
      <c r="C13" s="59" t="s">
        <v>176</v>
      </c>
      <c r="D13" s="59"/>
      <c r="E13" s="65"/>
      <c r="F13" s="65"/>
      <c r="G13" s="75"/>
      <c r="H13" s="75"/>
      <c r="I13" s="75"/>
      <c r="J13" s="90"/>
      <c r="K13" s="74"/>
    </row>
    <row r="14" spans="2:11" x14ac:dyDescent="0.25">
      <c r="B14" s="60"/>
      <c r="C14" s="93" t="s">
        <v>103</v>
      </c>
      <c r="D14" s="59" t="s">
        <v>216</v>
      </c>
      <c r="E14" s="401">
        <f>180.9*8760*0.1*(40/41.1)</f>
        <v>154227.15328467154</v>
      </c>
      <c r="F14" s="65" t="s">
        <v>215</v>
      </c>
      <c r="G14" s="46">
        <f>'5-8 - EU ID 3 - ULSD CE'!G14</f>
        <v>0.28000000000000003</v>
      </c>
      <c r="H14" s="75">
        <f>E14*G14</f>
        <v>43183.602919708035</v>
      </c>
      <c r="I14" s="75"/>
      <c r="J14" s="90"/>
      <c r="K14" s="74">
        <f>H14</f>
        <v>43183.602919708035</v>
      </c>
    </row>
    <row r="15" spans="2:11" x14ac:dyDescent="0.25">
      <c r="B15" s="106"/>
      <c r="C15" s="101"/>
      <c r="D15" s="59"/>
      <c r="E15" s="92"/>
      <c r="F15" s="105"/>
      <c r="G15" s="90"/>
      <c r="H15" s="75"/>
      <c r="I15" s="100"/>
      <c r="J15" s="75"/>
      <c r="K15" s="74"/>
    </row>
    <row r="16" spans="2:11" x14ac:dyDescent="0.25">
      <c r="B16" s="84" t="s">
        <v>12</v>
      </c>
      <c r="C16" s="83"/>
      <c r="D16" s="104"/>
      <c r="E16" s="103"/>
      <c r="F16" s="80"/>
      <c r="G16" s="102"/>
      <c r="H16" s="68"/>
      <c r="I16" s="78"/>
      <c r="J16" s="67" t="s">
        <v>180</v>
      </c>
      <c r="K16" s="66">
        <f>SUM(K10:K14)</f>
        <v>43183.602919708035</v>
      </c>
    </row>
    <row r="17" spans="2:13" x14ac:dyDescent="0.25">
      <c r="B17" s="60"/>
      <c r="C17" s="101"/>
      <c r="D17" s="59"/>
      <c r="E17" s="65"/>
      <c r="F17" s="59"/>
      <c r="G17" s="75"/>
      <c r="H17" s="75"/>
      <c r="I17" s="100"/>
      <c r="J17" s="99"/>
      <c r="K17" s="74"/>
    </row>
    <row r="18" spans="2:13" ht="15.75" x14ac:dyDescent="0.25">
      <c r="B18" s="98" t="s">
        <v>13</v>
      </c>
      <c r="C18" s="63"/>
      <c r="D18" s="97"/>
      <c r="E18" s="65"/>
      <c r="F18" s="65"/>
      <c r="G18" s="75"/>
      <c r="H18" s="75"/>
      <c r="I18" s="75"/>
      <c r="J18" s="75"/>
      <c r="K18" s="74"/>
    </row>
    <row r="19" spans="2:13" x14ac:dyDescent="0.25">
      <c r="B19" s="88" t="s">
        <v>161</v>
      </c>
      <c r="C19" s="59" t="s">
        <v>181</v>
      </c>
      <c r="D19" s="59"/>
      <c r="E19" s="96"/>
      <c r="F19" s="65" t="s">
        <v>182</v>
      </c>
      <c r="G19" s="91"/>
      <c r="H19" s="94" t="s">
        <v>214</v>
      </c>
      <c r="I19" s="75">
        <f>E19*G19</f>
        <v>0</v>
      </c>
      <c r="J19" s="90"/>
      <c r="K19" s="74">
        <f>I19</f>
        <v>0</v>
      </c>
    </row>
    <row r="20" spans="2:13" x14ac:dyDescent="0.25">
      <c r="B20" s="88" t="s">
        <v>164</v>
      </c>
      <c r="C20" s="409" t="s">
        <v>256</v>
      </c>
      <c r="D20" s="59"/>
      <c r="E20" s="95"/>
      <c r="F20" s="65" t="s">
        <v>213</v>
      </c>
      <c r="G20" s="91"/>
      <c r="H20" s="94"/>
      <c r="I20" s="75">
        <f>E20*'[2]Total Capital Investment'!K62</f>
        <v>0</v>
      </c>
      <c r="J20" s="90"/>
      <c r="K20" s="74">
        <f>I20</f>
        <v>0</v>
      </c>
    </row>
    <row r="21" spans="2:13" x14ac:dyDescent="0.25">
      <c r="B21" s="88"/>
      <c r="C21" s="93" t="s">
        <v>185</v>
      </c>
      <c r="D21" s="59"/>
      <c r="E21" s="92">
        <f>($E$36/100*POWER((1+($E$36/100)),$E$37))/((POWER(((1+$E$36/100)),$E$37))-1)</f>
        <v>0.14237750272736471</v>
      </c>
      <c r="F21" s="91"/>
      <c r="G21" s="75"/>
      <c r="H21" s="75"/>
      <c r="I21" s="75"/>
      <c r="J21" s="90"/>
      <c r="K21" s="89"/>
      <c r="L21" s="85"/>
    </row>
    <row r="22" spans="2:13" x14ac:dyDescent="0.25">
      <c r="B22" s="88" t="s">
        <v>183</v>
      </c>
      <c r="C22" s="59" t="s">
        <v>187</v>
      </c>
      <c r="D22" s="59"/>
      <c r="E22" s="59"/>
      <c r="F22" s="59"/>
      <c r="G22" s="75"/>
      <c r="H22" s="87"/>
      <c r="I22" s="75"/>
      <c r="J22" s="86" t="s">
        <v>188</v>
      </c>
      <c r="K22" s="74">
        <f>E21*'[2]Total Capital Investment'!K62</f>
        <v>0</v>
      </c>
      <c r="L22" s="85"/>
    </row>
    <row r="23" spans="2:13" x14ac:dyDescent="0.25">
      <c r="B23" s="60"/>
      <c r="C23" s="59"/>
      <c r="D23" s="59"/>
      <c r="E23" s="65"/>
      <c r="F23" s="59"/>
      <c r="G23" s="75"/>
      <c r="H23" s="75"/>
      <c r="I23" s="75"/>
      <c r="J23" s="75"/>
      <c r="K23" s="74"/>
    </row>
    <row r="24" spans="2:13" x14ac:dyDescent="0.25">
      <c r="B24" s="84" t="s">
        <v>14</v>
      </c>
      <c r="C24" s="83"/>
      <c r="D24" s="82"/>
      <c r="E24" s="81"/>
      <c r="F24" s="80"/>
      <c r="G24" s="78"/>
      <c r="H24" s="79"/>
      <c r="I24" s="78"/>
      <c r="J24" s="67" t="s">
        <v>189</v>
      </c>
      <c r="K24" s="66">
        <f>SUM(K19:K22)</f>
        <v>0</v>
      </c>
    </row>
    <row r="25" spans="2:13" x14ac:dyDescent="0.25">
      <c r="B25" s="77"/>
      <c r="C25" s="76"/>
      <c r="D25" s="59"/>
      <c r="E25" s="65"/>
      <c r="F25" s="59"/>
      <c r="G25" s="75"/>
      <c r="H25" s="75"/>
      <c r="I25" s="75"/>
      <c r="J25" s="75"/>
      <c r="K25" s="74"/>
    </row>
    <row r="26" spans="2:13" ht="15.75" x14ac:dyDescent="0.25">
      <c r="B26" s="73" t="s">
        <v>190</v>
      </c>
      <c r="C26" s="72"/>
      <c r="D26" s="70"/>
      <c r="E26" s="71"/>
      <c r="F26" s="70"/>
      <c r="G26" s="68"/>
      <c r="H26" s="69"/>
      <c r="I26" s="68"/>
      <c r="J26" s="67" t="s">
        <v>191</v>
      </c>
      <c r="K26" s="66">
        <f>K16+K24</f>
        <v>43183.602919708035</v>
      </c>
      <c r="M26" s="41" t="s">
        <v>221</v>
      </c>
    </row>
    <row r="27" spans="2:13" ht="15.75" thickBot="1" x14ac:dyDescent="0.3">
      <c r="B27" s="60"/>
      <c r="C27" s="59"/>
      <c r="D27" s="59"/>
      <c r="E27" s="65"/>
      <c r="F27" s="59"/>
      <c r="G27" s="59"/>
      <c r="H27" s="59"/>
      <c r="I27" s="59"/>
      <c r="J27" s="59"/>
      <c r="K27" s="58"/>
    </row>
    <row r="28" spans="2:13" ht="16.5" thickBot="1" x14ac:dyDescent="0.3">
      <c r="B28" s="484" t="s">
        <v>15</v>
      </c>
      <c r="C28" s="485"/>
      <c r="D28" s="485"/>
      <c r="E28" s="485"/>
      <c r="F28" s="485"/>
      <c r="G28" s="485"/>
      <c r="H28" s="485"/>
      <c r="I28" s="485"/>
      <c r="J28" s="485"/>
      <c r="K28" s="486"/>
    </row>
    <row r="29" spans="2:13" x14ac:dyDescent="0.25">
      <c r="B29" s="60"/>
      <c r="C29" s="59"/>
      <c r="D29" s="59"/>
      <c r="E29" s="59"/>
      <c r="F29" s="59"/>
      <c r="G29" s="59"/>
      <c r="H29" s="59"/>
      <c r="I29" s="59"/>
      <c r="J29" s="59"/>
      <c r="K29" s="58"/>
    </row>
    <row r="30" spans="2:13" ht="15.75" x14ac:dyDescent="0.25">
      <c r="B30" s="64" t="s">
        <v>192</v>
      </c>
      <c r="C30" s="63"/>
      <c r="D30" s="59"/>
      <c r="E30" s="59"/>
      <c r="F30" s="59"/>
      <c r="G30" s="59"/>
      <c r="H30" s="59"/>
      <c r="I30" s="59"/>
      <c r="J30" s="62" t="s">
        <v>3</v>
      </c>
      <c r="K30" s="61">
        <v>39.9</v>
      </c>
    </row>
    <row r="31" spans="2:13" x14ac:dyDescent="0.25">
      <c r="B31" s="60"/>
      <c r="C31" s="59"/>
      <c r="D31" s="59"/>
      <c r="E31" s="59"/>
      <c r="F31" s="59"/>
      <c r="G31" s="59"/>
      <c r="H31" s="59"/>
      <c r="I31" s="59"/>
      <c r="J31" s="59"/>
      <c r="K31" s="58"/>
    </row>
    <row r="32" spans="2:13" ht="16.5" thickBot="1" x14ac:dyDescent="0.3">
      <c r="B32" s="57" t="s">
        <v>193</v>
      </c>
      <c r="C32" s="56"/>
      <c r="D32" s="54"/>
      <c r="E32" s="54"/>
      <c r="F32" s="54"/>
      <c r="G32" s="54"/>
      <c r="H32" s="55"/>
      <c r="I32" s="54"/>
      <c r="J32" s="53" t="s">
        <v>194</v>
      </c>
      <c r="K32" s="52">
        <f>K26/K30</f>
        <v>1082.2958125240109</v>
      </c>
    </row>
    <row r="33" spans="4:7" ht="15.75" thickTop="1" x14ac:dyDescent="0.25"/>
    <row r="34" spans="4:7" ht="15.75" thickBot="1" x14ac:dyDescent="0.3"/>
    <row r="35" spans="4:7" x14ac:dyDescent="0.25">
      <c r="D35" s="51" t="s">
        <v>195</v>
      </c>
      <c r="E35" s="50"/>
      <c r="F35" s="49"/>
      <c r="G35" s="48"/>
    </row>
    <row r="36" spans="4:7" x14ac:dyDescent="0.25">
      <c r="D36" s="47" t="s">
        <v>196</v>
      </c>
      <c r="E36" s="46">
        <v>7</v>
      </c>
      <c r="F36" s="45" t="s">
        <v>182</v>
      </c>
    </row>
    <row r="37" spans="4:7" ht="15.75" thickBot="1" x14ac:dyDescent="0.3">
      <c r="D37" s="44" t="s">
        <v>197</v>
      </c>
      <c r="E37" s="43">
        <v>10</v>
      </c>
      <c r="F37" s="42" t="s">
        <v>198</v>
      </c>
    </row>
  </sheetData>
  <mergeCells count="5">
    <mergeCell ref="I3:K3"/>
    <mergeCell ref="B8:K8"/>
    <mergeCell ref="B28:K28"/>
    <mergeCell ref="B1:K1"/>
    <mergeCell ref="B2:K2"/>
  </mergeCells>
  <printOptions horizontalCentered="1"/>
  <pageMargins left="0.75" right="0.75" top="1" bottom="1" header="0.5" footer="0.5"/>
  <pageSetup scale="52" orientation="portrait" r:id="rId1"/>
  <headerFooter alignWithMargins="0">
    <oddFooter>&amp;L&amp;8UAF
PM&amp;Y2.5 &amp;YSerious NAA BACT Analysis&amp;C&amp;8Page 135&amp;R&amp;8January 2017</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5-1</vt:lpstr>
      <vt:lpstr>5-2</vt:lpstr>
      <vt:lpstr>5-3</vt:lpstr>
      <vt:lpstr>5-4 - EU ID 113 - SDA TCI</vt:lpstr>
      <vt:lpstr>5-5 - EU ID 113 - SDA CE</vt:lpstr>
      <vt:lpstr>5-6 - EU ID 113 - DSI TCI</vt:lpstr>
      <vt:lpstr>5-7 - EU ID 113 - DSI CE</vt:lpstr>
      <vt:lpstr>5-8 - EU ID 3 - ULSD CE</vt:lpstr>
      <vt:lpstr>5-9 - EU ID 4 - ULSD CE</vt:lpstr>
      <vt:lpstr>5-10 - EU ID 8 - ULSD CE</vt:lpstr>
      <vt:lpstr>5-11</vt:lpstr>
      <vt:lpstr>5-12</vt:lpstr>
      <vt:lpstr>5-22</vt:lpstr>
      <vt:lpstr>'5-1'!Print_Area</vt:lpstr>
      <vt:lpstr>'5-11'!Print_Area</vt:lpstr>
      <vt:lpstr>'5-12'!Print_Area</vt:lpstr>
      <vt:lpstr>'5-2'!Print_Area</vt:lpstr>
      <vt:lpstr>'5-3'!Print_Area</vt:lpstr>
      <vt:lpstr>'5-9 - EU ID 4 - ULSD CE'!Print_Area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 Peterson</dc:creator>
  <cp:lastModifiedBy>Jones, David</cp:lastModifiedBy>
  <cp:lastPrinted>2017-01-24T20:09:33Z</cp:lastPrinted>
  <dcterms:created xsi:type="dcterms:W3CDTF">2010-08-17T22:24:37Z</dcterms:created>
  <dcterms:modified xsi:type="dcterms:W3CDTF">2018-11-20T23:48:03Z</dcterms:modified>
</cp:coreProperties>
</file>