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salimi\Downloads\"/>
    </mc:Choice>
  </mc:AlternateContent>
  <bookViews>
    <workbookView xWindow="0" yWindow="0" windowWidth="28800" windowHeight="11835"/>
  </bookViews>
  <sheets>
    <sheet name="Data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1" i="1" l="1"/>
  <c r="G22" i="1" l="1"/>
  <c r="G20" i="1"/>
  <c r="J20" i="1" l="1"/>
  <c r="J21" i="1"/>
  <c r="J22" i="1"/>
  <c r="I21" i="1"/>
  <c r="L21" i="1" s="1"/>
  <c r="H21" i="1"/>
  <c r="K21" i="1" s="1"/>
  <c r="I20" i="1"/>
  <c r="L20" i="1" s="1"/>
  <c r="H20" i="1"/>
  <c r="K20" i="1" s="1"/>
  <c r="I19" i="1"/>
  <c r="H19" i="1"/>
  <c r="G19" i="1"/>
  <c r="I18" i="1"/>
  <c r="H18" i="1"/>
  <c r="G18" i="1"/>
  <c r="I22" i="1"/>
  <c r="L22" i="1" s="1"/>
  <c r="H22" i="1"/>
  <c r="K22" i="1" s="1"/>
  <c r="G45" i="1"/>
  <c r="C24" i="1"/>
  <c r="F22" i="1"/>
  <c r="E22" i="1"/>
  <c r="D22" i="1"/>
  <c r="F21" i="1"/>
  <c r="E21" i="1"/>
  <c r="D21" i="1"/>
  <c r="F20" i="1"/>
  <c r="E20" i="1"/>
  <c r="D20" i="1"/>
  <c r="F19" i="1"/>
  <c r="E19" i="1"/>
  <c r="D19" i="1"/>
  <c r="L18" i="1" l="1"/>
  <c r="K18" i="1"/>
  <c r="J18" i="1"/>
  <c r="L19" i="1"/>
  <c r="L24" i="1" s="1"/>
  <c r="J19" i="1"/>
  <c r="J24" i="1" s="1"/>
  <c r="K19" i="1"/>
  <c r="G26" i="1" a="1"/>
  <c r="G26" i="1" s="1"/>
  <c r="C25" i="1"/>
  <c r="G24" i="1"/>
  <c r="H24" i="1"/>
  <c r="I24" i="1"/>
  <c r="K24" i="1" l="1"/>
  <c r="A36" i="1"/>
  <c r="L27" i="1"/>
  <c r="K27" i="1"/>
  <c r="J27" i="1"/>
  <c r="G44" i="1" l="1"/>
  <c r="G43" i="1"/>
  <c r="G42" i="1"/>
  <c r="G39" i="1"/>
  <c r="G40" i="1" s="1"/>
  <c r="G46" i="1" l="1"/>
  <c r="G47" i="1" s="1"/>
  <c r="G48" i="1" s="1"/>
  <c r="F18" i="1"/>
  <c r="E18" i="1"/>
  <c r="D18" i="1"/>
  <c r="G49" i="1" l="1"/>
  <c r="G50" i="1" s="1"/>
</calcChain>
</file>

<file path=xl/comments1.xml><?xml version="1.0" encoding="utf-8"?>
<comments xmlns="http://schemas.openxmlformats.org/spreadsheetml/2006/main">
  <authors>
    <author>Tom Carlson</author>
  </authors>
  <commentList>
    <comment ref="A13" authorId="0" shapeId="0">
      <text>
        <r>
          <rPr>
            <b/>
            <sz val="9"/>
            <color indexed="81"/>
            <rFont val="Tahoma"/>
            <family val="2"/>
          </rPr>
          <t>Enter the number of roaster units at your facility.</t>
        </r>
      </text>
    </comment>
    <comment ref="A17" authorId="0" shapeId="0">
      <text>
        <r>
          <rPr>
            <b/>
            <sz val="9"/>
            <color indexed="81"/>
            <rFont val="Tahoma"/>
            <family val="2"/>
          </rPr>
          <t>Enter names/descriptions for each of your roaster units in the rows below (up to 5).</t>
        </r>
      </text>
    </comment>
    <comment ref="B17" authorId="0" shapeId="0">
      <text>
        <r>
          <rPr>
            <b/>
            <sz val="9"/>
            <color indexed="81"/>
            <rFont val="Tahoma"/>
            <family val="2"/>
          </rPr>
          <t>Select either "Uncontroller" or "Thermal Oxidizer" from drop-down menu based on your current facility configuration.</t>
        </r>
      </text>
    </comment>
    <comment ref="C17" authorId="0" shapeId="0">
      <text>
        <r>
          <rPr>
            <b/>
            <sz val="9"/>
            <color indexed="81"/>
            <rFont val="Tahoma"/>
            <family val="2"/>
          </rPr>
          <t>Enter pounds of beans roasted per year for each unit, based on most recent year of available data.</t>
        </r>
      </text>
    </comment>
    <comment ref="G45" authorId="0" shapeId="0">
      <text>
        <r>
          <rPr>
            <b/>
            <sz val="9"/>
            <color indexed="81"/>
            <rFont val="Tahoma"/>
            <family val="2"/>
          </rPr>
          <t>The capital recovery cost factor, CRF, is a function of the equipment life (typically, 20 years) and the opportunity cost of the capital (i.e., interest rate). For a 20-year equipment life and a 4.25% interest rate, CRF = 0.0752. It is a fixed factor based on EPA guidance values and should not be changed to ensure consistency across facilities.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<sst xmlns="http://schemas.openxmlformats.org/spreadsheetml/2006/main" count="65" uniqueCount="56">
  <si>
    <t>Roasting</t>
  </si>
  <si>
    <t>Address</t>
  </si>
  <si>
    <t>City</t>
  </si>
  <si>
    <t>ZIP</t>
  </si>
  <si>
    <t>Control</t>
  </si>
  <si>
    <t>(lb/year)</t>
  </si>
  <si>
    <t>PM</t>
  </si>
  <si>
    <t>VOC</t>
  </si>
  <si>
    <t>NOx</t>
  </si>
  <si>
    <t>AP-42, Chapter 9.13, 9/95</t>
  </si>
  <si>
    <t>Batch Roaster, uncontrolled</t>
  </si>
  <si>
    <t>Batch Roaster, with Thermal Oxidizer</t>
  </si>
  <si>
    <t>Uncontrolled</t>
  </si>
  <si>
    <t>Capital Contingency (10% of capital cost)</t>
  </si>
  <si>
    <t>Indirect Annual Insurance (10% of Total Capital Cost)</t>
  </si>
  <si>
    <t>Capital Recovery Factor (CRF x Total Capital Cost)</t>
  </si>
  <si>
    <t>Instructions for Estimating Coffee Roasting Emissions</t>
  </si>
  <si>
    <t>Indirect Annual Administration Cost (10% of Total Capital Cost)</t>
  </si>
  <si>
    <t>Facility Name</t>
  </si>
  <si>
    <t>Roaster</t>
  </si>
  <si>
    <t>* EPA's emission factors (AP-42) for batch roasting emission factors (with references) are:</t>
  </si>
  <si>
    <t>Emission</t>
  </si>
  <si>
    <t>Factor</t>
  </si>
  <si>
    <t>Emissions</t>
  </si>
  <si>
    <t>(lbs/year)</t>
  </si>
  <si>
    <t xml:space="preserve">   1) Uncontrolled (no controls) or 
   2) Thermal Oxidizer (primary control option available)</t>
  </si>
  <si>
    <r>
      <t xml:space="preserve">on whether your facility includes air pollution control devices - so you need to choose between the two options listed: </t>
    </r>
    <r>
      <rPr>
        <b/>
        <sz val="12"/>
        <color theme="1"/>
        <rFont val="Calibri"/>
        <family val="2"/>
        <scheme val="minor"/>
      </rPr>
      <t/>
    </r>
  </si>
  <si>
    <t>Please enter information on the location and lbs of beans it roasts per year in the cells highlighted in yellow. Also enter information</t>
  </si>
  <si>
    <t>(lbs/ton*)</t>
  </si>
  <si>
    <t>Colorado Dept. of Public Health &amp; Environment, Air Pollution Control Division citation of AP-42, Chapter 6.2-1, 2/72</t>
  </si>
  <si>
    <t>PM Reductions (tons/year)</t>
  </si>
  <si>
    <t>Cost-Effectiveness of Control ($/ton of PM removed)</t>
  </si>
  <si>
    <t>Indirect Annual Cost Overhead  (60% of capital cost, not including contingency)</t>
  </si>
  <si>
    <t>Please enter cost estimates or actual expenses in the cells marked in yellow.  Hover over cells for additional information.</t>
  </si>
  <si>
    <t>Unit Name/Description</t>
  </si>
  <si>
    <t>Enter Unit 4 name/description</t>
  </si>
  <si>
    <t>Enter Unit 5 name/description</t>
  </si>
  <si>
    <r>
      <t xml:space="preserve">Capital Cost </t>
    </r>
    <r>
      <rPr>
        <u/>
        <sz val="11"/>
        <color theme="1"/>
        <rFont val="Calibri"/>
        <family val="2"/>
        <scheme val="minor"/>
      </rPr>
      <t>per Control Device</t>
    </r>
    <r>
      <rPr>
        <sz val="11"/>
        <color theme="1"/>
        <rFont val="Calibri"/>
        <family val="2"/>
        <scheme val="minor"/>
      </rPr>
      <t xml:space="preserve"> (including purchase, installation and indirect (e.g., engineering, contractor, construction, etc.)</t>
    </r>
  </si>
  <si>
    <r>
      <t xml:space="preserve">Direct Annual Cost </t>
    </r>
    <r>
      <rPr>
        <u/>
        <sz val="11"/>
        <color theme="1"/>
        <rFont val="Calibri"/>
        <family val="2"/>
        <scheme val="minor"/>
      </rPr>
      <t>per Control Device</t>
    </r>
    <r>
      <rPr>
        <sz val="11"/>
        <color theme="1"/>
        <rFont val="Calibri"/>
        <family val="2"/>
        <scheme val="minor"/>
      </rPr>
      <t xml:space="preserve"> (labor, operating materials, maintenance, utilities)</t>
    </r>
  </si>
  <si>
    <t>Total Capital Investment per Device</t>
  </si>
  <si>
    <t>Total Annual Cost per Device</t>
  </si>
  <si>
    <t>Total Annualized Cost Across All Devices ($/year)</t>
  </si>
  <si>
    <t>Annualized Cost per Device ($/year) -- this is Total Capital Investment + Total Annual Cost per Device from above</t>
  </si>
  <si>
    <t xml:space="preserve">Totals (lb/year):  </t>
  </si>
  <si>
    <t xml:space="preserve">Total Emission Reductions (lb/year):  </t>
  </si>
  <si>
    <t>Number of Roaster Units</t>
  </si>
  <si>
    <t xml:space="preserve">Max Emissions per Unit (lb/year):  </t>
  </si>
  <si>
    <t>Post-Control</t>
  </si>
  <si>
    <r>
      <t xml:space="preserve">Note: 18 AAC 50.078 exempts small coffee roasters that </t>
    </r>
    <r>
      <rPr>
        <b/>
        <sz val="12"/>
        <color rgb="FF00B050"/>
        <rFont val="Calibri"/>
        <family val="2"/>
        <scheme val="minor"/>
      </rPr>
      <t>emit less than 24 lbs of PM (Particulate Matter) per year per device.</t>
    </r>
  </si>
  <si>
    <t>Instructions for Estimating the Annual Cost of Controlling Coffee Roasting Emissions</t>
  </si>
  <si>
    <t xml:space="preserve">Uncontrolled Roaster Units Over Exemption Threshold:  </t>
  </si>
  <si>
    <r>
      <t xml:space="preserve">Please provide costs </t>
    </r>
    <r>
      <rPr>
        <b/>
        <i/>
        <u/>
        <sz val="12"/>
        <rFont val="Calibri"/>
        <family val="2"/>
        <scheme val="minor"/>
      </rPr>
      <t>per non-exempt roaster unit</t>
    </r>
    <r>
      <rPr>
        <i/>
        <sz val="12"/>
        <rFont val="Calibri"/>
        <family val="2"/>
        <scheme val="minor"/>
      </rPr>
      <t xml:space="preserve"> for installation &amp; operation of control devices in the highlighted cells below.</t>
    </r>
  </si>
  <si>
    <t>Enter Unit 1 name/description</t>
  </si>
  <si>
    <t>Enter Unit 2 name/description</t>
  </si>
  <si>
    <t>Enter Unit 3 name/description</t>
  </si>
  <si>
    <r>
      <t xml:space="preserve">A control device is required on a coffee roaster if the total amount of coffee roasted is greater that 24 lbs per year, </t>
    </r>
    <r>
      <rPr>
        <b/>
        <u/>
        <sz val="12"/>
        <color theme="1"/>
        <rFont val="Calibri"/>
        <family val="2"/>
        <scheme val="minor"/>
      </rPr>
      <t>per device</t>
    </r>
    <r>
      <rPr>
        <sz val="12"/>
        <color theme="1"/>
        <rFont val="Calibri"/>
        <family val="2"/>
        <scheme val="minor"/>
      </rPr>
      <t>. 
Cost feasiblity will be calculated by DEC with the information provided below. 
related to installation and operation of the control system.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</si>
</sst>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164" formatCode="0.00000"/>
    <numFmt numFmtId="165" formatCode="&quot;$&quot;#,##0"/>
    <numFmt numFmtId="166" formatCode="&quot;$&quot;#,##0.00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i/>
      <sz val="12"/>
      <name val="Calibri"/>
      <family val="2"/>
      <scheme val="minor"/>
    </font>
    <font>
      <b/>
      <i/>
      <u/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2">
    <xf numFmtId="0" fontId="0" fillId="0" borderId="0"/>
    <xf numFmtId="44" fontId="8" fillId="0" borderId="0" applyFont="0" applyFill="0" applyBorder="0" applyAlignment="0" applyProtection="0"/>
  </cellStyleXfs>
  <cellXfs count="61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3" fillId="0" borderId="0" xfId="0" applyFont="1"/>
    <xf numFmtId="0" fontId="0" fillId="0" borderId="4" xfId="0" applyBorder="1"/>
    <xf numFmtId="0" fontId="0" fillId="0" borderId="6" xfId="0" applyBorder="1"/>
    <xf numFmtId="0" fontId="0" fillId="0" borderId="8" xfId="0" applyBorder="1"/>
    <xf numFmtId="0" fontId="0" fillId="2" borderId="0" xfId="0" applyFill="1"/>
    <xf numFmtId="0" fontId="0" fillId="2" borderId="0" xfId="0" applyFill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/>
    <xf numFmtId="2" fontId="0" fillId="0" borderId="0" xfId="0" applyNumberFormat="1"/>
    <xf numFmtId="2" fontId="1" fillId="0" borderId="0" xfId="0" applyNumberFormat="1" applyFont="1"/>
    <xf numFmtId="0" fontId="11" fillId="2" borderId="0" xfId="0" applyFont="1" applyFill="1"/>
    <xf numFmtId="0" fontId="1" fillId="0" borderId="0" xfId="0" applyFont="1" applyAlignment="1"/>
    <xf numFmtId="2" fontId="10" fillId="0" borderId="0" xfId="0" applyNumberFormat="1" applyFont="1"/>
    <xf numFmtId="0" fontId="7" fillId="0" borderId="5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0" fillId="0" borderId="1" xfId="0" applyBorder="1"/>
    <xf numFmtId="0" fontId="0" fillId="0" borderId="0" xfId="0" applyFont="1"/>
    <xf numFmtId="3" fontId="1" fillId="0" borderId="0" xfId="0" applyNumberFormat="1" applyFont="1"/>
    <xf numFmtId="0" fontId="1" fillId="0" borderId="0" xfId="0" applyFont="1" applyAlignment="1">
      <alignment horizontal="right"/>
    </xf>
    <xf numFmtId="2" fontId="10" fillId="4" borderId="0" xfId="0" applyNumberFormat="1" applyFont="1" applyFill="1"/>
    <xf numFmtId="2" fontId="0" fillId="0" borderId="0" xfId="0" applyNumberFormat="1" applyBorder="1"/>
    <xf numFmtId="2" fontId="10" fillId="4" borderId="0" xfId="0" applyNumberFormat="1" applyFont="1" applyFill="1" applyBorder="1"/>
    <xf numFmtId="0" fontId="0" fillId="0" borderId="0" xfId="0" applyBorder="1" applyAlignment="1">
      <alignment horizontal="left"/>
    </xf>
    <xf numFmtId="1" fontId="1" fillId="0" borderId="0" xfId="0" applyNumberFormat="1" applyFont="1"/>
    <xf numFmtId="0" fontId="6" fillId="3" borderId="0" xfId="0" applyFont="1" applyFill="1" applyProtection="1">
      <protection locked="0"/>
    </xf>
    <xf numFmtId="0" fontId="6" fillId="3" borderId="0" xfId="0" applyFont="1" applyFill="1" applyAlignment="1" applyProtection="1">
      <alignment horizontal="center"/>
      <protection locked="0"/>
    </xf>
    <xf numFmtId="3" fontId="6" fillId="3" borderId="0" xfId="0" applyNumberFormat="1" applyFont="1" applyFill="1" applyProtection="1">
      <protection locked="0"/>
    </xf>
    <xf numFmtId="0" fontId="6" fillId="3" borderId="0" xfId="0" applyFont="1" applyFill="1" applyBorder="1" applyAlignment="1" applyProtection="1">
      <alignment horizontal="center"/>
      <protection locked="0"/>
    </xf>
    <xf numFmtId="3" fontId="6" fillId="3" borderId="0" xfId="0" applyNumberFormat="1" applyFont="1" applyFill="1" applyBorder="1" applyProtection="1">
      <protection locked="0"/>
    </xf>
    <xf numFmtId="166" fontId="0" fillId="3" borderId="0" xfId="1" applyNumberFormat="1" applyFont="1" applyFill="1" applyProtection="1">
      <protection locked="0"/>
    </xf>
    <xf numFmtId="166" fontId="0" fillId="0" borderId="0" xfId="1" applyNumberFormat="1" applyFont="1" applyFill="1" applyProtection="1">
      <protection hidden="1"/>
    </xf>
    <xf numFmtId="166" fontId="0" fillId="0" borderId="1" xfId="1" applyNumberFormat="1" applyFont="1" applyBorder="1" applyProtection="1">
      <protection hidden="1"/>
    </xf>
    <xf numFmtId="165" fontId="1" fillId="0" borderId="0" xfId="0" applyNumberFormat="1" applyFont="1" applyProtection="1">
      <protection hidden="1"/>
    </xf>
    <xf numFmtId="164" fontId="1" fillId="0" borderId="0" xfId="0" applyNumberFormat="1" applyFont="1" applyAlignment="1" applyProtection="1">
      <protection hidden="1"/>
    </xf>
    <xf numFmtId="0" fontId="0" fillId="0" borderId="0" xfId="0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16" fillId="0" borderId="1" xfId="0" applyFont="1" applyBorder="1" applyAlignment="1">
      <alignment horizontal="left" wrapText="1"/>
    </xf>
    <xf numFmtId="0" fontId="15" fillId="0" borderId="0" xfId="0" applyFont="1" applyBorder="1" applyAlignment="1">
      <alignment horizontal="left" wrapText="1"/>
    </xf>
    <xf numFmtId="0" fontId="7" fillId="0" borderId="5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2" fillId="0" borderId="5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7" fillId="0" borderId="5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wrapText="1"/>
    </xf>
    <xf numFmtId="0" fontId="7" fillId="0" borderId="1" xfId="0" applyFont="1" applyBorder="1" applyAlignment="1">
      <alignment horizontal="left" wrapText="1"/>
    </xf>
  </cellXfs>
  <cellStyles count="2">
    <cellStyle name="Currency" xfId="1" builtinId="4"/>
    <cellStyle name="Normal" xfId="0" builtinId="0"/>
  </cellStyles>
  <dxfs count="26"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color auto="1"/>
      </font>
      <fill>
        <patternFill>
          <bgColor theme="9" tint="0.59996337778862885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M50"/>
  <sheetViews>
    <sheetView showGridLines="0" tabSelected="1" workbookViewId="0">
      <selection activeCell="A10" sqref="A10"/>
    </sheetView>
  </sheetViews>
  <sheetFormatPr defaultRowHeight="15" x14ac:dyDescent="0.25"/>
  <cols>
    <col min="1" max="1" width="40" customWidth="1"/>
    <col min="2" max="2" width="45.7109375" customWidth="1"/>
    <col min="3" max="3" width="16.7109375" customWidth="1"/>
    <col min="4" max="4" width="13.7109375" customWidth="1"/>
    <col min="5" max="6" width="13.7109375" hidden="1" customWidth="1"/>
    <col min="7" max="7" width="13.7109375" customWidth="1"/>
    <col min="8" max="9" width="13.7109375" hidden="1" customWidth="1"/>
    <col min="10" max="10" width="13.7109375" customWidth="1"/>
    <col min="11" max="12" width="13.7109375" hidden="1" customWidth="1"/>
    <col min="13" max="13" width="0.42578125" customWidth="1"/>
  </cols>
  <sheetData>
    <row r="1" spans="1:13" ht="16.5" thickTop="1" x14ac:dyDescent="0.25">
      <c r="A1" s="45" t="s">
        <v>16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5"/>
    </row>
    <row r="2" spans="1:13" ht="15.75" x14ac:dyDescent="0.25">
      <c r="A2" s="53" t="s">
        <v>27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6"/>
    </row>
    <row r="3" spans="1:13" ht="15.75" x14ac:dyDescent="0.25">
      <c r="A3" s="21" t="s">
        <v>26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31"/>
      <c r="M3" s="6"/>
    </row>
    <row r="4" spans="1:13" ht="30" customHeight="1" x14ac:dyDescent="0.25">
      <c r="A4" s="57" t="s">
        <v>25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6"/>
    </row>
    <row r="5" spans="1:13" ht="15.75" x14ac:dyDescent="0.25">
      <c r="A5" s="55" t="s">
        <v>48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6"/>
    </row>
    <row r="6" spans="1:13" ht="30" customHeight="1" thickBot="1" x14ac:dyDescent="0.3">
      <c r="A6" s="59" t="s">
        <v>55</v>
      </c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  <c r="M6" s="7"/>
    </row>
    <row r="7" spans="1:13" ht="15.75" thickTop="1" x14ac:dyDescent="0.25"/>
    <row r="9" spans="1:13" ht="15.75" thickBot="1" x14ac:dyDescent="0.3">
      <c r="A9" s="2" t="s">
        <v>18</v>
      </c>
      <c r="B9" s="2" t="s">
        <v>1</v>
      </c>
      <c r="C9" s="2" t="s">
        <v>2</v>
      </c>
      <c r="D9" s="2" t="s">
        <v>3</v>
      </c>
    </row>
    <row r="10" spans="1:13" ht="15.75" thickTop="1" x14ac:dyDescent="0.25">
      <c r="A10" s="33"/>
      <c r="B10" s="33"/>
      <c r="C10" s="33"/>
      <c r="D10" s="34"/>
    </row>
    <row r="11" spans="1:13" x14ac:dyDescent="0.25">
      <c r="A11" s="4"/>
    </row>
    <row r="12" spans="1:13" ht="15.75" thickBot="1" x14ac:dyDescent="0.3">
      <c r="A12" s="2" t="s">
        <v>45</v>
      </c>
    </row>
    <row r="13" spans="1:13" ht="15.75" thickTop="1" x14ac:dyDescent="0.25">
      <c r="A13" s="34"/>
    </row>
    <row r="14" spans="1:13" x14ac:dyDescent="0.25">
      <c r="A14" s="25"/>
      <c r="D14" s="44" t="s">
        <v>21</v>
      </c>
      <c r="E14" s="44"/>
      <c r="F14" s="44"/>
      <c r="G14" s="44" t="s">
        <v>12</v>
      </c>
      <c r="H14" s="44"/>
      <c r="I14" s="44"/>
      <c r="J14" s="44" t="s">
        <v>47</v>
      </c>
      <c r="K14" s="44"/>
      <c r="L14" s="44"/>
    </row>
    <row r="15" spans="1:13" x14ac:dyDescent="0.25">
      <c r="A15" s="25"/>
      <c r="C15" s="1"/>
      <c r="D15" s="44" t="s">
        <v>22</v>
      </c>
      <c r="E15" s="44"/>
      <c r="F15" s="44"/>
      <c r="G15" s="44" t="s">
        <v>23</v>
      </c>
      <c r="H15" s="44"/>
      <c r="I15" s="44"/>
      <c r="J15" s="44" t="s">
        <v>23</v>
      </c>
      <c r="K15" s="44"/>
      <c r="L15" s="44"/>
    </row>
    <row r="16" spans="1:13" x14ac:dyDescent="0.25">
      <c r="A16" s="23" t="s">
        <v>19</v>
      </c>
      <c r="B16" s="14" t="s">
        <v>19</v>
      </c>
      <c r="C16" s="1" t="s">
        <v>0</v>
      </c>
      <c r="D16" s="44" t="s">
        <v>28</v>
      </c>
      <c r="E16" s="44"/>
      <c r="F16" s="44"/>
      <c r="G16" s="44" t="s">
        <v>24</v>
      </c>
      <c r="H16" s="44"/>
      <c r="I16" s="44"/>
      <c r="J16" s="44" t="s">
        <v>24</v>
      </c>
      <c r="K16" s="44"/>
      <c r="L16" s="44"/>
    </row>
    <row r="17" spans="1:13" ht="15.75" thickBot="1" x14ac:dyDescent="0.3">
      <c r="A17" s="2" t="s">
        <v>34</v>
      </c>
      <c r="B17" s="2" t="s">
        <v>4</v>
      </c>
      <c r="C17" s="2" t="s">
        <v>5</v>
      </c>
      <c r="D17" s="2" t="s">
        <v>6</v>
      </c>
      <c r="E17" s="3" t="s">
        <v>7</v>
      </c>
      <c r="F17" s="3" t="s">
        <v>8</v>
      </c>
      <c r="G17" s="2" t="s">
        <v>6</v>
      </c>
      <c r="H17" s="3" t="s">
        <v>7</v>
      </c>
      <c r="I17" s="3" t="s">
        <v>8</v>
      </c>
      <c r="J17" s="2" t="s">
        <v>6</v>
      </c>
      <c r="K17" s="3" t="s">
        <v>7</v>
      </c>
      <c r="L17" s="3" t="s">
        <v>8</v>
      </c>
    </row>
    <row r="18" spans="1:13" ht="15.75" thickTop="1" x14ac:dyDescent="0.25">
      <c r="A18" s="33" t="s">
        <v>52</v>
      </c>
      <c r="B18" s="34"/>
      <c r="C18" s="35"/>
      <c r="D18" s="10">
        <f>IF(B18="Thermal Oxidizer",0.12,4.2)</f>
        <v>4.2</v>
      </c>
      <c r="E18" s="10">
        <f>IF(B18="Thermal Oxidizer",0.047,0.86)</f>
        <v>0.86</v>
      </c>
      <c r="F18" s="10">
        <f>IF(B18="Thermal Oxidizer",0.1,0.1)</f>
        <v>0.1</v>
      </c>
      <c r="G18" s="20">
        <f t="shared" ref="G18:I21" si="0">$C18/2000*IF(LEFT($B18,1)="T",J$31,J$30)</f>
        <v>0</v>
      </c>
      <c r="H18" s="16">
        <f t="shared" si="0"/>
        <v>0</v>
      </c>
      <c r="I18" s="16">
        <f t="shared" si="0"/>
        <v>0</v>
      </c>
      <c r="J18" s="28">
        <f>IF($G18&lt;24,G18,$C18/2000*J$31)</f>
        <v>0</v>
      </c>
      <c r="K18" s="16">
        <f t="shared" ref="K18" si="1">IF($G18&lt;24,H18,$C18/2000*K$31)</f>
        <v>0</v>
      </c>
      <c r="L18" s="16">
        <f t="shared" ref="L18" si="2">IF($G18&lt;24,I18,$C18/2000*L$31)</f>
        <v>0</v>
      </c>
    </row>
    <row r="19" spans="1:13" x14ac:dyDescent="0.25">
      <c r="A19" s="33" t="s">
        <v>53</v>
      </c>
      <c r="B19" s="34"/>
      <c r="C19" s="35"/>
      <c r="D19" s="10">
        <f t="shared" ref="D19:D22" si="3">IF(B19="Thermal Oxidizer",0.12,4.2)</f>
        <v>4.2</v>
      </c>
      <c r="E19" s="10">
        <f t="shared" ref="E19:E22" si="4">IF(B19="Thermal Oxidizer",0.047,0.86)</f>
        <v>0.86</v>
      </c>
      <c r="F19" s="10">
        <f t="shared" ref="F19:F22" si="5">IF(B19="Thermal Oxidizer",0.1,0.1)</f>
        <v>0.1</v>
      </c>
      <c r="G19" s="20">
        <f t="shared" si="0"/>
        <v>0</v>
      </c>
      <c r="H19" s="16">
        <f t="shared" si="0"/>
        <v>0</v>
      </c>
      <c r="I19" s="16">
        <f t="shared" si="0"/>
        <v>0</v>
      </c>
      <c r="J19" s="28">
        <f>IF($G19&lt;24,G19,$C19/2000*J$31)</f>
        <v>0</v>
      </c>
      <c r="K19" s="16">
        <f t="shared" ref="K19:L19" si="6">IF($G19&lt;24,H19,$C19/2000*K$31)</f>
        <v>0</v>
      </c>
      <c r="L19" s="16">
        <f t="shared" si="6"/>
        <v>0</v>
      </c>
    </row>
    <row r="20" spans="1:13" x14ac:dyDescent="0.25">
      <c r="A20" s="33" t="s">
        <v>54</v>
      </c>
      <c r="B20" s="34"/>
      <c r="C20" s="35"/>
      <c r="D20" s="10">
        <f t="shared" si="3"/>
        <v>4.2</v>
      </c>
      <c r="E20" s="10">
        <f t="shared" si="4"/>
        <v>0.86</v>
      </c>
      <c r="F20" s="10">
        <f t="shared" si="5"/>
        <v>0.1</v>
      </c>
      <c r="G20" s="20">
        <f t="shared" si="0"/>
        <v>0</v>
      </c>
      <c r="H20" s="16">
        <f t="shared" si="0"/>
        <v>0</v>
      </c>
      <c r="I20" s="16">
        <f t="shared" si="0"/>
        <v>0</v>
      </c>
      <c r="J20" s="28">
        <f t="shared" ref="J20:J22" si="7">IF($G20&lt;24,G20,$C20/2000*J$31)</f>
        <v>0</v>
      </c>
      <c r="K20" s="16">
        <f t="shared" ref="K20:K22" si="8">IF($G20&lt;24,H20,$C20/2000*K$31)</f>
        <v>0</v>
      </c>
      <c r="L20" s="16">
        <f t="shared" ref="L20:L22" si="9">IF($G20&lt;24,I20,$C20/2000*L$31)</f>
        <v>0</v>
      </c>
    </row>
    <row r="21" spans="1:13" x14ac:dyDescent="0.25">
      <c r="A21" s="33" t="s">
        <v>35</v>
      </c>
      <c r="B21" s="34"/>
      <c r="C21" s="35"/>
      <c r="D21" s="10">
        <f t="shared" si="3"/>
        <v>4.2</v>
      </c>
      <c r="E21" s="10">
        <f t="shared" si="4"/>
        <v>0.86</v>
      </c>
      <c r="F21" s="10">
        <f t="shared" si="5"/>
        <v>0.1</v>
      </c>
      <c r="G21" s="20">
        <f t="shared" si="0"/>
        <v>0</v>
      </c>
      <c r="H21" s="16">
        <f t="shared" si="0"/>
        <v>0</v>
      </c>
      <c r="I21" s="16">
        <f t="shared" si="0"/>
        <v>0</v>
      </c>
      <c r="J21" s="28">
        <f t="shared" si="7"/>
        <v>0</v>
      </c>
      <c r="K21" s="16">
        <f t="shared" si="8"/>
        <v>0</v>
      </c>
      <c r="L21" s="16">
        <f t="shared" si="9"/>
        <v>0</v>
      </c>
    </row>
    <row r="22" spans="1:13" x14ac:dyDescent="0.25">
      <c r="A22" s="33" t="s">
        <v>36</v>
      </c>
      <c r="B22" s="36"/>
      <c r="C22" s="37"/>
      <c r="D22" s="10">
        <f t="shared" si="3"/>
        <v>4.2</v>
      </c>
      <c r="E22" s="10">
        <f t="shared" si="4"/>
        <v>0.86</v>
      </c>
      <c r="F22" s="10">
        <f t="shared" si="5"/>
        <v>0.1</v>
      </c>
      <c r="G22" s="20">
        <f>$C22/2000*IF(LEFT($B22,1)="T",J$31,J$30)</f>
        <v>0</v>
      </c>
      <c r="H22" s="29">
        <f t="shared" ref="H22:I22" si="10">$C22/2000*IF(LEFT($B22,1)="T",K$31,K$30)</f>
        <v>0</v>
      </c>
      <c r="I22" s="29">
        <f t="shared" si="10"/>
        <v>0</v>
      </c>
      <c r="J22" s="30">
        <f t="shared" si="7"/>
        <v>0</v>
      </c>
      <c r="K22" s="29">
        <f t="shared" si="8"/>
        <v>0</v>
      </c>
      <c r="L22" s="29">
        <f t="shared" si="9"/>
        <v>0</v>
      </c>
    </row>
    <row r="23" spans="1:13" ht="1.9" customHeight="1" thickBot="1" x14ac:dyDescent="0.3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</row>
    <row r="24" spans="1:13" ht="15.75" thickTop="1" x14ac:dyDescent="0.25">
      <c r="B24" s="27" t="s">
        <v>43</v>
      </c>
      <c r="C24" s="26">
        <f>SUM(C18:C22)</f>
        <v>0</v>
      </c>
      <c r="D24" s="43"/>
      <c r="E24" s="43"/>
      <c r="F24" s="43"/>
      <c r="G24" s="17">
        <f t="shared" ref="G24:L24" si="11">SUM(G18:G22)</f>
        <v>0</v>
      </c>
      <c r="H24" s="17">
        <f t="shared" si="11"/>
        <v>0</v>
      </c>
      <c r="I24" s="17">
        <f t="shared" si="11"/>
        <v>0</v>
      </c>
      <c r="J24" s="17">
        <f t="shared" si="11"/>
        <v>0</v>
      </c>
      <c r="K24" s="17">
        <f t="shared" si="11"/>
        <v>0</v>
      </c>
      <c r="L24" s="17">
        <f t="shared" si="11"/>
        <v>0</v>
      </c>
    </row>
    <row r="25" spans="1:13" hidden="1" x14ac:dyDescent="0.25">
      <c r="B25" s="27" t="s">
        <v>50</v>
      </c>
      <c r="C25" s="32">
        <f>COUNTIFS(B18:B22,"Uncontrolled",G18:G22,"&gt;=24")</f>
        <v>0</v>
      </c>
      <c r="D25" s="10"/>
      <c r="E25" s="10"/>
      <c r="F25" s="10"/>
      <c r="H25" s="17"/>
      <c r="I25" s="17"/>
      <c r="J25" s="17"/>
      <c r="K25" s="17"/>
      <c r="L25" s="17"/>
    </row>
    <row r="26" spans="1:13" hidden="1" x14ac:dyDescent="0.25">
      <c r="A26" s="4"/>
      <c r="B26" s="27" t="s">
        <v>46</v>
      </c>
      <c r="E26" s="23"/>
      <c r="G26" s="20">
        <f t="array" ref="G26">MAX((G18:G22)*(B18:B22="Uncontrolled"))</f>
        <v>0</v>
      </c>
      <c r="H26" s="10"/>
      <c r="I26" s="10"/>
      <c r="J26" s="17"/>
      <c r="K26" s="17"/>
      <c r="L26" s="17"/>
    </row>
    <row r="27" spans="1:13" hidden="1" x14ac:dyDescent="0.25">
      <c r="A27" s="4"/>
      <c r="B27" s="27" t="s">
        <v>44</v>
      </c>
      <c r="E27" s="23"/>
      <c r="F27" s="23"/>
      <c r="G27" s="10"/>
      <c r="H27" s="10"/>
      <c r="I27" s="10"/>
      <c r="J27" s="17">
        <f>G24-J24</f>
        <v>0</v>
      </c>
      <c r="K27" s="17">
        <f t="shared" ref="K27:L27" si="12">H24-K24</f>
        <v>0</v>
      </c>
      <c r="L27" s="17">
        <f t="shared" si="12"/>
        <v>0</v>
      </c>
    </row>
    <row r="28" spans="1:13" x14ac:dyDescent="0.25">
      <c r="A28" s="4"/>
      <c r="E28" s="23"/>
      <c r="F28" s="23"/>
      <c r="G28" s="10"/>
      <c r="H28" s="10"/>
      <c r="I28" s="10"/>
      <c r="J28" s="17"/>
      <c r="K28" s="17"/>
      <c r="L28" s="17"/>
    </row>
    <row r="29" spans="1:13" x14ac:dyDescent="0.25">
      <c r="A29" t="s">
        <v>20</v>
      </c>
    </row>
    <row r="30" spans="1:13" x14ac:dyDescent="0.25">
      <c r="A30" s="8" t="s">
        <v>10</v>
      </c>
      <c r="B30" s="18" t="s">
        <v>29</v>
      </c>
      <c r="C30" s="8"/>
      <c r="D30" s="8"/>
      <c r="E30" s="8"/>
      <c r="F30" s="8"/>
      <c r="G30" s="8"/>
      <c r="H30" s="8"/>
      <c r="I30" s="8"/>
      <c r="J30" s="9">
        <v>4.2</v>
      </c>
      <c r="K30" s="9">
        <v>0.86</v>
      </c>
      <c r="L30" s="9">
        <v>0.1</v>
      </c>
      <c r="M30" s="8"/>
    </row>
    <row r="31" spans="1:13" x14ac:dyDescent="0.25">
      <c r="A31" s="8" t="s">
        <v>11</v>
      </c>
      <c r="B31" s="18" t="s">
        <v>9</v>
      </c>
      <c r="C31" s="8"/>
      <c r="D31" s="8"/>
      <c r="E31" s="8"/>
      <c r="F31" s="8"/>
      <c r="G31" s="8"/>
      <c r="H31" s="8"/>
      <c r="I31" s="8"/>
      <c r="J31" s="9">
        <v>0.12</v>
      </c>
      <c r="K31" s="9">
        <v>4.7E-2</v>
      </c>
      <c r="L31" s="9">
        <v>0.1</v>
      </c>
      <c r="M31" s="8"/>
    </row>
    <row r="32" spans="1:13" ht="15.75" thickBot="1" x14ac:dyDescent="0.3"/>
    <row r="33" spans="1:7" ht="16.5" thickTop="1" x14ac:dyDescent="0.25">
      <c r="A33" s="45" t="s">
        <v>49</v>
      </c>
      <c r="B33" s="46"/>
      <c r="C33" s="46"/>
      <c r="D33" s="46"/>
      <c r="E33" s="46"/>
      <c r="F33" s="46"/>
      <c r="G33" s="47"/>
    </row>
    <row r="34" spans="1:7" ht="16.5" thickBot="1" x14ac:dyDescent="0.3">
      <c r="A34" s="48" t="s">
        <v>33</v>
      </c>
      <c r="B34" s="49"/>
      <c r="C34" s="49"/>
      <c r="D34" s="49"/>
      <c r="E34" s="49"/>
      <c r="F34" s="49"/>
      <c r="G34" s="50"/>
    </row>
    <row r="35" spans="1:7" ht="15.75" thickTop="1" x14ac:dyDescent="0.25"/>
    <row r="36" spans="1:7" ht="15" customHeight="1" x14ac:dyDescent="0.25">
      <c r="A36" s="52" t="str">
        <f>IF(C25&gt;1,"Your facility has "&amp;C25&amp;" uncontrolled roaster units that exceed the 24 lbs of PM per year threshold.","Your facility has "&amp;C25&amp;" uncontrolled roaster unit that exceeds the 24 lbs of PM per year threshold.")</f>
        <v>Your facility has 0 uncontrolled roaster unit that exceeds the 24 lbs of PM per year threshold.</v>
      </c>
      <c r="B36" s="52"/>
      <c r="C36" s="52"/>
      <c r="D36" s="52"/>
      <c r="E36" s="52"/>
      <c r="F36" s="52"/>
      <c r="G36" s="52"/>
    </row>
    <row r="37" spans="1:7" ht="15" customHeight="1" thickBot="1" x14ac:dyDescent="0.3">
      <c r="A37" s="51" t="s">
        <v>51</v>
      </c>
      <c r="B37" s="51"/>
      <c r="C37" s="51"/>
      <c r="D37" s="51"/>
      <c r="E37" s="51"/>
      <c r="F37" s="51"/>
      <c r="G37" s="51"/>
    </row>
    <row r="38" spans="1:7" ht="15" customHeight="1" thickTop="1" x14ac:dyDescent="0.25">
      <c r="A38" s="11" t="s">
        <v>37</v>
      </c>
      <c r="B38" s="11"/>
      <c r="C38" s="11"/>
      <c r="D38" s="11"/>
      <c r="G38" s="38"/>
    </row>
    <row r="39" spans="1:7" ht="15" customHeight="1" x14ac:dyDescent="0.25">
      <c r="A39" s="11" t="s">
        <v>13</v>
      </c>
      <c r="B39" s="11"/>
      <c r="C39" s="11"/>
      <c r="D39" s="11"/>
      <c r="G39" s="39">
        <f>0.1*G38</f>
        <v>0</v>
      </c>
    </row>
    <row r="40" spans="1:7" ht="15" customHeight="1" thickBot="1" x14ac:dyDescent="0.3">
      <c r="A40" s="12" t="s">
        <v>39</v>
      </c>
      <c r="B40" s="12"/>
      <c r="C40" s="12"/>
      <c r="D40" s="12"/>
      <c r="E40" s="24"/>
      <c r="F40" s="24"/>
      <c r="G40" s="40">
        <f>SUM(G38:G39)</f>
        <v>0</v>
      </c>
    </row>
    <row r="41" spans="1:7" ht="15" customHeight="1" thickTop="1" x14ac:dyDescent="0.25">
      <c r="A41" s="11" t="s">
        <v>38</v>
      </c>
      <c r="B41" s="11"/>
      <c r="C41" s="11"/>
      <c r="D41" s="11"/>
      <c r="G41" s="38"/>
    </row>
    <row r="42" spans="1:7" x14ac:dyDescent="0.25">
      <c r="A42" s="11" t="s">
        <v>32</v>
      </c>
      <c r="B42" s="11"/>
      <c r="C42" s="11"/>
      <c r="D42" s="11"/>
      <c r="G42" s="39">
        <f>G38*0.6</f>
        <v>0</v>
      </c>
    </row>
    <row r="43" spans="1:7" x14ac:dyDescent="0.25">
      <c r="A43" s="11" t="s">
        <v>17</v>
      </c>
      <c r="B43" s="11"/>
      <c r="C43" s="11"/>
      <c r="D43" s="11"/>
      <c r="G43" s="39">
        <f>G38*0.1</f>
        <v>0</v>
      </c>
    </row>
    <row r="44" spans="1:7" x14ac:dyDescent="0.25">
      <c r="A44" s="11" t="s">
        <v>14</v>
      </c>
      <c r="B44" s="11"/>
      <c r="C44" s="11"/>
      <c r="D44" s="11"/>
      <c r="G44" s="39">
        <f>G38*0.1</f>
        <v>0</v>
      </c>
    </row>
    <row r="45" spans="1:7" x14ac:dyDescent="0.25">
      <c r="A45" s="11" t="s">
        <v>15</v>
      </c>
      <c r="B45" s="11"/>
      <c r="C45" s="11"/>
      <c r="D45" s="11"/>
      <c r="G45" s="39">
        <f>G38*0.0752</f>
        <v>0</v>
      </c>
    </row>
    <row r="46" spans="1:7" ht="15.75" thickBot="1" x14ac:dyDescent="0.3">
      <c r="A46" s="12" t="s">
        <v>40</v>
      </c>
      <c r="B46" s="12"/>
      <c r="C46" s="12"/>
      <c r="D46" s="12"/>
      <c r="E46" s="24"/>
      <c r="F46" s="24"/>
      <c r="G46" s="40">
        <f>SUM(G41:G45)</f>
        <v>0</v>
      </c>
    </row>
    <row r="47" spans="1:7" ht="15.75" thickTop="1" x14ac:dyDescent="0.25">
      <c r="A47" s="19" t="s">
        <v>42</v>
      </c>
      <c r="B47" s="13"/>
      <c r="C47" s="13"/>
      <c r="D47" s="13"/>
      <c r="F47" s="13"/>
      <c r="G47" s="41">
        <f>G40+G46</f>
        <v>0</v>
      </c>
    </row>
    <row r="48" spans="1:7" x14ac:dyDescent="0.25">
      <c r="A48" s="19" t="s">
        <v>41</v>
      </c>
      <c r="F48" s="13"/>
      <c r="G48" s="41">
        <f>G47*C25</f>
        <v>0</v>
      </c>
    </row>
    <row r="49" spans="1:7" x14ac:dyDescent="0.25">
      <c r="A49" s="19" t="s">
        <v>30</v>
      </c>
      <c r="B49" s="13"/>
      <c r="C49" s="13"/>
      <c r="D49" s="13"/>
      <c r="F49" s="13"/>
      <c r="G49" s="42">
        <f>J24/2000</f>
        <v>0</v>
      </c>
    </row>
    <row r="50" spans="1:7" x14ac:dyDescent="0.25">
      <c r="A50" s="19" t="s">
        <v>31</v>
      </c>
      <c r="B50" s="15"/>
      <c r="C50" s="15"/>
      <c r="D50" s="15"/>
      <c r="F50" s="15"/>
      <c r="G50" s="41" t="e">
        <f>G48/G49</f>
        <v>#DIV/0!</v>
      </c>
    </row>
  </sheetData>
  <sheetProtection algorithmName="SHA-512" hashValue="mVgTzdbZWfijl1AVlWzJ6pIucT7jSgswVvbh64OCPjBOdFPxSTaXj419XFlNUhZ9gY3Wa20gW1YBYS1CDGXKJA==" saltValue="ZiJgbNnKOcojGStlaRNFhA==" spinCount="100000" sheet="1" objects="1" scenarios="1"/>
  <mergeCells count="19">
    <mergeCell ref="A1:L1"/>
    <mergeCell ref="A2:L2"/>
    <mergeCell ref="A5:L5"/>
    <mergeCell ref="A4:L4"/>
    <mergeCell ref="A6:L6"/>
    <mergeCell ref="J14:L14"/>
    <mergeCell ref="D15:F15"/>
    <mergeCell ref="D16:F16"/>
    <mergeCell ref="J16:L16"/>
    <mergeCell ref="G15:I15"/>
    <mergeCell ref="G14:I14"/>
    <mergeCell ref="G16:I16"/>
    <mergeCell ref="J15:L15"/>
    <mergeCell ref="D24:F24"/>
    <mergeCell ref="D14:F14"/>
    <mergeCell ref="A33:G33"/>
    <mergeCell ref="A34:G34"/>
    <mergeCell ref="A37:G37"/>
    <mergeCell ref="A36:G36"/>
  </mergeCells>
  <conditionalFormatting sqref="G18">
    <cfRule type="expression" dxfId="25" priority="30">
      <formula>OR(LEFT(B18,1)="T",G18&lt;24)</formula>
    </cfRule>
    <cfRule type="expression" dxfId="24" priority="31">
      <formula>AND(LEFT(B18,1)="U",G18&gt;=24)</formula>
    </cfRule>
  </conditionalFormatting>
  <conditionalFormatting sqref="G26">
    <cfRule type="cellIs" dxfId="23" priority="28" operator="lessThan">
      <formula>24</formula>
    </cfRule>
    <cfRule type="cellIs" dxfId="22" priority="29" operator="greaterThanOrEqual">
      <formula>24</formula>
    </cfRule>
  </conditionalFormatting>
  <conditionalFormatting sqref="B22:L22">
    <cfRule type="expression" dxfId="21" priority="12">
      <formula>$A$13&lt;5</formula>
    </cfRule>
  </conditionalFormatting>
  <conditionalFormatting sqref="B21:L21">
    <cfRule type="expression" dxfId="20" priority="9">
      <formula>$A$13&lt;4</formula>
    </cfRule>
  </conditionalFormatting>
  <conditionalFormatting sqref="B20:L20">
    <cfRule type="expression" dxfId="19" priority="8">
      <formula>$A$13&lt;3</formula>
    </cfRule>
  </conditionalFormatting>
  <conditionalFormatting sqref="B19:L19">
    <cfRule type="expression" dxfId="18" priority="7">
      <formula>$A$13&lt;2</formula>
    </cfRule>
  </conditionalFormatting>
  <conditionalFormatting sqref="B18:L18">
    <cfRule type="expression" dxfId="17" priority="23">
      <formula>$A$13&lt;1</formula>
    </cfRule>
  </conditionalFormatting>
  <conditionalFormatting sqref="A33:G34 A38:G50">
    <cfRule type="expression" dxfId="16" priority="21">
      <formula>$G$26&lt;24</formula>
    </cfRule>
  </conditionalFormatting>
  <conditionalFormatting sqref="B19">
    <cfRule type="expression" dxfId="15" priority="20">
      <formula>$A$13&lt;1</formula>
    </cfRule>
  </conditionalFormatting>
  <conditionalFormatting sqref="A36">
    <cfRule type="expression" dxfId="14" priority="19">
      <formula>$G$26&lt;24</formula>
    </cfRule>
  </conditionalFormatting>
  <conditionalFormatting sqref="A37">
    <cfRule type="expression" dxfId="13" priority="18">
      <formula>$G$26&lt;24</formula>
    </cfRule>
  </conditionalFormatting>
  <conditionalFormatting sqref="G19">
    <cfRule type="expression" dxfId="12" priority="35">
      <formula>AND(LEFT(B19,1)="U",G19&gt;=24)</formula>
    </cfRule>
    <cfRule type="expression" dxfId="11" priority="24">
      <formula>OR(LEFT(B19,1)="T",G19&lt;24)</formula>
    </cfRule>
  </conditionalFormatting>
  <conditionalFormatting sqref="G20">
    <cfRule type="expression" dxfId="10" priority="34">
      <formula>AND(LEFT(B20,1)="U",G20&gt;=24)</formula>
    </cfRule>
    <cfRule type="expression" dxfId="9" priority="17">
      <formula>OR(LEFT(B20,1)="T",G20&lt;24)</formula>
    </cfRule>
  </conditionalFormatting>
  <conditionalFormatting sqref="G21">
    <cfRule type="expression" dxfId="8" priority="26">
      <formula>AND(LEFT(B21,1)="U",G21&gt;=24)</formula>
    </cfRule>
    <cfRule type="expression" dxfId="7" priority="15">
      <formula>OR(LEFT(B21,1)="T",G21&lt;24)</formula>
    </cfRule>
  </conditionalFormatting>
  <conditionalFormatting sqref="G22">
    <cfRule type="expression" dxfId="6" priority="25">
      <formula>AND(LEFT(B22,1)="U",G22&gt;=24)</formula>
    </cfRule>
    <cfRule type="expression" dxfId="5" priority="27">
      <formula>OR(LEFT(B22,1)="T",G22&lt;24)</formula>
    </cfRule>
  </conditionalFormatting>
  <conditionalFormatting sqref="A22">
    <cfRule type="expression" dxfId="4" priority="4">
      <formula>$A$13&lt;5</formula>
    </cfRule>
  </conditionalFormatting>
  <conditionalFormatting sqref="A21">
    <cfRule type="expression" dxfId="3" priority="3">
      <formula>$A$13&lt;4</formula>
    </cfRule>
  </conditionalFormatting>
  <conditionalFormatting sqref="A20">
    <cfRule type="expression" dxfId="2" priority="2">
      <formula>$A$13&lt;3</formula>
    </cfRule>
  </conditionalFormatting>
  <conditionalFormatting sqref="A19">
    <cfRule type="expression" dxfId="1" priority="1">
      <formula>$A$13&lt;2</formula>
    </cfRule>
  </conditionalFormatting>
  <conditionalFormatting sqref="A18">
    <cfRule type="expression" dxfId="0" priority="5">
      <formula>$A$13&lt;1</formula>
    </cfRule>
  </conditionalFormatting>
  <dataValidations count="1">
    <dataValidation type="list" allowBlank="1" showInputMessage="1" showErrorMessage="1" sqref="B18:B22">
      <formula1>"Uncontrolled,Thermal Oxidizer"</formula1>
    </dataValidation>
  </dataValidations>
  <pageMargins left="0.7" right="0.7" top="0.75" bottom="0.75" header="0.3" footer="0.3"/>
  <pageSetup scale="74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Carlson</dc:creator>
  <cp:lastModifiedBy>Alimi, Adeyemi</cp:lastModifiedBy>
  <cp:lastPrinted>2020-01-29T21:32:13Z</cp:lastPrinted>
  <dcterms:created xsi:type="dcterms:W3CDTF">2018-07-12T16:38:57Z</dcterms:created>
  <dcterms:modified xsi:type="dcterms:W3CDTF">2020-06-10T23:13:55Z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ef5a5266-afce-4539-8564-6f48e14cb24a</vt:lpwstr>
  </property>
</Properties>
</file>