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zarneckin\Desktop\"/>
    </mc:Choice>
  </mc:AlternateContent>
  <xr:revisionPtr revIDLastSave="0" documentId="13_ncr:1_{901A9D2F-FB8F-4B0F-A662-2259B3E18804}" xr6:coauthVersionLast="44" xr6:coauthVersionMax="45" xr10:uidLastSave="{00000000-0000-0000-0000-000000000000}"/>
  <bookViews>
    <workbookView xWindow="28680" yWindow="-120" windowWidth="29040" windowHeight="15840" xr2:uid="{07B5D687-4823-467E-A528-E720C3A19C23}"/>
  </bookViews>
  <sheets>
    <sheet name="Sheet1" sheetId="1" r:id="rId1"/>
  </sheets>
  <definedNames>
    <definedName name="Catalytic_Oxidizer" localSheetId="0">Sheet1!$B$28:$B$39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9" i="1" l="1"/>
  <c r="G64" i="1"/>
  <c r="G63" i="1"/>
  <c r="G60" i="1"/>
  <c r="G59" i="1"/>
  <c r="G58" i="1"/>
  <c r="G56" i="1"/>
  <c r="G43" i="1"/>
  <c r="G42" i="1" a="1"/>
  <c r="G42" i="1"/>
  <c r="G30" i="1"/>
  <c r="G31" i="1"/>
  <c r="G32" i="1"/>
  <c r="G33" i="1"/>
  <c r="G34" i="1"/>
  <c r="G35" i="1"/>
  <c r="G36" i="1"/>
  <c r="G37" i="1"/>
  <c r="G38" i="1"/>
  <c r="G39" i="1"/>
  <c r="G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E28" i="1"/>
  <c r="F28" i="1"/>
  <c r="G29" i="1"/>
  <c r="G61" i="1"/>
  <c r="G62" i="1"/>
  <c r="G65" i="1"/>
  <c r="G66" i="1"/>
  <c r="G67" i="1"/>
  <c r="G70" i="1"/>
  <c r="C41" i="1"/>
  <c r="E41" i="1"/>
  <c r="F41" i="1"/>
</calcChain>
</file>

<file path=xl/sharedStrings.xml><?xml version="1.0" encoding="utf-8"?>
<sst xmlns="http://schemas.openxmlformats.org/spreadsheetml/2006/main" count="154" uniqueCount="114">
  <si>
    <t>Facility Name</t>
  </si>
  <si>
    <t>Address</t>
  </si>
  <si>
    <t>City</t>
  </si>
  <si>
    <t>ZIP</t>
  </si>
  <si>
    <t>Emission</t>
  </si>
  <si>
    <t>Uncontrolled</t>
  </si>
  <si>
    <t>Post-Control</t>
  </si>
  <si>
    <t>Factor</t>
  </si>
  <si>
    <t>Emissions</t>
  </si>
  <si>
    <t>(lbs/ton*)</t>
  </si>
  <si>
    <t>Unit Name/Description</t>
  </si>
  <si>
    <t>Control</t>
  </si>
  <si>
    <t>(lb/year)</t>
  </si>
  <si>
    <t>PM</t>
  </si>
  <si>
    <t xml:space="preserve">Totals (lb/year):  </t>
  </si>
  <si>
    <t>Total Capital Investment per Device</t>
  </si>
  <si>
    <r>
      <t xml:space="preserve">Direct Annual Cost </t>
    </r>
    <r>
      <rPr>
        <u/>
        <sz val="11"/>
        <color theme="1"/>
        <rFont val="Calibri"/>
        <family val="2"/>
        <scheme val="minor"/>
      </rPr>
      <t>per Control Device</t>
    </r>
    <r>
      <rPr>
        <sz val="11"/>
        <color theme="1"/>
        <rFont val="Calibri"/>
        <family val="2"/>
        <scheme val="minor"/>
      </rPr>
      <t xml:space="preserve"> (labor, operating materials, maintenance, utilities)</t>
    </r>
  </si>
  <si>
    <t>Indirect Annual Administration Cost (10% of Total Capital Cost)</t>
  </si>
  <si>
    <t>Indirect Annual Insurance (10% of Total Capital Cost)</t>
  </si>
  <si>
    <t>Capital Recovery Factor (CRF x Total Capital Cost)</t>
  </si>
  <si>
    <t>Total Annual Cost per Device</t>
  </si>
  <si>
    <t>Annualized Cost per Device ($/year) -- this is Total Capital Investment + Total Annual Cost per Device from above</t>
  </si>
  <si>
    <t>Total Annualized Cost Across All Devices ($/year)</t>
  </si>
  <si>
    <t>PM Reductions (tons/year)</t>
  </si>
  <si>
    <t>Cost-Effectiveness of Control ($/ton of PM removed)</t>
  </si>
  <si>
    <t>Charbroiler</t>
  </si>
  <si>
    <t xml:space="preserve">Uncontrolled </t>
  </si>
  <si>
    <t>Ibs/year</t>
  </si>
  <si>
    <t>Aurora Authentic Mediterranean</t>
  </si>
  <si>
    <t>Dale Road Hotel Operations</t>
  </si>
  <si>
    <t>Fuji Japanese Restaurant</t>
  </si>
  <si>
    <t>Fushimi LLC</t>
  </si>
  <si>
    <t>Geraldo Restaurant</t>
  </si>
  <si>
    <t>Lavelle's Bistro</t>
  </si>
  <si>
    <t>Lemon Grass Thai Cuisine</t>
  </si>
  <si>
    <t>Nix'xx Philippine Express</t>
  </si>
  <si>
    <t xml:space="preserve">Pagoda Restaurant </t>
  </si>
  <si>
    <t>Pike's Landing</t>
  </si>
  <si>
    <t>Shogun Hibachi</t>
  </si>
  <si>
    <t>The Banks Alehouse</t>
  </si>
  <si>
    <t>3350 Thamas St. Spc#9</t>
  </si>
  <si>
    <t>Fairbanks</t>
  </si>
  <si>
    <t>99709-3722</t>
  </si>
  <si>
    <t>16114 E. Indiana Ave. Suite 200</t>
  </si>
  <si>
    <t>3535 College Road</t>
  </si>
  <si>
    <t>Spokane Valley</t>
  </si>
  <si>
    <t>701 College Rd</t>
  </si>
  <si>
    <t>1615 Kassi Ct</t>
  </si>
  <si>
    <t>99701-9669</t>
  </si>
  <si>
    <t>575 First Ave</t>
  </si>
  <si>
    <t>388 Old Chena Pump Road</t>
  </si>
  <si>
    <t>2834 King Arthur Way</t>
  </si>
  <si>
    <t>431 Santa Claus Lane</t>
  </si>
  <si>
    <t>North Pole</t>
  </si>
  <si>
    <t>1850 Hoselton Rd</t>
  </si>
  <si>
    <t>1105 Shannon Drive</t>
  </si>
  <si>
    <t>99701-3811</t>
  </si>
  <si>
    <t>1243 Old Steese Hwy</t>
  </si>
  <si>
    <t>Charbroilers, uncontrolled</t>
  </si>
  <si>
    <t>San Joaquin Valley APCD composite emission factor calculated from the weighted emission factors of different types of meat</t>
  </si>
  <si>
    <t>Number of Charbroiler Units</t>
  </si>
  <si>
    <t xml:space="preserve">   1) Uncontrolled (no controls) or 
   2) Catalytic Oxidizer (primary control option available)</t>
  </si>
  <si>
    <t>Cooking</t>
  </si>
  <si>
    <t>https://www.valleyair.org/Board_meetings/gb/agenda_minutes/Agenda/2009/September/Agenda_Item_7_Sep_17_2009.pdf</t>
  </si>
  <si>
    <t>Ibs PM-10/ton Meat Cooked</t>
  </si>
  <si>
    <t>https://planning.lacity.org/eir/8150Sunset/References/4.B.%20Air%20Quality/AQ.14_SJVAPCD%20Charbroiling%20EF%20by%20Meat.pdf</t>
  </si>
  <si>
    <t>Charbroilers, controlled EF for Hamburger Patties</t>
  </si>
  <si>
    <t>Indirect Annual Cost Overhead  (60% of the Direct Annual Cost per Control Device)</t>
  </si>
  <si>
    <t xml:space="preserve">Emission </t>
  </si>
  <si>
    <t>Reductions</t>
  </si>
  <si>
    <t>lbs/year</t>
  </si>
  <si>
    <t xml:space="preserve">Max Individual Emission Reductions (lb/year):  </t>
  </si>
  <si>
    <t xml:space="preserve">Max Individual Emissions per Unit (lb/year):  </t>
  </si>
  <si>
    <t>EPA's emission factors (AP-42) for batch charbroilers could not be located, therefore San Joaquin's emission factors (with references provided) were used</t>
  </si>
  <si>
    <t>Estimating Charbroilers Control Cost Effectiveness</t>
  </si>
  <si>
    <t>Information on the location and lbs of meat it cooks per year appear in the cells highlighted in yellow. Information</t>
  </si>
  <si>
    <t xml:space="preserve">on whether the facility includes air pollution control devices is also included with the two options listed: </t>
  </si>
  <si>
    <t>Estimating the Annual Cost of Controlling Charbroilers Emissions</t>
  </si>
  <si>
    <t xml:space="preserve">The charbroiler with the highest emissions was selected for analysis because the highest emissions will result in the largest emission reduction. </t>
  </si>
  <si>
    <t>With the same capital cost, the largest emission reduction will result in the lowest cost effectiveness of control in dollars per ton of PM removed.</t>
  </si>
  <si>
    <t>Costs per charbroiler unit for installation &amp; operation of control devices are provided below.</t>
  </si>
  <si>
    <t>San Joaquin Valley Unified Air Pollution Control District, Final Draft Staff Report, Rule 4692 (Commercial Charbroiling), February 21, 2002</t>
  </si>
  <si>
    <t>Engineering Judgement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</si>
  <si>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</si>
  <si>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</si>
  <si>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</si>
  <si>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</si>
  <si>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</si>
  <si>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</si>
  <si>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</si>
  <si>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</si>
  <si>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</si>
  <si>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</si>
  <si>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</si>
  <si>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r>
      <t xml:space="preserve">Capital Cost </t>
    </r>
    <r>
      <rPr>
        <u/>
        <sz val="11"/>
        <color theme="1"/>
        <rFont val="Calibri"/>
        <family val="2"/>
        <scheme val="minor"/>
      </rPr>
      <t>per Control Device in 2002 dollars</t>
    </r>
    <r>
      <rPr>
        <sz val="11"/>
        <color theme="1"/>
        <rFont val="Calibri"/>
        <family val="2"/>
        <scheme val="minor"/>
      </rPr>
      <t xml:space="preserve"> (including purchase, installation and indirect (e.g., engineering, contractor, construction, etc.)</t>
    </r>
  </si>
  <si>
    <t>Initial duct cleaning cost in 2002 dollars (not included in SJV APCD estimate of $8,000)</t>
  </si>
  <si>
    <t>Adjustment from 2002 dollars to 2020 dollars (C3 entered into U.S. Bureau of Labor Statistics CPI Inflation Calculator)</t>
  </si>
  <si>
    <t>C12</t>
  </si>
  <si>
    <t>https://www.bls.gov/data/inflation_calculator.htm</t>
  </si>
  <si>
    <t>C13</t>
  </si>
  <si>
    <t>C1+C2</t>
  </si>
  <si>
    <t>C3+C4</t>
  </si>
  <si>
    <t>Total Capital Cost in 2002 dollars</t>
  </si>
  <si>
    <t>C4 rounded to the nearest $1,000</t>
  </si>
  <si>
    <t xml:space="preserve">Total Capital Cost in 2020 dollars rounded to the nearest $1,000 </t>
  </si>
  <si>
    <t>10% of C5</t>
  </si>
  <si>
    <t>Capital Contingency (10% of total capital cost)</t>
  </si>
  <si>
    <t>5% of C7</t>
  </si>
  <si>
    <t>60% of C8</t>
  </si>
  <si>
    <t>The capital recovery cost factor, CRF, is a function of the equipment life (typically, 20 years) and the opportunity cost of the capital (i.e., interest rate). For a 20-year equipment life and a 4.25% interest rate, CRF = 0.0752. It is a fixed factor based on EPA guidance values.</t>
  </si>
  <si>
    <t>Note 1</t>
  </si>
  <si>
    <t>CRF X C7</t>
  </si>
  <si>
    <t>Sum of C8 through C12</t>
  </si>
  <si>
    <t>Based on largest individual emission reduction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</si>
</sst>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0.00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i/>
      <sz val="12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8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57">
    <xf numFmtId="0" fontId="0" fillId="0" borderId="0" xfId="0"/>
    <xf numFmtId="0" fontId="3" fillId="0" borderId="3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5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0" xfId="0" applyFont="1"/>
    <xf numFmtId="0" fontId="1" fillId="0" borderId="0" xfId="0" applyFont="1" applyAlignment="1">
      <alignment horizontal="center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horizontal="center"/>
      <protection locked="0"/>
    </xf>
    <xf numFmtId="3" fontId="5" fillId="2" borderId="0" xfId="0" applyNumberFormat="1" applyFont="1" applyFill="1" applyProtection="1">
      <protection locked="0"/>
    </xf>
    <xf numFmtId="0" fontId="0" fillId="0" borderId="0" xfId="0" applyAlignment="1">
      <alignment horizontal="center" vertical="center"/>
    </xf>
    <xf numFmtId="2" fontId="8" fillId="0" borderId="0" xfId="0" applyNumberFormat="1" applyFont="1"/>
    <xf numFmtId="2" fontId="8" fillId="3" borderId="0" xfId="0" applyNumberFormat="1" applyFont="1" applyFill="1"/>
    <xf numFmtId="0" fontId="0" fillId="0" borderId="5" xfId="0" applyBorder="1"/>
    <xf numFmtId="0" fontId="1" fillId="0" borderId="0" xfId="0" applyFont="1" applyAlignment="1">
      <alignment horizontal="right"/>
    </xf>
    <xf numFmtId="3" fontId="1" fillId="0" borderId="0" xfId="0" applyNumberFormat="1" applyFont="1"/>
    <xf numFmtId="2" fontId="1" fillId="0" borderId="0" xfId="0" applyNumberFormat="1" applyFont="1"/>
    <xf numFmtId="0" fontId="0" fillId="4" borderId="0" xfId="0" applyFill="1"/>
    <xf numFmtId="0" fontId="9" fillId="4" borderId="0" xfId="0" applyFont="1" applyFill="1"/>
    <xf numFmtId="0" fontId="0" fillId="4" borderId="0" xfId="0" applyFill="1" applyAlignment="1">
      <alignment horizontal="center"/>
    </xf>
    <xf numFmtId="0" fontId="0" fillId="0" borderId="5" xfId="0" applyBorder="1" applyAlignment="1">
      <alignment horizontal="left"/>
    </xf>
    <xf numFmtId="0" fontId="1" fillId="0" borderId="0" xfId="0" applyFont="1"/>
    <xf numFmtId="0" fontId="0" fillId="0" borderId="0" xfId="0" applyAlignment="1">
      <alignment horizontal="center"/>
    </xf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0" xfId="0" applyBorder="1" applyAlignment="1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5" fillId="5" borderId="5" xfId="0" applyFont="1" applyFill="1" applyBorder="1" applyAlignment="1" applyProtection="1">
      <alignment horizontal="center"/>
      <protection locked="0"/>
    </xf>
    <xf numFmtId="0" fontId="13" fillId="0" borderId="0" xfId="2"/>
    <xf numFmtId="165" fontId="0" fillId="0" borderId="0" xfId="0" applyNumberFormat="1"/>
    <xf numFmtId="164" fontId="0" fillId="0" borderId="0" xfId="1" applyNumberFormat="1" applyFont="1" applyFill="1"/>
    <xf numFmtId="164" fontId="0" fillId="0" borderId="5" xfId="1" applyNumberFormat="1" applyFont="1" applyBorder="1"/>
    <xf numFmtId="0" fontId="10" fillId="0" borderId="0" xfId="0" applyFont="1" applyAlignment="1">
      <alignment horizontal="left" wrapText="1"/>
    </xf>
    <xf numFmtId="0" fontId="11" fillId="0" borderId="5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3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3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4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14" fillId="0" borderId="0" xfId="0" applyFont="1" applyAlignment="1">
      <alignment horizontal="center"/>
    </xf>
    <xf numFmtId="2" fontId="1" fillId="0" borderId="0" xfId="0" applyNumberFormat="1" applyFont="1" applyAlignment="1">
      <alignment horizontal="right" vertic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Fill="1" applyBorder="1"/>
  </cellXfs>
  <cellStyles count="3">
    <cellStyle name="Currency" xfId="1" builtinId="4"/>
    <cellStyle name="Hyperlink" xfId="2" builtinId="8"/>
    <cellStyle name="Normal" xfId="0" builtinId="0"/>
  </cellStyles>
  <dxfs count="37"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b/>
        <i val="0"/>
        <color auto="1"/>
      </font>
      <fill>
        <patternFill>
          <bgColor rgb="FFFFC7CE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bls.gov/data/inflation_calculator.htm" TargetMode="External"/><Relationship Id="rId1" Type="http://schemas.openxmlformats.org/officeDocument/2006/relationships/hyperlink" Target="https://planning.lacity.org/eir/8150Sunset/References/4.B.%20Air%20Quality/AQ.14_SJVAPCD%20Charbroiling%20EF%20by%20Mea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D7B11-F2EB-4D79-B436-C22CD5C1CCF9}">
  <dimension ref="A1:V73"/>
  <sheetViews>
    <sheetView tabSelected="1" workbookViewId="0">
      <selection activeCell="G15" sqref="G15"/>
    </sheetView>
  </sheetViews>
  <sheetFormatPr defaultRowHeight="15" x14ac:dyDescent="0.25"/>
  <cols>
    <col min="1" max="1" width="39.85546875" customWidth="1"/>
    <col min="2" max="2" width="33.42578125" customWidth="1"/>
    <col min="3" max="3" width="60.5703125" customWidth="1"/>
    <col min="4" max="4" width="17.42578125" customWidth="1"/>
    <col min="5" max="5" width="13.28515625" customWidth="1"/>
    <col min="6" max="6" width="12.5703125" customWidth="1"/>
    <col min="7" max="7" width="11.5703125" bestFit="1" customWidth="1"/>
    <col min="10" max="10" width="11" customWidth="1"/>
    <col min="12" max="12" width="11.42578125" customWidth="1"/>
  </cols>
  <sheetData>
    <row r="1" spans="1:12" ht="16.5" thickTop="1" x14ac:dyDescent="0.25">
      <c r="A1" s="41" t="s">
        <v>74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2" ht="15.75" x14ac:dyDescent="0.25">
      <c r="A2" s="43" t="s">
        <v>75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</row>
    <row r="3" spans="1:12" ht="15.75" x14ac:dyDescent="0.25">
      <c r="A3" s="1" t="s">
        <v>76</v>
      </c>
      <c r="B3" s="2"/>
      <c r="C3" s="2"/>
      <c r="D3" s="2"/>
      <c r="E3" s="2"/>
      <c r="F3" s="2"/>
      <c r="G3" s="2"/>
      <c r="H3" s="2"/>
      <c r="I3" s="2"/>
      <c r="J3" s="2"/>
      <c r="K3" s="2"/>
      <c r="L3" s="3"/>
    </row>
    <row r="4" spans="1:12" ht="15.75" x14ac:dyDescent="0.25">
      <c r="A4" s="45" t="s">
        <v>61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15.75" x14ac:dyDescent="0.25">
      <c r="A5" s="47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</row>
    <row r="6" spans="1:12" ht="16.5" thickBot="1" x14ac:dyDescent="0.3">
      <c r="A6" s="49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5.75" thickTop="1" x14ac:dyDescent="0.25"/>
    <row r="9" spans="1:12" ht="15.75" thickBot="1" x14ac:dyDescent="0.3">
      <c r="A9" s="4" t="s">
        <v>0</v>
      </c>
      <c r="B9" s="4" t="s">
        <v>1</v>
      </c>
      <c r="C9" s="4" t="s">
        <v>2</v>
      </c>
      <c r="D9" s="4" t="s">
        <v>3</v>
      </c>
    </row>
    <row r="10" spans="1:12" ht="15.75" thickTop="1" x14ac:dyDescent="0.25">
      <c r="A10" s="8" t="s">
        <v>28</v>
      </c>
      <c r="B10" s="31" t="s">
        <v>40</v>
      </c>
      <c r="C10" s="31" t="s">
        <v>41</v>
      </c>
      <c r="D10" s="5">
        <v>99709</v>
      </c>
    </row>
    <row r="11" spans="1:12" x14ac:dyDescent="0.25">
      <c r="A11" s="8" t="s">
        <v>29</v>
      </c>
      <c r="B11" s="31" t="s">
        <v>43</v>
      </c>
      <c r="C11" s="31" t="s">
        <v>45</v>
      </c>
      <c r="D11" s="32">
        <v>99216</v>
      </c>
    </row>
    <row r="12" spans="1:12" x14ac:dyDescent="0.25">
      <c r="A12" s="8" t="s">
        <v>30</v>
      </c>
      <c r="B12" s="31" t="s">
        <v>44</v>
      </c>
      <c r="C12" s="31" t="s">
        <v>41</v>
      </c>
      <c r="D12" s="32" t="s">
        <v>42</v>
      </c>
    </row>
    <row r="13" spans="1:12" x14ac:dyDescent="0.25">
      <c r="A13" s="8" t="s">
        <v>31</v>
      </c>
      <c r="B13" s="31" t="s">
        <v>47</v>
      </c>
      <c r="C13" s="31" t="s">
        <v>41</v>
      </c>
      <c r="D13" s="32">
        <v>99709</v>
      </c>
    </row>
    <row r="14" spans="1:12" x14ac:dyDescent="0.25">
      <c r="A14" s="8" t="s">
        <v>32</v>
      </c>
      <c r="B14" s="31" t="s">
        <v>46</v>
      </c>
      <c r="C14" s="31" t="s">
        <v>41</v>
      </c>
      <c r="D14" s="5">
        <v>99709</v>
      </c>
    </row>
    <row r="15" spans="1:12" x14ac:dyDescent="0.25">
      <c r="A15" s="8" t="s">
        <v>33</v>
      </c>
      <c r="B15" s="31" t="s">
        <v>49</v>
      </c>
      <c r="C15" s="31" t="s">
        <v>41</v>
      </c>
      <c r="D15" s="32" t="s">
        <v>48</v>
      </c>
    </row>
    <row r="16" spans="1:12" x14ac:dyDescent="0.25">
      <c r="A16" s="8" t="s">
        <v>34</v>
      </c>
      <c r="B16" s="31" t="s">
        <v>50</v>
      </c>
      <c r="C16" s="31" t="s">
        <v>41</v>
      </c>
      <c r="D16" s="32">
        <v>99709</v>
      </c>
    </row>
    <row r="17" spans="1:12" x14ac:dyDescent="0.25">
      <c r="A17" s="8" t="s">
        <v>35</v>
      </c>
      <c r="B17" s="31" t="s">
        <v>51</v>
      </c>
      <c r="C17" s="31" t="s">
        <v>41</v>
      </c>
      <c r="D17" s="32">
        <v>99709</v>
      </c>
    </row>
    <row r="18" spans="1:12" x14ac:dyDescent="0.25">
      <c r="A18" s="8" t="s">
        <v>36</v>
      </c>
      <c r="B18" s="31" t="s">
        <v>52</v>
      </c>
      <c r="C18" s="31" t="s">
        <v>53</v>
      </c>
      <c r="D18" s="32">
        <v>99705</v>
      </c>
    </row>
    <row r="19" spans="1:12" x14ac:dyDescent="0.25">
      <c r="A19" s="8" t="s">
        <v>37</v>
      </c>
      <c r="B19" s="31" t="s">
        <v>54</v>
      </c>
      <c r="C19" s="31" t="s">
        <v>41</v>
      </c>
      <c r="D19" s="32">
        <v>99709</v>
      </c>
    </row>
    <row r="20" spans="1:12" x14ac:dyDescent="0.25">
      <c r="A20" s="8" t="s">
        <v>38</v>
      </c>
      <c r="B20" s="31" t="s">
        <v>55</v>
      </c>
      <c r="C20" s="31" t="s">
        <v>41</v>
      </c>
      <c r="D20" s="32" t="s">
        <v>56</v>
      </c>
    </row>
    <row r="21" spans="1:12" x14ac:dyDescent="0.25">
      <c r="A21" s="8" t="s">
        <v>39</v>
      </c>
      <c r="B21" s="31" t="s">
        <v>57</v>
      </c>
      <c r="C21" s="31" t="s">
        <v>41</v>
      </c>
      <c r="D21" s="32">
        <v>99701</v>
      </c>
    </row>
    <row r="22" spans="1:12" ht="15.75" thickBot="1" x14ac:dyDescent="0.3">
      <c r="A22" s="4" t="s">
        <v>60</v>
      </c>
    </row>
    <row r="23" spans="1:12" ht="15.75" thickTop="1" x14ac:dyDescent="0.25">
      <c r="A23" s="5">
        <v>12</v>
      </c>
    </row>
    <row r="24" spans="1:12" x14ac:dyDescent="0.25">
      <c r="D24" s="27" t="s">
        <v>4</v>
      </c>
      <c r="E24" s="27" t="s">
        <v>26</v>
      </c>
      <c r="F24" s="27" t="s">
        <v>6</v>
      </c>
      <c r="G24" s="26" t="s">
        <v>68</v>
      </c>
      <c r="H24" s="26"/>
      <c r="I24" s="26"/>
      <c r="J24" s="26"/>
      <c r="K24" s="26"/>
      <c r="L24" s="26"/>
    </row>
    <row r="25" spans="1:12" x14ac:dyDescent="0.25">
      <c r="C25" s="7"/>
      <c r="D25" s="27" t="s">
        <v>7</v>
      </c>
      <c r="E25" s="27" t="s">
        <v>8</v>
      </c>
      <c r="F25" s="27" t="s">
        <v>8</v>
      </c>
      <c r="G25" s="26" t="s">
        <v>69</v>
      </c>
      <c r="H25" s="26"/>
      <c r="I25" s="26"/>
      <c r="J25" s="26"/>
      <c r="K25" s="26"/>
      <c r="L25" s="26"/>
    </row>
    <row r="26" spans="1:12" x14ac:dyDescent="0.25">
      <c r="A26" s="7" t="s">
        <v>25</v>
      </c>
      <c r="B26" s="7" t="s">
        <v>11</v>
      </c>
      <c r="C26" s="7" t="s">
        <v>62</v>
      </c>
      <c r="D26" s="27" t="s">
        <v>9</v>
      </c>
      <c r="E26" s="27" t="s">
        <v>27</v>
      </c>
      <c r="F26" s="27" t="s">
        <v>27</v>
      </c>
      <c r="G26" s="26" t="s">
        <v>70</v>
      </c>
      <c r="H26" s="26"/>
      <c r="I26" s="26"/>
      <c r="J26" s="26"/>
      <c r="K26" s="26"/>
      <c r="L26" s="26"/>
    </row>
    <row r="27" spans="1:12" ht="15.75" thickBot="1" x14ac:dyDescent="0.3">
      <c r="A27" s="4" t="s">
        <v>10</v>
      </c>
      <c r="B27" s="4" t="s">
        <v>11</v>
      </c>
      <c r="C27" s="4" t="s">
        <v>12</v>
      </c>
      <c r="D27" s="4" t="s">
        <v>13</v>
      </c>
      <c r="E27" s="4" t="s">
        <v>13</v>
      </c>
      <c r="F27" s="4" t="s">
        <v>13</v>
      </c>
      <c r="G27" s="26" t="s">
        <v>13</v>
      </c>
    </row>
    <row r="28" spans="1:12" ht="15.75" thickTop="1" x14ac:dyDescent="0.25">
      <c r="A28" s="8" t="s">
        <v>28</v>
      </c>
      <c r="B28" s="9" t="s">
        <v>5</v>
      </c>
      <c r="C28" s="10">
        <v>720</v>
      </c>
      <c r="D28" s="11">
        <v>15.51</v>
      </c>
      <c r="E28" s="12">
        <f>$C28/2000*IF(LEFT($B28,1)="T",J$47,J$46)</f>
        <v>5.5835999999999997</v>
      </c>
      <c r="F28" s="13">
        <f>IF($E28&lt;0,E28,$C28/2000*J$47)</f>
        <v>0.92879999999999996</v>
      </c>
      <c r="G28" s="17">
        <f>E28-F28</f>
        <v>4.6547999999999998</v>
      </c>
    </row>
    <row r="29" spans="1:12" x14ac:dyDescent="0.25">
      <c r="A29" s="8" t="s">
        <v>29</v>
      </c>
      <c r="B29" s="9" t="s">
        <v>5</v>
      </c>
      <c r="C29" s="10">
        <v>36000</v>
      </c>
      <c r="D29" s="11">
        <v>15.51</v>
      </c>
      <c r="E29" s="12">
        <f>$C29/2000*IF(LEFT($B29,1)="T",J$47,J$46)</f>
        <v>279.18</v>
      </c>
      <c r="F29" s="13">
        <f>IF($E29&lt;0,E29,$C29/2000*J$47)</f>
        <v>46.44</v>
      </c>
      <c r="G29" s="17">
        <f>E29-F29</f>
        <v>232.74</v>
      </c>
    </row>
    <row r="30" spans="1:12" x14ac:dyDescent="0.25">
      <c r="A30" s="8" t="s">
        <v>30</v>
      </c>
      <c r="B30" s="9" t="s">
        <v>5</v>
      </c>
      <c r="C30" s="10">
        <v>1440</v>
      </c>
      <c r="D30" s="11">
        <v>15.51</v>
      </c>
      <c r="E30" s="12">
        <f>$C30/2000*IF(LEFT($B30,1)="T",J$47,J$46)</f>
        <v>11.167199999999999</v>
      </c>
      <c r="F30" s="13">
        <f>IF($E30&lt;0,E30,$C30/2000*J$47)</f>
        <v>1.8575999999999999</v>
      </c>
      <c r="G30" s="17">
        <f t="shared" ref="G30:G39" si="0">E30-F30</f>
        <v>9.3095999999999997</v>
      </c>
    </row>
    <row r="31" spans="1:12" x14ac:dyDescent="0.25">
      <c r="A31" s="8" t="s">
        <v>31</v>
      </c>
      <c r="B31" s="9" t="s">
        <v>5</v>
      </c>
      <c r="C31" s="10">
        <v>5040</v>
      </c>
      <c r="D31" s="11">
        <v>15.51</v>
      </c>
      <c r="E31" s="12">
        <f>$C31/2000*IF(LEFT($B31,1)="T",J$47,J$46)</f>
        <v>39.0852</v>
      </c>
      <c r="F31" s="13">
        <f>IF($E31&lt;0,E31,$C31/2000*J$47)</f>
        <v>6.5015999999999998</v>
      </c>
      <c r="G31" s="17">
        <f t="shared" si="0"/>
        <v>32.583600000000004</v>
      </c>
    </row>
    <row r="32" spans="1:12" x14ac:dyDescent="0.25">
      <c r="A32" s="8" t="s">
        <v>32</v>
      </c>
      <c r="B32" s="9" t="s">
        <v>5</v>
      </c>
      <c r="C32" s="10">
        <v>1800</v>
      </c>
      <c r="D32" s="11">
        <v>15.51</v>
      </c>
      <c r="E32" s="12">
        <f>$C32/2000*IF(LEFT($B32,1)="T",J$47,J$46)</f>
        <v>13.959</v>
      </c>
      <c r="F32" s="13">
        <f>IF($E32&lt;0,E32,$C32/2000*J$47)</f>
        <v>2.3220000000000001</v>
      </c>
      <c r="G32" s="17">
        <f t="shared" si="0"/>
        <v>11.637</v>
      </c>
    </row>
    <row r="33" spans="1:22" x14ac:dyDescent="0.25">
      <c r="A33" s="8" t="s">
        <v>33</v>
      </c>
      <c r="B33" s="9" t="s">
        <v>5</v>
      </c>
      <c r="C33" s="10">
        <v>18000</v>
      </c>
      <c r="D33" s="11">
        <v>15.51</v>
      </c>
      <c r="E33" s="12">
        <f>$C33/2000*IF(LEFT($B33,1)="T",J$47,J$46)</f>
        <v>139.59</v>
      </c>
      <c r="F33" s="13">
        <f>IF($E33&lt;0,E33,$C33/2000*J$47)</f>
        <v>23.22</v>
      </c>
      <c r="G33" s="17">
        <f t="shared" si="0"/>
        <v>116.37</v>
      </c>
      <c r="H33" s="30"/>
      <c r="I33" s="30"/>
      <c r="J33" s="30"/>
      <c r="K33" s="30"/>
      <c r="L33" s="30"/>
    </row>
    <row r="34" spans="1:22" x14ac:dyDescent="0.25">
      <c r="A34" s="8" t="s">
        <v>34</v>
      </c>
      <c r="B34" s="9" t="s">
        <v>5</v>
      </c>
      <c r="C34" s="10">
        <v>18000</v>
      </c>
      <c r="D34" s="11">
        <v>15.51</v>
      </c>
      <c r="E34" s="12">
        <f>$C34/2000*IF(LEFT($B34,1)="T",J$47,J$46)</f>
        <v>139.59</v>
      </c>
      <c r="F34" s="13">
        <f>IF($E34&lt;0,E34,$C34/2000*J$47)</f>
        <v>23.22</v>
      </c>
      <c r="G34" s="17">
        <f t="shared" si="0"/>
        <v>116.37</v>
      </c>
      <c r="H34" s="30"/>
      <c r="I34" s="30"/>
      <c r="J34" s="30"/>
      <c r="K34" s="30"/>
      <c r="L34" s="30"/>
    </row>
    <row r="35" spans="1:22" x14ac:dyDescent="0.25">
      <c r="A35" s="8" t="s">
        <v>35</v>
      </c>
      <c r="B35" s="9" t="s">
        <v>5</v>
      </c>
      <c r="C35" s="10">
        <v>180</v>
      </c>
      <c r="D35" s="11">
        <v>15.51</v>
      </c>
      <c r="E35" s="12">
        <f>$C35/2000*IF(LEFT($B35,1)="T",J$47,J$46)</f>
        <v>1.3958999999999999</v>
      </c>
      <c r="F35" s="13">
        <f>IF($E35&lt;0,E35,$C35/2000*J$47)</f>
        <v>0.23219999999999999</v>
      </c>
      <c r="G35" s="17">
        <f t="shared" si="0"/>
        <v>1.1637</v>
      </c>
      <c r="H35" s="28"/>
      <c r="I35" s="28"/>
      <c r="J35" s="28"/>
      <c r="K35" s="28"/>
      <c r="L35" s="28"/>
    </row>
    <row r="36" spans="1:22" x14ac:dyDescent="0.25">
      <c r="A36" s="8" t="s">
        <v>36</v>
      </c>
      <c r="B36" s="9" t="s">
        <v>5</v>
      </c>
      <c r="C36" s="10">
        <v>5400</v>
      </c>
      <c r="D36" s="11">
        <v>15.51</v>
      </c>
      <c r="E36" s="12">
        <f>$C36/2000*IF(LEFT($B36,1)="T",J$47,J$46)</f>
        <v>41.877000000000002</v>
      </c>
      <c r="F36" s="13">
        <f>IF($E36&lt;0,E36,$C36/2000*J$47)</f>
        <v>6.9660000000000011</v>
      </c>
      <c r="G36" s="17">
        <f t="shared" si="0"/>
        <v>34.911000000000001</v>
      </c>
      <c r="H36" s="28"/>
      <c r="I36" s="28"/>
      <c r="J36" s="28"/>
      <c r="K36" s="28"/>
      <c r="L36" s="28"/>
    </row>
    <row r="37" spans="1:22" x14ac:dyDescent="0.25">
      <c r="A37" s="8" t="s">
        <v>37</v>
      </c>
      <c r="B37" s="9" t="s">
        <v>5</v>
      </c>
      <c r="C37" s="10">
        <v>3960</v>
      </c>
      <c r="D37" s="11">
        <v>15.51</v>
      </c>
      <c r="E37" s="12">
        <f>$C37/2000*IF(LEFT($B37,1)="T",J$47,J$46)</f>
        <v>30.709799999999998</v>
      </c>
      <c r="F37" s="13">
        <f>IF($E37&lt;0,E37,$C37/2000*J$47)</f>
        <v>5.1084000000000005</v>
      </c>
      <c r="G37" s="17">
        <f t="shared" si="0"/>
        <v>25.601399999999998</v>
      </c>
      <c r="H37" s="28"/>
      <c r="I37" s="28"/>
      <c r="J37" s="28"/>
      <c r="K37" s="28"/>
      <c r="L37" s="28"/>
    </row>
    <row r="38" spans="1:22" x14ac:dyDescent="0.25">
      <c r="A38" s="8" t="s">
        <v>38</v>
      </c>
      <c r="B38" s="9" t="s">
        <v>5</v>
      </c>
      <c r="C38" s="10">
        <v>1800</v>
      </c>
      <c r="D38" s="11">
        <v>15.51</v>
      </c>
      <c r="E38" s="12">
        <f>$C38/2000*IF(LEFT($B38,1)="T",J$47,J$46)</f>
        <v>13.959</v>
      </c>
      <c r="F38" s="13">
        <f>IF($E38&lt;0,E38,$C38/2000*J$47)</f>
        <v>2.3220000000000001</v>
      </c>
      <c r="G38" s="17">
        <f t="shared" si="0"/>
        <v>11.637</v>
      </c>
      <c r="H38" s="28"/>
      <c r="I38" s="28"/>
      <c r="J38" s="28"/>
      <c r="K38" s="33"/>
      <c r="L38" s="28"/>
    </row>
    <row r="39" spans="1:22" x14ac:dyDescent="0.25">
      <c r="A39" s="8" t="s">
        <v>39</v>
      </c>
      <c r="B39" s="9" t="s">
        <v>5</v>
      </c>
      <c r="C39" s="10">
        <v>2340</v>
      </c>
      <c r="D39" s="11">
        <v>15.51</v>
      </c>
      <c r="E39" s="12">
        <f>$C39/2000*IF(LEFT($B39,1)="T",J$47,J$46)</f>
        <v>18.146699999999999</v>
      </c>
      <c r="F39" s="13">
        <f>IF($E39&lt;0,E39,$C39/2000*J$47)</f>
        <v>3.0185999999999997</v>
      </c>
      <c r="G39" s="17">
        <f t="shared" si="0"/>
        <v>15.1281</v>
      </c>
      <c r="H39" s="28"/>
      <c r="I39" s="28"/>
      <c r="J39" s="28"/>
      <c r="K39" s="28"/>
      <c r="L39" s="28"/>
    </row>
    <row r="40" spans="1:22" ht="15.75" thickBot="1" x14ac:dyDescent="0.3">
      <c r="A40" s="34"/>
      <c r="B40" s="34"/>
      <c r="C40" s="34"/>
      <c r="D40" s="34"/>
      <c r="E40" s="34"/>
      <c r="F40" s="34"/>
      <c r="G40" s="28"/>
      <c r="H40" s="28"/>
      <c r="I40" s="28"/>
      <c r="J40" s="28"/>
      <c r="K40" s="28"/>
      <c r="L40" s="28"/>
    </row>
    <row r="41" spans="1:22" ht="15.75" thickTop="1" x14ac:dyDescent="0.25">
      <c r="B41" s="15" t="s">
        <v>14</v>
      </c>
      <c r="C41" s="16">
        <f>SUM(C28:C39)</f>
        <v>94680</v>
      </c>
      <c r="D41" s="29"/>
      <c r="E41" s="16">
        <f>SUM(E28:E39)</f>
        <v>734.24339999999984</v>
      </c>
      <c r="F41" s="16">
        <f>SUM(F28:F39)</f>
        <v>122.13720000000001</v>
      </c>
      <c r="G41" s="17"/>
      <c r="H41" s="17"/>
      <c r="I41" s="17"/>
      <c r="J41" s="17"/>
      <c r="K41" s="17"/>
      <c r="L41" s="17"/>
    </row>
    <row r="42" spans="1:22" x14ac:dyDescent="0.25">
      <c r="A42" s="6"/>
      <c r="B42" s="15" t="s">
        <v>72</v>
      </c>
      <c r="E42" s="7"/>
      <c r="G42" s="12">
        <f t="array" ref="G42">MAX((E28:E32)*(B28:B32="Uncontrolled"))</f>
        <v>279.18</v>
      </c>
      <c r="H42" s="11"/>
      <c r="I42" s="11"/>
      <c r="J42" s="17"/>
      <c r="K42" s="17"/>
      <c r="L42" s="17"/>
    </row>
    <row r="43" spans="1:22" x14ac:dyDescent="0.25">
      <c r="A43" s="6"/>
      <c r="B43" s="15" t="s">
        <v>71</v>
      </c>
      <c r="E43" s="7"/>
      <c r="F43" s="7"/>
      <c r="G43" s="52">
        <f>MAX(G28:G39)</f>
        <v>232.74</v>
      </c>
      <c r="H43" s="11"/>
      <c r="I43" s="11"/>
      <c r="J43" s="17"/>
      <c r="K43" s="17"/>
      <c r="L43" s="17"/>
    </row>
    <row r="44" spans="1:22" x14ac:dyDescent="0.25">
      <c r="A44" s="6"/>
      <c r="E44" s="7"/>
      <c r="F44" s="7"/>
      <c r="G44" s="11"/>
      <c r="H44" s="11"/>
      <c r="I44" s="11"/>
      <c r="J44" s="17"/>
      <c r="K44" s="17"/>
      <c r="L44" s="17"/>
    </row>
    <row r="45" spans="1:22" x14ac:dyDescent="0.25">
      <c r="A45" t="s">
        <v>73</v>
      </c>
      <c r="K45" s="23"/>
      <c r="L45" s="23"/>
    </row>
    <row r="46" spans="1:22" x14ac:dyDescent="0.25">
      <c r="A46" s="18" t="s">
        <v>58</v>
      </c>
      <c r="B46" s="19" t="s">
        <v>59</v>
      </c>
      <c r="C46" s="18"/>
      <c r="D46" s="18"/>
      <c r="E46" s="18"/>
      <c r="F46" s="18"/>
      <c r="G46" s="18"/>
      <c r="H46" s="18"/>
      <c r="I46" s="18"/>
      <c r="J46" s="20">
        <v>15.51</v>
      </c>
      <c r="K46" s="51" t="s">
        <v>63</v>
      </c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</row>
    <row r="47" spans="1:22" x14ac:dyDescent="0.25">
      <c r="A47" s="18" t="s">
        <v>66</v>
      </c>
      <c r="B47" s="19" t="s">
        <v>64</v>
      </c>
      <c r="C47" s="18"/>
      <c r="D47" s="18"/>
      <c r="E47" s="18"/>
      <c r="F47" s="18"/>
      <c r="G47" s="18"/>
      <c r="H47" s="18"/>
      <c r="I47" s="18"/>
      <c r="J47" s="20">
        <v>2.58</v>
      </c>
      <c r="K47" s="35" t="s">
        <v>65</v>
      </c>
      <c r="L47" s="23"/>
    </row>
    <row r="48" spans="1:22" ht="15.75" thickBot="1" x14ac:dyDescent="0.3">
      <c r="A48" s="14"/>
      <c r="B48" s="14"/>
      <c r="C48" s="14"/>
      <c r="D48" s="14"/>
      <c r="E48" s="14"/>
      <c r="F48" s="14"/>
      <c r="G48" s="14"/>
      <c r="K48" s="23"/>
      <c r="L48" s="23"/>
    </row>
    <row r="49" spans="1:8" ht="16.5" thickTop="1" x14ac:dyDescent="0.25">
      <c r="A49" s="53" t="s">
        <v>77</v>
      </c>
      <c r="B49" s="53"/>
      <c r="C49" s="53"/>
      <c r="D49" s="53"/>
      <c r="E49" s="53"/>
      <c r="F49" s="53"/>
      <c r="G49" s="53"/>
    </row>
    <row r="50" spans="1:8" ht="15.75" x14ac:dyDescent="0.25">
      <c r="A50" s="54" t="s">
        <v>78</v>
      </c>
      <c r="B50" s="54"/>
      <c r="C50" s="54"/>
      <c r="D50" s="54"/>
      <c r="E50" s="54"/>
      <c r="F50" s="54"/>
      <c r="G50" s="54"/>
    </row>
    <row r="51" spans="1:8" ht="15.75" thickBot="1" x14ac:dyDescent="0.3">
      <c r="A51" s="55" t="s">
        <v>79</v>
      </c>
      <c r="B51" s="55"/>
      <c r="C51" s="55"/>
      <c r="D51" s="55"/>
      <c r="E51" s="55"/>
      <c r="F51" s="55"/>
      <c r="G51" s="55"/>
    </row>
    <row r="52" spans="1:8" ht="16.5" thickTop="1" x14ac:dyDescent="0.25">
      <c r="A52" s="39"/>
      <c r="B52" s="39"/>
      <c r="C52" s="39"/>
      <c r="D52" s="39"/>
      <c r="E52" s="39"/>
      <c r="F52" s="39"/>
      <c r="G52" s="39"/>
    </row>
    <row r="53" spans="1:8" ht="16.5" thickBot="1" x14ac:dyDescent="0.3">
      <c r="A53" s="40" t="s">
        <v>80</v>
      </c>
      <c r="B53" s="40"/>
      <c r="C53" s="40"/>
      <c r="D53" s="40"/>
      <c r="E53" s="40"/>
      <c r="F53" s="40"/>
      <c r="G53" s="40"/>
    </row>
    <row r="54" spans="1:8" ht="15.75" thickTop="1" x14ac:dyDescent="0.25">
      <c r="A54" s="3" t="s">
        <v>94</v>
      </c>
      <c r="B54" s="3"/>
      <c r="C54" s="3"/>
      <c r="D54" s="3"/>
      <c r="F54" t="s">
        <v>83</v>
      </c>
      <c r="G54" s="37">
        <v>8000</v>
      </c>
      <c r="H54" t="s">
        <v>81</v>
      </c>
    </row>
    <row r="55" spans="1:8" x14ac:dyDescent="0.25">
      <c r="A55" s="3" t="s">
        <v>95</v>
      </c>
      <c r="B55" s="3"/>
      <c r="C55" s="3"/>
      <c r="D55" s="3"/>
      <c r="F55" t="s">
        <v>84</v>
      </c>
      <c r="G55" s="37">
        <v>2000</v>
      </c>
      <c r="H55" t="s">
        <v>82</v>
      </c>
    </row>
    <row r="56" spans="1:8" x14ac:dyDescent="0.25">
      <c r="A56" s="3" t="s">
        <v>102</v>
      </c>
      <c r="B56" s="3"/>
      <c r="C56" s="3"/>
      <c r="D56" s="3"/>
      <c r="F56" t="s">
        <v>85</v>
      </c>
      <c r="G56" s="37">
        <f>G54+G55</f>
        <v>10000</v>
      </c>
      <c r="H56" t="s">
        <v>100</v>
      </c>
    </row>
    <row r="57" spans="1:8" x14ac:dyDescent="0.25">
      <c r="A57" s="3" t="s">
        <v>96</v>
      </c>
      <c r="B57" s="3"/>
      <c r="C57" s="3"/>
      <c r="D57" s="3"/>
      <c r="F57" t="s">
        <v>86</v>
      </c>
      <c r="G57" s="37">
        <v>14572.61</v>
      </c>
      <c r="H57" s="35" t="s">
        <v>98</v>
      </c>
    </row>
    <row r="58" spans="1:8" x14ac:dyDescent="0.25">
      <c r="A58" s="3" t="s">
        <v>104</v>
      </c>
      <c r="B58" s="3"/>
      <c r="C58" s="3"/>
      <c r="D58" s="3"/>
      <c r="F58" t="s">
        <v>87</v>
      </c>
      <c r="G58" s="37">
        <f>ROUND(G57,-3)</f>
        <v>15000</v>
      </c>
      <c r="H58" t="s">
        <v>103</v>
      </c>
    </row>
    <row r="59" spans="1:8" x14ac:dyDescent="0.25">
      <c r="A59" s="3" t="s">
        <v>106</v>
      </c>
      <c r="B59" s="3"/>
      <c r="C59" s="3"/>
      <c r="D59" s="3"/>
      <c r="F59" t="s">
        <v>88</v>
      </c>
      <c r="G59" s="37">
        <f>0.1*G58</f>
        <v>1500</v>
      </c>
      <c r="H59" t="s">
        <v>105</v>
      </c>
    </row>
    <row r="60" spans="1:8" ht="15.75" thickBot="1" x14ac:dyDescent="0.3">
      <c r="A60" s="21" t="s">
        <v>15</v>
      </c>
      <c r="B60" s="21"/>
      <c r="C60" s="21"/>
      <c r="D60" s="21"/>
      <c r="E60" s="14"/>
      <c r="F60" s="14" t="s">
        <v>89</v>
      </c>
      <c r="G60" s="38">
        <f>G58+G59</f>
        <v>16500</v>
      </c>
      <c r="H60" t="s">
        <v>101</v>
      </c>
    </row>
    <row r="61" spans="1:8" ht="15.75" thickTop="1" x14ac:dyDescent="0.25">
      <c r="A61" s="3" t="s">
        <v>16</v>
      </c>
      <c r="B61" s="3"/>
      <c r="C61" s="3"/>
      <c r="D61" s="3"/>
      <c r="F61" s="56" t="s">
        <v>90</v>
      </c>
      <c r="G61" s="37">
        <f>G60*0.05</f>
        <v>825</v>
      </c>
      <c r="H61" t="s">
        <v>107</v>
      </c>
    </row>
    <row r="62" spans="1:8" x14ac:dyDescent="0.25">
      <c r="A62" s="3" t="s">
        <v>67</v>
      </c>
      <c r="B62" s="3"/>
      <c r="C62" s="3"/>
      <c r="D62" s="3"/>
      <c r="F62" s="56" t="s">
        <v>91</v>
      </c>
      <c r="G62" s="37">
        <f>G61*0.6</f>
        <v>495</v>
      </c>
      <c r="H62" t="s">
        <v>108</v>
      </c>
    </row>
    <row r="63" spans="1:8" x14ac:dyDescent="0.25">
      <c r="A63" s="3" t="s">
        <v>17</v>
      </c>
      <c r="B63" s="3"/>
      <c r="C63" s="3"/>
      <c r="D63" s="3"/>
      <c r="F63" s="56" t="s">
        <v>92</v>
      </c>
      <c r="G63" s="37">
        <f>G58*0.1</f>
        <v>1500</v>
      </c>
      <c r="H63" t="s">
        <v>105</v>
      </c>
    </row>
    <row r="64" spans="1:8" x14ac:dyDescent="0.25">
      <c r="A64" s="3" t="s">
        <v>18</v>
      </c>
      <c r="B64" s="3"/>
      <c r="C64" s="3"/>
      <c r="D64" s="3"/>
      <c r="F64" s="56" t="s">
        <v>93</v>
      </c>
      <c r="G64" s="37">
        <f>G58*0.1</f>
        <v>1500</v>
      </c>
      <c r="H64" t="s">
        <v>105</v>
      </c>
    </row>
    <row r="65" spans="1:8" x14ac:dyDescent="0.25">
      <c r="A65" s="3" t="s">
        <v>19</v>
      </c>
      <c r="B65" s="3"/>
      <c r="C65" s="3"/>
      <c r="D65" s="3"/>
      <c r="F65" s="56" t="s">
        <v>97</v>
      </c>
      <c r="G65" s="37">
        <f>G60*0.0752</f>
        <v>1240.8</v>
      </c>
      <c r="H65" t="s">
        <v>111</v>
      </c>
    </row>
    <row r="66" spans="1:8" ht="15.75" thickBot="1" x14ac:dyDescent="0.3">
      <c r="A66" s="21" t="s">
        <v>20</v>
      </c>
      <c r="B66" s="21"/>
      <c r="C66" s="21"/>
      <c r="D66" s="21"/>
      <c r="E66" s="14"/>
      <c r="F66" s="14" t="s">
        <v>99</v>
      </c>
      <c r="G66" s="38">
        <f>SUM(G61:G65)</f>
        <v>5560.8</v>
      </c>
      <c r="H66" t="s">
        <v>112</v>
      </c>
    </row>
    <row r="67" spans="1:8" ht="15.75" thickTop="1" x14ac:dyDescent="0.25">
      <c r="A67" s="22" t="s">
        <v>21</v>
      </c>
      <c r="B67" s="23"/>
      <c r="C67" s="23"/>
      <c r="D67" s="23"/>
      <c r="F67" s="23"/>
      <c r="G67" s="24">
        <f>G66</f>
        <v>5560.8</v>
      </c>
    </row>
    <row r="68" spans="1:8" x14ac:dyDescent="0.25">
      <c r="A68" s="22" t="s">
        <v>22</v>
      </c>
      <c r="F68" s="23"/>
      <c r="G68" s="24"/>
    </row>
    <row r="69" spans="1:8" x14ac:dyDescent="0.25">
      <c r="A69" s="22" t="s">
        <v>23</v>
      </c>
      <c r="B69" s="23"/>
      <c r="C69" s="23"/>
      <c r="D69" s="23"/>
      <c r="F69" s="23"/>
      <c r="G69" s="25">
        <f>G43/2000</f>
        <v>0.11637</v>
      </c>
      <c r="H69" s="36" t="s">
        <v>113</v>
      </c>
    </row>
    <row r="70" spans="1:8" x14ac:dyDescent="0.25">
      <c r="A70" s="22" t="s">
        <v>24</v>
      </c>
      <c r="G70" s="24">
        <f>G67/G69</f>
        <v>47785.511729827274</v>
      </c>
      <c r="H70" s="24"/>
    </row>
    <row r="72" spans="1:8" x14ac:dyDescent="0.25">
      <c r="A72" s="22" t="s">
        <v>110</v>
      </c>
    </row>
    <row r="73" spans="1:8" x14ac:dyDescent="0.25">
      <c r="A73" s="22" t="s">
        <v>109</v>
      </c>
    </row>
  </sheetData>
  <mergeCells count="11">
    <mergeCell ref="A50:G50"/>
    <mergeCell ref="A52:G52"/>
    <mergeCell ref="A53:G53"/>
    <mergeCell ref="A49:G49"/>
    <mergeCell ref="A1:L1"/>
    <mergeCell ref="A2:L2"/>
    <mergeCell ref="A4:L4"/>
    <mergeCell ref="A5:L5"/>
    <mergeCell ref="A6:L6"/>
    <mergeCell ref="K46:V46"/>
    <mergeCell ref="A51:G51"/>
  </mergeCells>
  <conditionalFormatting sqref="A32:C32 E32:E39">
    <cfRule type="expression" dxfId="36" priority="18">
      <formula>$A$23&lt;5</formula>
    </cfRule>
  </conditionalFormatting>
  <conditionalFormatting sqref="A31:C31 E31">
    <cfRule type="expression" dxfId="35" priority="19">
      <formula>$A$23&lt;4</formula>
    </cfRule>
  </conditionalFormatting>
  <conditionalFormatting sqref="A30:C30 E30">
    <cfRule type="expression" dxfId="34" priority="20">
      <formula>$A$23&lt;3</formula>
    </cfRule>
  </conditionalFormatting>
  <conditionalFormatting sqref="A29:C29 E29">
    <cfRule type="expression" dxfId="33" priority="21">
      <formula>$A$23&lt;2</formula>
    </cfRule>
  </conditionalFormatting>
  <conditionalFormatting sqref="A28:F28 D29:D39 F29:F39">
    <cfRule type="expression" dxfId="32" priority="22">
      <formula>$A$23&lt;1</formula>
    </cfRule>
  </conditionalFormatting>
  <conditionalFormatting sqref="A49:G50 A54:G70 A72:A73">
    <cfRule type="expression" dxfId="31" priority="38">
      <formula>$G$42&lt;24</formula>
    </cfRule>
  </conditionalFormatting>
  <conditionalFormatting sqref="A52">
    <cfRule type="expression" dxfId="30" priority="37">
      <formula>$G$42&lt;24</formula>
    </cfRule>
  </conditionalFormatting>
  <conditionalFormatting sqref="A53">
    <cfRule type="expression" dxfId="29" priority="36">
      <formula>$G$42&lt;24</formula>
    </cfRule>
  </conditionalFormatting>
  <conditionalFormatting sqref="E28">
    <cfRule type="expression" dxfId="28" priority="32">
      <formula>OR(LEFT(B28,1)="T",E28&lt;24)</formula>
    </cfRule>
    <cfRule type="expression" dxfId="27" priority="33">
      <formula>AND(LEFT(B28,1)="U",E28&gt;=24)</formula>
    </cfRule>
  </conditionalFormatting>
  <conditionalFormatting sqref="G42">
    <cfRule type="cellIs" dxfId="26" priority="30" operator="lessThan">
      <formula>24</formula>
    </cfRule>
    <cfRule type="cellIs" dxfId="25" priority="31" operator="greaterThanOrEqual">
      <formula>24</formula>
    </cfRule>
  </conditionalFormatting>
  <conditionalFormatting sqref="B29">
    <cfRule type="expression" dxfId="24" priority="24">
      <formula>$A$23&lt;1</formula>
    </cfRule>
  </conditionalFormatting>
  <conditionalFormatting sqref="E29">
    <cfRule type="expression" dxfId="23" priority="26">
      <formula>OR(LEFT(B29,1)="T",E29&lt;24)</formula>
    </cfRule>
    <cfRule type="expression" dxfId="22" priority="35">
      <formula>AND(LEFT(B29,1)="U",E29&gt;=24)</formula>
    </cfRule>
  </conditionalFormatting>
  <conditionalFormatting sqref="E30">
    <cfRule type="expression" dxfId="21" priority="23">
      <formula>OR(LEFT(B30,1)="T",E30&lt;24)</formula>
    </cfRule>
    <cfRule type="expression" dxfId="20" priority="34">
      <formula>AND(LEFT(B30,1)="U",E30&gt;=24)</formula>
    </cfRule>
  </conditionalFormatting>
  <conditionalFormatting sqref="E31">
    <cfRule type="expression" dxfId="19" priority="28">
      <formula>AND(LEFT(B31,1)="U",E31&gt;=24)</formula>
    </cfRule>
    <cfRule type="expression" dxfId="18" priority="39">
      <formula>OR(LEFT(B31,1)="T",E31&lt;24)</formula>
    </cfRule>
  </conditionalFormatting>
  <conditionalFormatting sqref="E32:E39">
    <cfRule type="expression" dxfId="17" priority="27">
      <formula>AND(LEFT(B32,1)="U",E32&gt;=24)</formula>
    </cfRule>
    <cfRule type="expression" dxfId="16" priority="29">
      <formula>OR(LEFT(B32,1)="T",E32&lt;24)</formula>
    </cfRule>
  </conditionalFormatting>
  <conditionalFormatting sqref="A33:A40">
    <cfRule type="expression" dxfId="15" priority="17">
      <formula>$A$23&lt;5</formula>
    </cfRule>
  </conditionalFormatting>
  <conditionalFormatting sqref="B33:B39">
    <cfRule type="expression" dxfId="14" priority="16">
      <formula>$A$23&lt;5</formula>
    </cfRule>
  </conditionalFormatting>
  <conditionalFormatting sqref="C33:C39">
    <cfRule type="expression" dxfId="13" priority="15">
      <formula>$A$23&lt;5</formula>
    </cfRule>
  </conditionalFormatting>
  <conditionalFormatting sqref="A10">
    <cfRule type="expression" dxfId="12" priority="13">
      <formula>$A$23&lt;1</formula>
    </cfRule>
  </conditionalFormatting>
  <conditionalFormatting sqref="A11">
    <cfRule type="expression" dxfId="11" priority="12">
      <formula>$A$23&lt;2</formula>
    </cfRule>
  </conditionalFormatting>
  <conditionalFormatting sqref="A12">
    <cfRule type="expression" dxfId="10" priority="11">
      <formula>$A$23&lt;3</formula>
    </cfRule>
  </conditionalFormatting>
  <conditionalFormatting sqref="A13">
    <cfRule type="expression" dxfId="9" priority="10">
      <formula>$A$23&lt;4</formula>
    </cfRule>
  </conditionalFormatting>
  <conditionalFormatting sqref="A14">
    <cfRule type="expression" dxfId="8" priority="9">
      <formula>$A$23&lt;5</formula>
    </cfRule>
  </conditionalFormatting>
  <conditionalFormatting sqref="A15">
    <cfRule type="expression" dxfId="7" priority="8">
      <formula>$A$23&lt;5</formula>
    </cfRule>
  </conditionalFormatting>
  <conditionalFormatting sqref="A16">
    <cfRule type="expression" dxfId="6" priority="7">
      <formula>$A$23&lt;5</formula>
    </cfRule>
  </conditionalFormatting>
  <conditionalFormatting sqref="A17">
    <cfRule type="expression" dxfId="5" priority="6">
      <formula>$A$23&lt;5</formula>
    </cfRule>
  </conditionalFormatting>
  <conditionalFormatting sqref="A18">
    <cfRule type="expression" dxfId="4" priority="5">
      <formula>$A$23&lt;5</formula>
    </cfRule>
  </conditionalFormatting>
  <conditionalFormatting sqref="A19">
    <cfRule type="expression" dxfId="3" priority="4">
      <formula>$A$23&lt;5</formula>
    </cfRule>
  </conditionalFormatting>
  <conditionalFormatting sqref="A20">
    <cfRule type="expression" dxfId="2" priority="3">
      <formula>$A$23&lt;5</formula>
    </cfRule>
  </conditionalFormatting>
  <conditionalFormatting sqref="A21">
    <cfRule type="expression" dxfId="1" priority="2">
      <formula>$A$23&lt;5</formula>
    </cfRule>
  </conditionalFormatting>
  <conditionalFormatting sqref="H70">
    <cfRule type="expression" dxfId="0" priority="1">
      <formula>$G$42&lt;24</formula>
    </cfRule>
  </conditionalFormatting>
  <dataValidations count="1">
    <dataValidation type="list" allowBlank="1" showInputMessage="1" showErrorMessage="1" sqref="B28:B39" xr:uid="{860B50B8-8461-47D7-A036-CB67FB9769E3}">
      <formula1>"Uncontrolled,Catalytic Oxidizer"</formula1>
    </dataValidation>
  </dataValidations>
  <hyperlinks>
    <hyperlink ref="K47" r:id="rId1" display="https://planning.lacity.org/eir/8150Sunset/References/4.B. Air Quality/AQ.14_SJVAPCD Charbroiling EF by Meat.pdf" xr:uid="{339ECBD3-DEFB-47BC-9867-4086D92650EA}"/>
    <hyperlink ref="H57" r:id="rId2" xr:uid="{8ABBC70E-D94E-4DCB-BD8F-6C6086F00F9A}"/>
  </hyperlinks>
  <pageMargins left="0.7" right="0.7" top="0.75" bottom="0.75" header="0.3" footer="0.3"/>
  <pageSetup orientation="portrait" verticalDpi="0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122564B0E8674FB7AD9E9BCF1DFC70" ma:contentTypeVersion="8" ma:contentTypeDescription="Create a new document." ma:contentTypeScope="" ma:versionID="6c579e73bcad9253431455a1284c1201">
  <xsd:schema xmlns:xsd="http://www.w3.org/2001/XMLSchema" xmlns:xs="http://www.w3.org/2001/XMLSchema" xmlns:p="http://schemas.microsoft.com/office/2006/metadata/properties" xmlns:ns2="fbefbb8d-f2e8-45c2-98be-9b45bfc95b0b" targetNamespace="http://schemas.microsoft.com/office/2006/metadata/properties" ma:root="true" ma:fieldsID="2fda4f58065c936ced1098f718314854" ns2:_="">
    <xsd:import namespace="fbefbb8d-f2e8-45c2-98be-9b45bfc95b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efbb8d-f2e8-45c2-98be-9b45bfc95b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A77F4F2-096F-4F47-A48C-4D8DB052057F}"/>
</file>

<file path=customXml/itemProps2.xml><?xml version="1.0" encoding="utf-8"?>
<ds:datastoreItem xmlns:ds="http://schemas.openxmlformats.org/officeDocument/2006/customXml" ds:itemID="{07A92561-4C49-4BE9-A77C-F23D7ED8B99E}"/>
</file>

<file path=customXml/itemProps3.xml><?xml version="1.0" encoding="utf-8"?>
<ds:datastoreItem xmlns:ds="http://schemas.openxmlformats.org/officeDocument/2006/customXml" ds:itemID="{C4C8C970-BA90-4A07-BE2B-F4BCB93023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Sheet1!Catalytic_Oxidizer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Alimi, Adeyemi</dc:creator>
  <cp:lastModifiedBy>Nicholas Czarnecki</cp:lastModifiedBy>
  <dcterms:created xsi:type="dcterms:W3CDTF">2020-07-08T00:20:30Z</dcterms:created>
  <dcterms:modified xsi:type="dcterms:W3CDTF">2020-09-10T18:31:54Z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0x01010044122564B0E8674FB7AD9E9BCF1DFC70</vt:lpwstr>
  </property>
</Properties>
</file>